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5E047935-505E-4570-8660-9F4AAB46F4B8}" xr6:coauthVersionLast="37" xr6:coauthVersionMax="37" xr10:uidLastSave="{00000000-0000-0000-0000-000000000000}"/>
  <bookViews>
    <workbookView xWindow="0" yWindow="0" windowWidth="15480" windowHeight="6810" firstSheet="17" activeTab="18" xr2:uid="{00000000-000D-0000-FFFF-FFFF00000000}"/>
  </bookViews>
  <sheets>
    <sheet name="TAF" sheetId="130" r:id="rId1"/>
    <sheet name="MODEVERSEMENT" sheetId="24" r:id="rId2"/>
    <sheet name="MODET25000" sheetId="9" r:id="rId3"/>
    <sheet name="MVTDEC21" sheetId="127" r:id="rId4"/>
    <sheet name="MVTDEC22" sheetId="136" r:id="rId5"/>
    <sheet name="MVTDEC23" sheetId="147" r:id="rId6"/>
    <sheet name="MVTDEC24" sheetId="168" r:id="rId7"/>
    <sheet name="MVTJANV25" sheetId="166" r:id="rId8"/>
    <sheet name="MVTFEV25" sheetId="170" r:id="rId9"/>
    <sheet name="MVTMARS25" sheetId="171" r:id="rId10"/>
    <sheet name="MVTAVRIL25" sheetId="175" r:id="rId11"/>
    <sheet name="MVTMAI25" sheetId="176" r:id="rId12"/>
    <sheet name="MVTJUIN25" sheetId="177" r:id="rId13"/>
    <sheet name="MVTJUIL25" sheetId="178" r:id="rId14"/>
    <sheet name="MVTAOUT25" sheetId="179" r:id="rId15"/>
    <sheet name="MVTSEPT25" sheetId="180" r:id="rId16"/>
    <sheet name="MVTOCT25" sheetId="181" r:id="rId17"/>
    <sheet name="MVTNOV25" sheetId="182" r:id="rId18"/>
    <sheet name="MVTDEC25" sheetId="183" r:id="rId19"/>
    <sheet name="MVTRESUME25" sheetId="185" r:id="rId20"/>
    <sheet name="MVTJANV24" sheetId="150" r:id="rId21"/>
    <sheet name="MVTFEV24" sheetId="153" r:id="rId22"/>
    <sheet name="MVTMARS24" sheetId="154" r:id="rId23"/>
    <sheet name="MVTAVRIL24" sheetId="155" r:id="rId24"/>
    <sheet name="MVTMAI24" sheetId="156" r:id="rId25"/>
    <sheet name="MVTJUIN24" sheetId="157" r:id="rId26"/>
    <sheet name="MVTJUIL24" sheetId="158" r:id="rId27"/>
    <sheet name="MVTAOUT24" sheetId="159" r:id="rId28"/>
    <sheet name="MVTSEPT24" sheetId="160" r:id="rId29"/>
    <sheet name="MVTOCT24" sheetId="161" r:id="rId30"/>
    <sheet name="MVTNOV24" sheetId="162" r:id="rId31"/>
    <sheet name="MVTDEC244" sheetId="163" r:id="rId32"/>
    <sheet name="MVTRESUME24" sheetId="164" r:id="rId33"/>
    <sheet name="MVTRESUME24EDIT" sheetId="165" r:id="rId34"/>
    <sheet name="MVTREPARTITION2022" sheetId="132" r:id="rId35"/>
    <sheet name="BILAN 2022" sheetId="131" r:id="rId36"/>
    <sheet name="MVTREPARTITIONEDIT (2)" sheetId="84" r:id="rId37"/>
    <sheet name="MVTREPARTITION2021 (2)" sheetId="125" r:id="rId38"/>
    <sheet name="MVTREPARTITION2021DEF" sheetId="126" r:id="rId39"/>
    <sheet name="PARTAGE INTERET T100" sheetId="129" r:id="rId40"/>
    <sheet name="CPTECHINGUE" sheetId="74" r:id="rId41"/>
    <sheet name="CPTEKEHEPDAVID)" sheetId="92" r:id="rId42"/>
    <sheet name="CPTEKOUAMOEMMANUEL" sheetId="94" r:id="rId43"/>
    <sheet name="CPTETCHOUANTE" sheetId="96" r:id="rId44"/>
    <sheet name="CPTENJEPDJIO" sheetId="95" r:id="rId45"/>
    <sheet name="CPTETCHOUTOU" sheetId="97" r:id="rId46"/>
    <sheet name="MVTRESUME2019" sheetId="26" r:id="rId47"/>
    <sheet name="CPTETYAMERNEST" sheetId="98" r:id="rId48"/>
    <sheet name="CPTEFOGANGERIC" sheetId="99" r:id="rId49"/>
    <sheet name="CPTEFOTSOTHOMAS" sheetId="100" r:id="rId50"/>
    <sheet name="VP KOUAMOPEGUY" sheetId="93" r:id="rId51"/>
    <sheet name="SITUATION KEPSEU" sheetId="75" r:id="rId52"/>
    <sheet name="BAKOPACHILLE" sheetId="111" r:id="rId53"/>
    <sheet name="Feuil1" sheetId="54" r:id="rId54"/>
    <sheet name="MVTRESUMEEDIT2019" sheetId="55" r:id="rId55"/>
    <sheet name="MVTRESUMETAB" sheetId="56" r:id="rId56"/>
    <sheet name="MVTRESUME20BACKUP" sheetId="73" r:id="rId57"/>
    <sheet name="GESTTRESORERIE" sheetId="85" r:id="rId58"/>
    <sheet name="MVTJANV212" sheetId="87" r:id="rId59"/>
    <sheet name="MVTREPARTITION2022 (2)" sheetId="135" r:id="rId60"/>
    <sheet name="MVTRESUME25 (2)" sheetId="186" r:id="rId61"/>
  </sheets>
  <externalReferences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</externalReferences>
  <definedNames>
    <definedName name="_xlnm._FilterDatabase" localSheetId="27" hidden="1">MVTAOUT24!$A$5:$V$39</definedName>
    <definedName name="_xlnm._FilterDatabase" localSheetId="14" hidden="1">MVTAOUT25!$A$5:$V$42</definedName>
    <definedName name="_xlnm._FilterDatabase" localSheetId="23" hidden="1">MVTAVRIL24!$A$5:$V$39</definedName>
    <definedName name="_xlnm._FilterDatabase" localSheetId="10" hidden="1">MVTAVRIL25!$A$5:$V$42</definedName>
    <definedName name="_xlnm._FilterDatabase" localSheetId="3" hidden="1">MVTDEC21!$A$5:$U$36</definedName>
    <definedName name="_xlnm._FilterDatabase" localSheetId="4" hidden="1">MVTDEC22!$A$5:$U$34</definedName>
    <definedName name="_xlnm._FilterDatabase" localSheetId="5" hidden="1">MVTDEC23!$A$5:$V$36</definedName>
    <definedName name="_xlnm._FilterDatabase" localSheetId="6" hidden="1">MVTDEC24!$A$5:$V$38</definedName>
    <definedName name="_xlnm._FilterDatabase" localSheetId="31" hidden="1">MVTDEC244!$A$5:$V$39</definedName>
    <definedName name="_xlnm._FilterDatabase" localSheetId="18" hidden="1">MVTDEC25!$A$5:$V$42</definedName>
    <definedName name="_xlnm._FilterDatabase" localSheetId="21" hidden="1">MVTFEV24!$A$5:$V$39</definedName>
    <definedName name="_xlnm._FilterDatabase" localSheetId="8" hidden="1">MVTFEV25!$A$5:$V$42</definedName>
    <definedName name="_xlnm._FilterDatabase" localSheetId="58" hidden="1">MVTJANV212!$A$5:$U$37</definedName>
    <definedName name="_xlnm._FilterDatabase" localSheetId="20" hidden="1">MVTJANV24!$A$5:$V$39</definedName>
    <definedName name="_xlnm._FilterDatabase" localSheetId="7" hidden="1">MVTJANV25!$A$5:$V$42</definedName>
    <definedName name="_xlnm._FilterDatabase" localSheetId="26" hidden="1">MVTJUIL24!$A$5:$V$39</definedName>
    <definedName name="_xlnm._FilterDatabase" localSheetId="13" hidden="1">MVTJUIL25!$A$5:$V$42</definedName>
    <definedName name="_xlnm._FilterDatabase" localSheetId="25" hidden="1">MVTJUIN24!$A$5:$V$39</definedName>
    <definedName name="_xlnm._FilterDatabase" localSheetId="12" hidden="1">MVTJUIN25!$A$5:$V$42</definedName>
    <definedName name="_xlnm._FilterDatabase" localSheetId="24" hidden="1">MVTMAI24!$A$5:$V$39</definedName>
    <definedName name="_xlnm._FilterDatabase" localSheetId="11" hidden="1">MVTMAI25!$A$5:$V$42</definedName>
    <definedName name="_xlnm._FilterDatabase" localSheetId="22" hidden="1">MVTMARS24!$A$5:$V$39</definedName>
    <definedName name="_xlnm._FilterDatabase" localSheetId="9" hidden="1">MVTMARS25!$A$5:$V$42</definedName>
    <definedName name="_xlnm._FilterDatabase" localSheetId="30" hidden="1">MVTNOV24!$A$5:$V$39</definedName>
    <definedName name="_xlnm._FilterDatabase" localSheetId="17" hidden="1">MVTNOV25!$A$5:$V$42</definedName>
    <definedName name="_xlnm._FilterDatabase" localSheetId="29" hidden="1">MVTOCT24!$A$5:$V$39</definedName>
    <definedName name="_xlnm._FilterDatabase" localSheetId="16" hidden="1">MVTOCT25!$A$5:$V$42</definedName>
    <definedName name="_xlnm._FilterDatabase" localSheetId="37" hidden="1">'MVTREPARTITION2021 (2)'!$A$5:$R$38</definedName>
    <definedName name="_xlnm._FilterDatabase" localSheetId="38" hidden="1">MVTREPARTITION2021DEF!$A$5:$R$38</definedName>
    <definedName name="_xlnm._FilterDatabase" localSheetId="34" hidden="1">MVTREPARTITION2022!$A$5:$U$39</definedName>
    <definedName name="_xlnm._FilterDatabase" localSheetId="59" hidden="1">'MVTREPARTITION2022 (2)'!$A$5:$U$38</definedName>
    <definedName name="_xlnm._FilterDatabase" localSheetId="36" hidden="1">'MVTREPARTITIONEDIT (2)'!$A$5:$F$39</definedName>
    <definedName name="_xlnm._FilterDatabase" localSheetId="46" hidden="1">MVTRESUME2019!$A$5:$Q$49</definedName>
    <definedName name="_xlnm._FilterDatabase" localSheetId="56" hidden="1">MVTRESUME20BACKUP!$A$5:$P$39</definedName>
    <definedName name="_xlnm._FilterDatabase" localSheetId="32" hidden="1">MVTRESUME24!$A$6:$J$40</definedName>
    <definedName name="_xlnm._FilterDatabase" localSheetId="33" hidden="1">MVTRESUME24EDIT!$A$5:$J$39</definedName>
    <definedName name="_xlnm._FilterDatabase" localSheetId="19" hidden="1">MVTRESUME25!$A$5:$V$42</definedName>
    <definedName name="_xlnm._FilterDatabase" localSheetId="60" hidden="1">'MVTRESUME25 (2)'!$A$5:$V$42</definedName>
    <definedName name="_xlnm._FilterDatabase" localSheetId="54" hidden="1">MVTRESUMEEDIT2019!$A$5:$E$48</definedName>
    <definedName name="_xlnm._FilterDatabase" localSheetId="55" hidden="1">MVTRESUMETAB!$A$1:$Q$44</definedName>
    <definedName name="_xlnm._FilterDatabase" localSheetId="28" hidden="1">MVTSEPT24!$A$5:$V$39</definedName>
    <definedName name="_xlnm._FilterDatabase" localSheetId="15" hidden="1">MVTSEPT25!$A$5:$V$42</definedName>
    <definedName name="BANQUE" localSheetId="35">#REF!</definedName>
    <definedName name="BANQUE" localSheetId="48">#REF!</definedName>
    <definedName name="BANQUE" localSheetId="49">#REF!</definedName>
    <definedName name="BANQUE" localSheetId="41">#REF!</definedName>
    <definedName name="BANQUE" localSheetId="42">#REF!</definedName>
    <definedName name="BANQUE" localSheetId="44">#REF!</definedName>
    <definedName name="BANQUE" localSheetId="43">#REF!</definedName>
    <definedName name="BANQUE" localSheetId="45">#REF!</definedName>
    <definedName name="BANQUE" localSheetId="47">#REF!</definedName>
    <definedName name="BANQUE" localSheetId="2">#REF!</definedName>
    <definedName name="BANQUE" localSheetId="1">#REF!</definedName>
    <definedName name="BANQUE" localSheetId="27">#REF!</definedName>
    <definedName name="BANQUE" localSheetId="14">#REF!</definedName>
    <definedName name="BANQUE" localSheetId="23">#REF!</definedName>
    <definedName name="BANQUE" localSheetId="10">#REF!</definedName>
    <definedName name="BANQUE" localSheetId="3">#REF!</definedName>
    <definedName name="BANQUE" localSheetId="4">#REF!</definedName>
    <definedName name="BANQUE" localSheetId="5">#REF!</definedName>
    <definedName name="BANQUE" localSheetId="6">#REF!</definedName>
    <definedName name="BANQUE" localSheetId="31">#REF!</definedName>
    <definedName name="BANQUE" localSheetId="18">#REF!</definedName>
    <definedName name="BANQUE" localSheetId="21">#REF!</definedName>
    <definedName name="BANQUE" localSheetId="8">#REF!</definedName>
    <definedName name="BANQUE" localSheetId="58">#REF!</definedName>
    <definedName name="BANQUE" localSheetId="20">#REF!</definedName>
    <definedName name="BANQUE" localSheetId="7">#REF!</definedName>
    <definedName name="BANQUE" localSheetId="26">#REF!</definedName>
    <definedName name="BANQUE" localSheetId="13">#REF!</definedName>
    <definedName name="BANQUE" localSheetId="25">#REF!</definedName>
    <definedName name="BANQUE" localSheetId="12">#REF!</definedName>
    <definedName name="BANQUE" localSheetId="24">#REF!</definedName>
    <definedName name="BANQUE" localSheetId="11">#REF!</definedName>
    <definedName name="BANQUE" localSheetId="22">#REF!</definedName>
    <definedName name="BANQUE" localSheetId="9">#REF!</definedName>
    <definedName name="BANQUE" localSheetId="30">#REF!</definedName>
    <definedName name="BANQUE" localSheetId="17">#REF!</definedName>
    <definedName name="BANQUE" localSheetId="29">#REF!</definedName>
    <definedName name="BANQUE" localSheetId="16">#REF!</definedName>
    <definedName name="BANQUE" localSheetId="37">#REF!</definedName>
    <definedName name="BANQUE" localSheetId="38">#REF!</definedName>
    <definedName name="BANQUE" localSheetId="34">#REF!</definedName>
    <definedName name="BANQUE" localSheetId="59">#REF!</definedName>
    <definedName name="BANQUE" localSheetId="36">#REF!</definedName>
    <definedName name="BANQUE" localSheetId="46">#REF!</definedName>
    <definedName name="BANQUE" localSheetId="56">#REF!</definedName>
    <definedName name="BANQUE" localSheetId="32">#REF!</definedName>
    <definedName name="BANQUE" localSheetId="33">#REF!</definedName>
    <definedName name="BANQUE" localSheetId="19">#REF!</definedName>
    <definedName name="BANQUE" localSheetId="60">#REF!</definedName>
    <definedName name="BANQUE" localSheetId="54">#REF!</definedName>
    <definedName name="BANQUE" localSheetId="55">#REF!</definedName>
    <definedName name="BANQUE" localSheetId="28">#REF!</definedName>
    <definedName name="BANQUE" localSheetId="15">#REF!</definedName>
    <definedName name="BANQUE" localSheetId="39">#REF!</definedName>
    <definedName name="BANQUE" localSheetId="50">#REF!</definedName>
    <definedName name="BANQUE">#REF!</definedName>
    <definedName name="ECHEC" localSheetId="2">#REF!</definedName>
    <definedName name="_xlnm.Print_Titles" localSheetId="37">'MVTREPARTITION2021 (2)'!$A:$B,'MVTREPARTITION2021 (2)'!$1:$5</definedName>
    <definedName name="_xlnm.Print_Titles" localSheetId="38">MVTREPARTITION2021DEF!$A:$B,MVTREPARTITION2021DEF!$1:$5</definedName>
    <definedName name="_xlnm.Print_Titles" localSheetId="34">MVTREPARTITION2022!$A:$B,MVTREPARTITION2022!$1:$5</definedName>
    <definedName name="_xlnm.Print_Titles" localSheetId="59">'MVTREPARTITION2022 (2)'!$A:$B,'MVTREPARTITION2022 (2)'!$1:$5</definedName>
    <definedName name="_xlnm.Print_Titles" localSheetId="36">'MVTREPARTITIONEDIT (2)'!$1:$5</definedName>
    <definedName name="_xlnm.Print_Titles" localSheetId="32">MVTRESUME24!$A:$B</definedName>
    <definedName name="_xlnm.Print_Titles" localSheetId="33">MVTRESUME24EDIT!$A:$B</definedName>
    <definedName name="_xlnm.Print_Titles" localSheetId="54">MVTRESUMEEDIT2019!$1:$5</definedName>
    <definedName name="MODEET30000" localSheetId="57">[1]MODEVERSEMENT!$A$1:$A$3</definedName>
    <definedName name="MODEET30000" localSheetId="27">[2]MODEVERSEMENT!$A$1:$A$3</definedName>
    <definedName name="MODEET30000" localSheetId="14">[2]MODEVERSEMENT!$A$1:$A$3</definedName>
    <definedName name="MODEET30000" localSheetId="23">[2]MODEVERSEMENT!$A$1:$A$3</definedName>
    <definedName name="MODEET30000" localSheetId="10">[2]MODEVERSEMENT!$A$1:$A$3</definedName>
    <definedName name="MODEET30000" localSheetId="3">[2]MODEVERSEMENT!$A$1:$A$3</definedName>
    <definedName name="MODEET30000" localSheetId="4">[2]MODEVERSEMENT!$A$1:$A$3</definedName>
    <definedName name="MODEET30000" localSheetId="5">[2]MODEVERSEMENT!$A$1:$A$3</definedName>
    <definedName name="MODEET30000" localSheetId="6">[2]MODEVERSEMENT!$A$1:$A$3</definedName>
    <definedName name="MODEET30000" localSheetId="31">[2]MODEVERSEMENT!$A$1:$A$3</definedName>
    <definedName name="MODEET30000" localSheetId="18">[2]MODEVERSEMENT!$A$1:$A$3</definedName>
    <definedName name="MODEET30000" localSheetId="21">[2]MODEVERSEMENT!$A$1:$A$3</definedName>
    <definedName name="MODEET30000" localSheetId="8">[2]MODEVERSEMENT!$A$1:$A$3</definedName>
    <definedName name="MODEET30000" localSheetId="20">[2]MODEVERSEMENT!$A$1:$A$3</definedName>
    <definedName name="MODEET30000" localSheetId="7">[2]MODEVERSEMENT!$A$1:$A$3</definedName>
    <definedName name="MODEET30000" localSheetId="26">[2]MODEVERSEMENT!$A$1:$A$3</definedName>
    <definedName name="MODEET30000" localSheetId="13">[2]MODEVERSEMENT!$A$1:$A$3</definedName>
    <definedName name="MODEET30000" localSheetId="25">[2]MODEVERSEMENT!$A$1:$A$3</definedName>
    <definedName name="MODEET30000" localSheetId="12">[2]MODEVERSEMENT!$A$1:$A$3</definedName>
    <definedName name="MODEET30000" localSheetId="24">[2]MODEVERSEMENT!$A$1:$A$3</definedName>
    <definedName name="MODEET30000" localSheetId="11">[2]MODEVERSEMENT!$A$1:$A$3</definedName>
    <definedName name="MODEET30000" localSheetId="22">[2]MODEVERSEMENT!$A$1:$A$3</definedName>
    <definedName name="MODEET30000" localSheetId="9">[2]MODEVERSEMENT!$A$1:$A$3</definedName>
    <definedName name="MODEET30000" localSheetId="30">[2]MODEVERSEMENT!$A$1:$A$3</definedName>
    <definedName name="MODEET30000" localSheetId="17">[2]MODEVERSEMENT!$A$1:$A$3</definedName>
    <definedName name="MODEET30000" localSheetId="29">[2]MODEVERSEMENT!$A$1:$A$3</definedName>
    <definedName name="MODEET30000" localSheetId="16">[2]MODEVERSEMENT!$A$1:$A$3</definedName>
    <definedName name="MODEET30000" localSheetId="32">[2]MODEVERSEMENT!$A$1:$A$3</definedName>
    <definedName name="MODEET30000" localSheetId="33">[2]MODEVERSEMENT!$A$1:$A$3</definedName>
    <definedName name="MODEET30000" localSheetId="19">[2]MODEVERSEMENT!$A$1:$A$3</definedName>
    <definedName name="MODEET30000" localSheetId="60">[2]MODEVERSEMENT!$A$1:$A$3</definedName>
    <definedName name="MODEET30000" localSheetId="28">[2]MODEVERSEMENT!$A$1:$A$3</definedName>
    <definedName name="MODEET30000" localSheetId="15">[2]MODEVERSEMENT!$A$1:$A$3</definedName>
    <definedName name="MODEET30000">[3]MODEVERSEMENT!$A$1:$A$3</definedName>
    <definedName name="MODEPAID" localSheetId="35">[4]Feuil2!$A$1:$A$3</definedName>
    <definedName name="MODEPAID" localSheetId="2">[5]Feuil2!$A$1:$A$3</definedName>
    <definedName name="MODEPAID" localSheetId="1">#REF!</definedName>
    <definedName name="MODEPAID" localSheetId="50">[6]Feuil2!$A$1:$A$3</definedName>
    <definedName name="MODEPAID">[5]Feuil2!$A$1:$A$3</definedName>
    <definedName name="MODEPAID30000" localSheetId="27">MVTAOUT24!#REF!</definedName>
    <definedName name="MODEPAID30000" localSheetId="14">MVTAOUT25!#REF!</definedName>
    <definedName name="MODEPAID30000" localSheetId="23">MVTAVRIL24!#REF!</definedName>
    <definedName name="MODEPAID30000" localSheetId="10">MVTAVRIL25!#REF!</definedName>
    <definedName name="MODEPAID30000" localSheetId="3">MVTDEC21!#REF!</definedName>
    <definedName name="MODEPAID30000" localSheetId="4">MVTDEC22!#REF!</definedName>
    <definedName name="MODEPAID30000" localSheetId="5">MVTDEC23!#REF!</definedName>
    <definedName name="MODEPAID30000" localSheetId="6">MVTDEC24!#REF!</definedName>
    <definedName name="MODEPAID30000" localSheetId="31">MVTDEC244!#REF!</definedName>
    <definedName name="MODEPAID30000" localSheetId="18">MVTDEC25!#REF!</definedName>
    <definedName name="MODEPAID30000" localSheetId="21">MVTFEV24!#REF!</definedName>
    <definedName name="MODEPAID30000" localSheetId="8">MVTFEV25!#REF!</definedName>
    <definedName name="MODEPAID30000" localSheetId="58">MVTJANV212!#REF!</definedName>
    <definedName name="MODEPAID30000" localSheetId="20">MVTJANV24!#REF!</definedName>
    <definedName name="MODEPAID30000" localSheetId="7">MVTJANV25!#REF!</definedName>
    <definedName name="MODEPAID30000" localSheetId="26">MVTJUIL24!#REF!</definedName>
    <definedName name="MODEPAID30000" localSheetId="13">MVTJUIL25!#REF!</definedName>
    <definedName name="MODEPAID30000" localSheetId="25">MVTJUIN24!#REF!</definedName>
    <definedName name="MODEPAID30000" localSheetId="12">MVTJUIN25!#REF!</definedName>
    <definedName name="MODEPAID30000" localSheetId="24">MVTMAI24!#REF!</definedName>
    <definedName name="MODEPAID30000" localSheetId="11">MVTMAI25!#REF!</definedName>
    <definedName name="MODEPAID30000" localSheetId="22">MVTMARS24!#REF!</definedName>
    <definedName name="MODEPAID30000" localSheetId="9">MVTMARS25!#REF!</definedName>
    <definedName name="MODEPAID30000" localSheetId="30">MVTNOV24!#REF!</definedName>
    <definedName name="MODEPAID30000" localSheetId="17">MVTNOV25!#REF!</definedName>
    <definedName name="MODEPAID30000" localSheetId="29">MVTOCT24!#REF!</definedName>
    <definedName name="MODEPAID30000" localSheetId="16">MVTOCT25!#REF!</definedName>
    <definedName name="MODEPAID30000" localSheetId="37">'MVTREPARTITION2021 (2)'!#REF!</definedName>
    <definedName name="MODEPAID30000" localSheetId="38">MVTREPARTITION2021DEF!#REF!</definedName>
    <definedName name="MODEPAID30000" localSheetId="34">MVTREPARTITION2022!#REF!</definedName>
    <definedName name="MODEPAID30000" localSheetId="59">'MVTREPARTITION2022 (2)'!#REF!</definedName>
    <definedName name="MODEPAID30000" localSheetId="36">'MVTREPARTITIONEDIT (2)'!#REF!</definedName>
    <definedName name="MODEPAID30000" localSheetId="56">MVTRESUME20BACKUP!#REF!</definedName>
    <definedName name="MODEPAID30000" localSheetId="32">MVTRESUME24!#REF!</definedName>
    <definedName name="MODEPAID30000" localSheetId="33">MVTRESUME24EDIT!#REF!</definedName>
    <definedName name="MODEPAID30000" localSheetId="19">MVTRESUME25!#REF!</definedName>
    <definedName name="MODEPAID30000" localSheetId="60">'MVTRESUME25 (2)'!#REF!</definedName>
    <definedName name="MODEPAID30000" localSheetId="28">MVTSEPT24!#REF!</definedName>
    <definedName name="MODEPAID30000" localSheetId="15">MVTSEPT25!#REF!</definedName>
    <definedName name="MODEPAID30000" localSheetId="39">'PARTAGE INTERET T100'!#REF!</definedName>
    <definedName name="MODEPAIDOK" localSheetId="35">[7]MODEVERSEMENT!$A$1:$A$4</definedName>
    <definedName name="MODEPAIDOK" localSheetId="57">[8]MODEVERSEMENT!$A$1:$A$4</definedName>
    <definedName name="MODEPAIDOK" localSheetId="27">[9]MODEVERSEMENT!$A$1:$A$4</definedName>
    <definedName name="MODEPAIDOK" localSheetId="14">[9]MODEVERSEMENT!$A$1:$A$4</definedName>
    <definedName name="MODEPAIDOK" localSheetId="23">[9]MODEVERSEMENT!$A$1:$A$4</definedName>
    <definedName name="MODEPAIDOK" localSheetId="10">[9]MODEVERSEMENT!$A$1:$A$4</definedName>
    <definedName name="MODEPAIDOK" localSheetId="3">[9]MODEVERSEMENT!$A$1:$A$4</definedName>
    <definedName name="MODEPAIDOK" localSheetId="4">[9]MODEVERSEMENT!$A$1:$A$4</definedName>
    <definedName name="MODEPAIDOK" localSheetId="5">[9]MODEVERSEMENT!$A$1:$A$4</definedName>
    <definedName name="MODEPAIDOK" localSheetId="6">[9]MODEVERSEMENT!$A$1:$A$4</definedName>
    <definedName name="MODEPAIDOK" localSheetId="31">[9]MODEVERSEMENT!$A$1:$A$4</definedName>
    <definedName name="MODEPAIDOK" localSheetId="18">[9]MODEVERSEMENT!$A$1:$A$4</definedName>
    <definedName name="MODEPAIDOK" localSheetId="21">[9]MODEVERSEMENT!$A$1:$A$4</definedName>
    <definedName name="MODEPAIDOK" localSheetId="8">[9]MODEVERSEMENT!$A$1:$A$4</definedName>
    <definedName name="MODEPAIDOK" localSheetId="20">[9]MODEVERSEMENT!$A$1:$A$4</definedName>
    <definedName name="MODEPAIDOK" localSheetId="7">[9]MODEVERSEMENT!$A$1:$A$4</definedName>
    <definedName name="MODEPAIDOK" localSheetId="26">[9]MODEVERSEMENT!$A$1:$A$4</definedName>
    <definedName name="MODEPAIDOK" localSheetId="13">[9]MODEVERSEMENT!$A$1:$A$4</definedName>
    <definedName name="MODEPAIDOK" localSheetId="25">[9]MODEVERSEMENT!$A$1:$A$4</definedName>
    <definedName name="MODEPAIDOK" localSheetId="12">[9]MODEVERSEMENT!$A$1:$A$4</definedName>
    <definedName name="MODEPAIDOK" localSheetId="24">[9]MODEVERSEMENT!$A$1:$A$4</definedName>
    <definedName name="MODEPAIDOK" localSheetId="11">[9]MODEVERSEMENT!$A$1:$A$4</definedName>
    <definedName name="MODEPAIDOK" localSheetId="22">[9]MODEVERSEMENT!$A$1:$A$4</definedName>
    <definedName name="MODEPAIDOK" localSheetId="9">[9]MODEVERSEMENT!$A$1:$A$4</definedName>
    <definedName name="MODEPAIDOK" localSheetId="30">[9]MODEVERSEMENT!$A$1:$A$4</definedName>
    <definedName name="MODEPAIDOK" localSheetId="17">[9]MODEVERSEMENT!$A$1:$A$4</definedName>
    <definedName name="MODEPAIDOK" localSheetId="29">[9]MODEVERSEMENT!$A$1:$A$4</definedName>
    <definedName name="MODEPAIDOK" localSheetId="16">[9]MODEVERSEMENT!$A$1:$A$4</definedName>
    <definedName name="MODEPAIDOK" localSheetId="32">[9]MODEVERSEMENT!$A$1:$A$4</definedName>
    <definedName name="MODEPAIDOK" localSheetId="33">[9]MODEVERSEMENT!$A$1:$A$4</definedName>
    <definedName name="MODEPAIDOK" localSheetId="19">[9]MODEVERSEMENT!$A$1:$A$4</definedName>
    <definedName name="MODEPAIDOK" localSheetId="60">[9]MODEVERSEMENT!$A$1:$A$4</definedName>
    <definedName name="MODEPAIDOK" localSheetId="28">[9]MODEVERSEMENT!$A$1:$A$4</definedName>
    <definedName name="MODEPAIDOK" localSheetId="15">[9]MODEVERSEMENT!$A$1:$A$4</definedName>
    <definedName name="MODEPAIDOK">MODEVERSEMENT!$A$1:$A$4</definedName>
    <definedName name="MODEPAIDS" localSheetId="57">[1]MODEVERSEMENT!$A$1:$A$3</definedName>
    <definedName name="MODEPAIDS" localSheetId="27">[2]MODEVERSEMENT!$A$1:$A$3</definedName>
    <definedName name="MODEPAIDS" localSheetId="14">[2]MODEVERSEMENT!$A$1:$A$3</definedName>
    <definedName name="MODEPAIDS" localSheetId="23">[2]MODEVERSEMENT!$A$1:$A$3</definedName>
    <definedName name="MODEPAIDS" localSheetId="10">[2]MODEVERSEMENT!$A$1:$A$3</definedName>
    <definedName name="MODEPAIDS" localSheetId="3">[2]MODEVERSEMENT!$A$1:$A$3</definedName>
    <definedName name="MODEPAIDS" localSheetId="4">[2]MODEVERSEMENT!$A$1:$A$3</definedName>
    <definedName name="MODEPAIDS" localSheetId="5">[2]MODEVERSEMENT!$A$1:$A$3</definedName>
    <definedName name="MODEPAIDS" localSheetId="6">[2]MODEVERSEMENT!$A$1:$A$3</definedName>
    <definedName name="MODEPAIDS" localSheetId="31">[2]MODEVERSEMENT!$A$1:$A$3</definedName>
    <definedName name="MODEPAIDS" localSheetId="18">[2]MODEVERSEMENT!$A$1:$A$3</definedName>
    <definedName name="MODEPAIDS" localSheetId="21">[2]MODEVERSEMENT!$A$1:$A$3</definedName>
    <definedName name="MODEPAIDS" localSheetId="8">[2]MODEVERSEMENT!$A$1:$A$3</definedName>
    <definedName name="MODEPAIDS" localSheetId="20">[2]MODEVERSEMENT!$A$1:$A$3</definedName>
    <definedName name="MODEPAIDS" localSheetId="7">[2]MODEVERSEMENT!$A$1:$A$3</definedName>
    <definedName name="MODEPAIDS" localSheetId="26">[2]MODEVERSEMENT!$A$1:$A$3</definedName>
    <definedName name="MODEPAIDS" localSheetId="13">[2]MODEVERSEMENT!$A$1:$A$3</definedName>
    <definedName name="MODEPAIDS" localSheetId="25">[2]MODEVERSEMENT!$A$1:$A$3</definedName>
    <definedName name="MODEPAIDS" localSheetId="12">[2]MODEVERSEMENT!$A$1:$A$3</definedName>
    <definedName name="MODEPAIDS" localSheetId="24">[2]MODEVERSEMENT!$A$1:$A$3</definedName>
    <definedName name="MODEPAIDS" localSheetId="11">[2]MODEVERSEMENT!$A$1:$A$3</definedName>
    <definedName name="MODEPAIDS" localSheetId="22">[2]MODEVERSEMENT!$A$1:$A$3</definedName>
    <definedName name="MODEPAIDS" localSheetId="9">[2]MODEVERSEMENT!$A$1:$A$3</definedName>
    <definedName name="MODEPAIDS" localSheetId="30">[2]MODEVERSEMENT!$A$1:$A$3</definedName>
    <definedName name="MODEPAIDS" localSheetId="17">[2]MODEVERSEMENT!$A$1:$A$3</definedName>
    <definedName name="MODEPAIDS" localSheetId="29">[2]MODEVERSEMENT!$A$1:$A$3</definedName>
    <definedName name="MODEPAIDS" localSheetId="16">[2]MODEVERSEMENT!$A$1:$A$3</definedName>
    <definedName name="MODEPAIDS" localSheetId="32">[2]MODEVERSEMENT!$A$1:$A$3</definedName>
    <definedName name="MODEPAIDS" localSheetId="33">[2]MODEVERSEMENT!$A$1:$A$3</definedName>
    <definedName name="MODEPAIDS" localSheetId="19">[2]MODEVERSEMENT!$A$1:$A$3</definedName>
    <definedName name="MODEPAIDS" localSheetId="60">[2]MODEVERSEMENT!$A$1:$A$3</definedName>
    <definedName name="MODEPAIDS" localSheetId="28">[2]MODEVERSEMENT!$A$1:$A$3</definedName>
    <definedName name="MODEPAIDS" localSheetId="15">[2]MODEVERSEMENT!$A$1:$A$3</definedName>
    <definedName name="MODEPAIDS">[3]MODEVERSEMENT!$A$1:$A$3</definedName>
    <definedName name="MODET25000">[10]MODEVERSEMENT!$A$1:$A$3</definedName>
    <definedName name="MODET3000" localSheetId="57">[1]MODEVERSEMENT!$A$1:$A$3</definedName>
    <definedName name="MODET3000" localSheetId="27">[2]MODEVERSEMENT!$A$1:$A$3</definedName>
    <definedName name="MODET3000" localSheetId="14">[2]MODEVERSEMENT!$A$1:$A$3</definedName>
    <definedName name="MODET3000" localSheetId="23">[2]MODEVERSEMENT!$A$1:$A$3</definedName>
    <definedName name="MODET3000" localSheetId="10">[2]MODEVERSEMENT!$A$1:$A$3</definedName>
    <definedName name="MODET3000" localSheetId="3">[2]MODEVERSEMENT!$A$1:$A$3</definedName>
    <definedName name="MODET3000" localSheetId="4">[2]MODEVERSEMENT!$A$1:$A$3</definedName>
    <definedName name="MODET3000" localSheetId="5">[2]MODEVERSEMENT!$A$1:$A$3</definedName>
    <definedName name="MODET3000" localSheetId="6">[2]MODEVERSEMENT!$A$1:$A$3</definedName>
    <definedName name="MODET3000" localSheetId="31">[2]MODEVERSEMENT!$A$1:$A$3</definedName>
    <definedName name="MODET3000" localSheetId="18">[2]MODEVERSEMENT!$A$1:$A$3</definedName>
    <definedName name="MODET3000" localSheetId="21">[2]MODEVERSEMENT!$A$1:$A$3</definedName>
    <definedName name="MODET3000" localSheetId="8">[2]MODEVERSEMENT!$A$1:$A$3</definedName>
    <definedName name="MODET3000" localSheetId="20">[2]MODEVERSEMENT!$A$1:$A$3</definedName>
    <definedName name="MODET3000" localSheetId="7">[2]MODEVERSEMENT!$A$1:$A$3</definedName>
    <definedName name="MODET3000" localSheetId="26">[2]MODEVERSEMENT!$A$1:$A$3</definedName>
    <definedName name="MODET3000" localSheetId="13">[2]MODEVERSEMENT!$A$1:$A$3</definedName>
    <definedName name="MODET3000" localSheetId="25">[2]MODEVERSEMENT!$A$1:$A$3</definedName>
    <definedName name="MODET3000" localSheetId="12">[2]MODEVERSEMENT!$A$1:$A$3</definedName>
    <definedName name="MODET3000" localSheetId="24">[2]MODEVERSEMENT!$A$1:$A$3</definedName>
    <definedName name="MODET3000" localSheetId="11">[2]MODEVERSEMENT!$A$1:$A$3</definedName>
    <definedName name="MODET3000" localSheetId="22">[2]MODEVERSEMENT!$A$1:$A$3</definedName>
    <definedName name="MODET3000" localSheetId="9">[2]MODEVERSEMENT!$A$1:$A$3</definedName>
    <definedName name="MODET3000" localSheetId="30">[2]MODEVERSEMENT!$A$1:$A$3</definedName>
    <definedName name="MODET3000" localSheetId="17">[2]MODEVERSEMENT!$A$1:$A$3</definedName>
    <definedName name="MODET3000" localSheetId="29">[2]MODEVERSEMENT!$A$1:$A$3</definedName>
    <definedName name="MODET3000" localSheetId="16">[2]MODEVERSEMENT!$A$1:$A$3</definedName>
    <definedName name="MODET3000" localSheetId="32">[2]MODEVERSEMENT!$A$1:$A$3</definedName>
    <definedName name="MODET3000" localSheetId="33">[2]MODEVERSEMENT!$A$1:$A$3</definedName>
    <definedName name="MODET3000" localSheetId="19">[2]MODEVERSEMENT!$A$1:$A$3</definedName>
    <definedName name="MODET3000" localSheetId="60">[2]MODEVERSEMENT!$A$1:$A$3</definedName>
    <definedName name="MODET3000" localSheetId="28">[2]MODEVERSEMENT!$A$1:$A$3</definedName>
    <definedName name="MODET3000" localSheetId="15">[2]MODEVERSEMENT!$A$1:$A$3</definedName>
    <definedName name="MODET3000">[3]MODEVERSEMENT!$A$1:$A$3</definedName>
    <definedName name="MODET30000" localSheetId="27">MVTAOUT24!#REF!</definedName>
    <definedName name="MODET30000" localSheetId="14">MVTAOUT25!#REF!</definedName>
    <definedName name="MODET30000" localSheetId="23">MVTAVRIL24!#REF!</definedName>
    <definedName name="MODET30000" localSheetId="10">MVTAVRIL25!#REF!</definedName>
    <definedName name="MODET30000" localSheetId="3">MVTDEC21!#REF!</definedName>
    <definedName name="MODET30000" localSheetId="4">MVTDEC22!#REF!</definedName>
    <definedName name="MODET30000" localSheetId="5">MVTDEC23!#REF!</definedName>
    <definedName name="MODET30000" localSheetId="6">MVTDEC24!#REF!</definedName>
    <definedName name="MODET30000" localSheetId="31">MVTDEC244!#REF!</definedName>
    <definedName name="MODET30000" localSheetId="18">MVTDEC25!#REF!</definedName>
    <definedName name="MODET30000" localSheetId="21">MVTFEV24!#REF!</definedName>
    <definedName name="MODET30000" localSheetId="8">MVTFEV25!#REF!</definedName>
    <definedName name="MODET30000" localSheetId="58">MVTJANV212!#REF!</definedName>
    <definedName name="MODET30000" localSheetId="20">MVTJANV24!#REF!</definedName>
    <definedName name="MODET30000" localSheetId="7">MVTJANV25!#REF!</definedName>
    <definedName name="MODET30000" localSheetId="26">MVTJUIL24!#REF!</definedName>
    <definedName name="MODET30000" localSheetId="13">MVTJUIL25!#REF!</definedName>
    <definedName name="MODET30000" localSheetId="25">MVTJUIN24!#REF!</definedName>
    <definedName name="MODET30000" localSheetId="12">MVTJUIN25!#REF!</definedName>
    <definedName name="MODET30000" localSheetId="24">MVTMAI24!#REF!</definedName>
    <definedName name="MODET30000" localSheetId="11">MVTMAI25!#REF!</definedName>
    <definedName name="MODET30000" localSheetId="22">MVTMARS24!#REF!</definedName>
    <definedName name="MODET30000" localSheetId="9">MVTMARS25!#REF!</definedName>
    <definedName name="MODET30000" localSheetId="30">MVTNOV24!#REF!</definedName>
    <definedName name="MODET30000" localSheetId="17">MVTNOV25!#REF!</definedName>
    <definedName name="MODET30000" localSheetId="29">MVTOCT24!#REF!</definedName>
    <definedName name="MODET30000" localSheetId="16">MVTOCT25!#REF!</definedName>
    <definedName name="MODET30000" localSheetId="37">'MVTREPARTITION2021 (2)'!#REF!</definedName>
    <definedName name="MODET30000" localSheetId="38">MVTREPARTITION2021DEF!#REF!</definedName>
    <definedName name="MODET30000" localSheetId="34">MVTREPARTITION2022!#REF!</definedName>
    <definedName name="MODET30000" localSheetId="59">'MVTREPARTITION2022 (2)'!#REF!</definedName>
    <definedName name="MODET30000" localSheetId="36">'MVTREPARTITIONEDIT (2)'!#REF!</definedName>
    <definedName name="MODET30000" localSheetId="56">MVTRESUME20BACKUP!#REF!</definedName>
    <definedName name="MODET30000" localSheetId="32">MVTRESUME24!#REF!</definedName>
    <definedName name="MODET30000" localSheetId="33">MVTRESUME24EDIT!#REF!</definedName>
    <definedName name="MODET30000" localSheetId="19">MVTRESUME25!#REF!</definedName>
    <definedName name="MODET30000" localSheetId="60">'MVTRESUME25 (2)'!#REF!</definedName>
    <definedName name="MODET30000" localSheetId="28">MVTSEPT24!#REF!</definedName>
    <definedName name="MODET30000" localSheetId="15">MVTSEPT25!#REF!</definedName>
    <definedName name="MODET30000" localSheetId="39">'PARTAGE INTERET T100'!#REF!</definedName>
    <definedName name="MODET30000B" localSheetId="1">#REF!</definedName>
    <definedName name="MODEVERSEMENT" localSheetId="35">#REF!</definedName>
    <definedName name="MODEVERSEMENT" localSheetId="48">#REF!</definedName>
    <definedName name="MODEVERSEMENT" localSheetId="49">#REF!</definedName>
    <definedName name="MODEVERSEMENT" localSheetId="41">#REF!</definedName>
    <definedName name="MODEVERSEMENT" localSheetId="42">#REF!</definedName>
    <definedName name="MODEVERSEMENT" localSheetId="44">#REF!</definedName>
    <definedName name="MODEVERSEMENT" localSheetId="43">#REF!</definedName>
    <definedName name="MODEVERSEMENT" localSheetId="45">#REF!</definedName>
    <definedName name="MODEVERSEMENT" localSheetId="47">#REF!</definedName>
    <definedName name="MODEVERSEMENT" localSheetId="2">#REF!</definedName>
    <definedName name="MODEVERSEMENT" localSheetId="1">#REF!</definedName>
    <definedName name="MODEVERSEMENT" localSheetId="27">#REF!</definedName>
    <definedName name="MODEVERSEMENT" localSheetId="14">#REF!</definedName>
    <definedName name="MODEVERSEMENT" localSheetId="23">#REF!</definedName>
    <definedName name="MODEVERSEMENT" localSheetId="10">#REF!</definedName>
    <definedName name="MODEVERSEMENT" localSheetId="3">#REF!</definedName>
    <definedName name="MODEVERSEMENT" localSheetId="4">#REF!</definedName>
    <definedName name="MODEVERSEMENT" localSheetId="5">#REF!</definedName>
    <definedName name="MODEVERSEMENT" localSheetId="6">#REF!</definedName>
    <definedName name="MODEVERSEMENT" localSheetId="31">#REF!</definedName>
    <definedName name="MODEVERSEMENT" localSheetId="18">#REF!</definedName>
    <definedName name="MODEVERSEMENT" localSheetId="21">#REF!</definedName>
    <definedName name="MODEVERSEMENT" localSheetId="8">#REF!</definedName>
    <definedName name="MODEVERSEMENT" localSheetId="58">#REF!</definedName>
    <definedName name="MODEVERSEMENT" localSheetId="20">#REF!</definedName>
    <definedName name="MODEVERSEMENT" localSheetId="7">#REF!</definedName>
    <definedName name="MODEVERSEMENT" localSheetId="26">#REF!</definedName>
    <definedName name="MODEVERSEMENT" localSheetId="13">#REF!</definedName>
    <definedName name="MODEVERSEMENT" localSheetId="25">#REF!</definedName>
    <definedName name="MODEVERSEMENT" localSheetId="12">#REF!</definedName>
    <definedName name="MODEVERSEMENT" localSheetId="24">#REF!</definedName>
    <definedName name="MODEVERSEMENT" localSheetId="11">#REF!</definedName>
    <definedName name="MODEVERSEMENT" localSheetId="22">#REF!</definedName>
    <definedName name="MODEVERSEMENT" localSheetId="9">#REF!</definedName>
    <definedName name="MODEVERSEMENT" localSheetId="30">#REF!</definedName>
    <definedName name="MODEVERSEMENT" localSheetId="17">#REF!</definedName>
    <definedName name="MODEVERSEMENT" localSheetId="29">#REF!</definedName>
    <definedName name="MODEVERSEMENT" localSheetId="16">#REF!</definedName>
    <definedName name="MODEVERSEMENT" localSheetId="37">#REF!</definedName>
    <definedName name="MODEVERSEMENT" localSheetId="38">#REF!</definedName>
    <definedName name="MODEVERSEMENT" localSheetId="34">#REF!</definedName>
    <definedName name="MODEVERSEMENT" localSheetId="59">#REF!</definedName>
    <definedName name="MODEVERSEMENT" localSheetId="36">#REF!</definedName>
    <definedName name="MODEVERSEMENT" localSheetId="46">#REF!</definedName>
    <definedName name="MODEVERSEMENT" localSheetId="56">#REF!</definedName>
    <definedName name="MODEVERSEMENT" localSheetId="32">#REF!</definedName>
    <definedName name="MODEVERSEMENT" localSheetId="33">#REF!</definedName>
    <definedName name="MODEVERSEMENT" localSheetId="19">#REF!</definedName>
    <definedName name="MODEVERSEMENT" localSheetId="60">#REF!</definedName>
    <definedName name="MODEVERSEMENT" localSheetId="54">#REF!</definedName>
    <definedName name="MODEVERSEMENT" localSheetId="55">#REF!</definedName>
    <definedName name="MODEVERSEMENT" localSheetId="28">#REF!</definedName>
    <definedName name="MODEVERSEMENT" localSheetId="15">#REF!</definedName>
    <definedName name="MODEVERSEMENT" localSheetId="39">#REF!</definedName>
    <definedName name="MODEVERSEMENT" localSheetId="50">#REF!</definedName>
    <definedName name="MODEVERSEMENT">#REF!</definedName>
    <definedName name="MODEVERSEMENTS" localSheetId="2">MODET25000!$A$1:$A$3</definedName>
    <definedName name="MODEVERSEMENTS" localSheetId="1">MODEVERSEMENT!$A$1:$A$3</definedName>
    <definedName name="MODEVERSEMENTS">[11]MODEVERSEMENT!$A$1:$A$3</definedName>
    <definedName name="MODPAID" localSheetId="27">MVTAOUT24!#REF!</definedName>
    <definedName name="MODPAID" localSheetId="14">MVTAOUT25!#REF!</definedName>
    <definedName name="MODPAID" localSheetId="23">MVTAVRIL24!#REF!</definedName>
    <definedName name="MODPAID" localSheetId="10">MVTAVRIL25!#REF!</definedName>
    <definedName name="MODPAID" localSheetId="3">MVTDEC21!#REF!</definedName>
    <definedName name="MODPAID" localSheetId="4">MVTDEC22!#REF!</definedName>
    <definedName name="MODPAID" localSheetId="5">MVTDEC23!#REF!</definedName>
    <definedName name="MODPAID" localSheetId="6">MVTDEC24!#REF!</definedName>
    <definedName name="MODPAID" localSheetId="31">MVTDEC244!#REF!</definedName>
    <definedName name="MODPAID" localSheetId="18">MVTDEC25!#REF!</definedName>
    <definedName name="MODPAID" localSheetId="21">MVTFEV24!#REF!</definedName>
    <definedName name="MODPAID" localSheetId="8">MVTFEV25!#REF!</definedName>
    <definedName name="MODPAID" localSheetId="58">MVTJANV212!#REF!</definedName>
    <definedName name="MODPAID" localSheetId="20">MVTJANV24!#REF!</definedName>
    <definedName name="MODPAID" localSheetId="7">MVTJANV25!#REF!</definedName>
    <definedName name="MODPAID" localSheetId="26">MVTJUIL24!#REF!</definedName>
    <definedName name="MODPAID" localSheetId="13">MVTJUIL25!#REF!</definedName>
    <definedName name="MODPAID" localSheetId="25">MVTJUIN24!#REF!</definedName>
    <definedName name="MODPAID" localSheetId="12">MVTJUIN25!#REF!</definedName>
    <definedName name="MODPAID" localSheetId="24">MVTMAI24!#REF!</definedName>
    <definedName name="MODPAID" localSheetId="11">MVTMAI25!#REF!</definedName>
    <definedName name="MODPAID" localSheetId="22">MVTMARS24!#REF!</definedName>
    <definedName name="MODPAID" localSheetId="9">MVTMARS25!#REF!</definedName>
    <definedName name="MODPAID" localSheetId="30">MVTNOV24!#REF!</definedName>
    <definedName name="MODPAID" localSheetId="17">MVTNOV25!#REF!</definedName>
    <definedName name="MODPAID" localSheetId="29">MVTOCT24!#REF!</definedName>
    <definedName name="MODPAID" localSheetId="16">MVTOCT25!#REF!</definedName>
    <definedName name="MODPAID" localSheetId="37">'MVTREPARTITION2021 (2)'!#REF!</definedName>
    <definedName name="MODPAID" localSheetId="38">MVTREPARTITION2021DEF!#REF!</definedName>
    <definedName name="MODPAID" localSheetId="34">MVTREPARTITION2022!#REF!</definedName>
    <definedName name="MODPAID" localSheetId="59">'MVTREPARTITION2022 (2)'!#REF!</definedName>
    <definedName name="MODPAID" localSheetId="36">'MVTREPARTITIONEDIT (2)'!#REF!</definedName>
    <definedName name="MODPAID" localSheetId="46">MVTRESUME2019!#REF!</definedName>
    <definedName name="MODPAID" localSheetId="56">MVTRESUME20BACKUP!#REF!</definedName>
    <definedName name="MODPAID" localSheetId="32">MVTRESUME24!#REF!</definedName>
    <definedName name="MODPAID" localSheetId="33">MVTRESUME24EDIT!#REF!</definedName>
    <definedName name="MODPAID" localSheetId="19">MVTRESUME25!#REF!</definedName>
    <definedName name="MODPAID" localSheetId="60">'MVTRESUME25 (2)'!#REF!</definedName>
    <definedName name="MODPAID" localSheetId="54">MVTRESUMEEDIT2019!#REF!</definedName>
    <definedName name="MODPAID" localSheetId="55">MVTRESUMETAB!#REF!</definedName>
    <definedName name="MODPAID" localSheetId="28">MVTSEPT24!#REF!</definedName>
    <definedName name="MODPAID" localSheetId="15">MVTSEPT25!#REF!</definedName>
    <definedName name="MODPAID" localSheetId="39">'PARTAGE INTERET T100'!#REF!</definedName>
    <definedName name="VALMODEPAID" localSheetId="57">[12]MODEPAID!$A$1:$A$3</definedName>
    <definedName name="VALMODEPAID" localSheetId="27">[13]MODEPAID!$A$1:$A$3</definedName>
    <definedName name="VALMODEPAID" localSheetId="14">[13]MODEPAID!$A$1:$A$3</definedName>
    <definedName name="VALMODEPAID" localSheetId="23">[13]MODEPAID!$A$1:$A$3</definedName>
    <definedName name="VALMODEPAID" localSheetId="10">[13]MODEPAID!$A$1:$A$3</definedName>
    <definedName name="VALMODEPAID" localSheetId="3">[13]MODEPAID!$A$1:$A$3</definedName>
    <definedName name="VALMODEPAID" localSheetId="4">[13]MODEPAID!$A$1:$A$3</definedName>
    <definedName name="VALMODEPAID" localSheetId="5">[13]MODEPAID!$A$1:$A$3</definedName>
    <definedName name="VALMODEPAID" localSheetId="6">[13]MODEPAID!$A$1:$A$3</definedName>
    <definedName name="VALMODEPAID" localSheetId="31">[13]MODEPAID!$A$1:$A$3</definedName>
    <definedName name="VALMODEPAID" localSheetId="18">[13]MODEPAID!$A$1:$A$3</definedName>
    <definedName name="VALMODEPAID" localSheetId="21">[13]MODEPAID!$A$1:$A$3</definedName>
    <definedName name="VALMODEPAID" localSheetId="8">[13]MODEPAID!$A$1:$A$3</definedName>
    <definedName name="VALMODEPAID" localSheetId="20">[13]MODEPAID!$A$1:$A$3</definedName>
    <definedName name="VALMODEPAID" localSheetId="7">[13]MODEPAID!$A$1:$A$3</definedName>
    <definedName name="VALMODEPAID" localSheetId="26">[13]MODEPAID!$A$1:$A$3</definedName>
    <definedName name="VALMODEPAID" localSheetId="13">[13]MODEPAID!$A$1:$A$3</definedName>
    <definedName name="VALMODEPAID" localSheetId="25">[13]MODEPAID!$A$1:$A$3</definedName>
    <definedName name="VALMODEPAID" localSheetId="12">[13]MODEPAID!$A$1:$A$3</definedName>
    <definedName name="VALMODEPAID" localSheetId="24">[13]MODEPAID!$A$1:$A$3</definedName>
    <definedName name="VALMODEPAID" localSheetId="11">[13]MODEPAID!$A$1:$A$3</definedName>
    <definedName name="VALMODEPAID" localSheetId="22">[13]MODEPAID!$A$1:$A$3</definedName>
    <definedName name="VALMODEPAID" localSheetId="9">[13]MODEPAID!$A$1:$A$3</definedName>
    <definedName name="VALMODEPAID" localSheetId="30">[13]MODEPAID!$A$1:$A$3</definedName>
    <definedName name="VALMODEPAID" localSheetId="17">[13]MODEPAID!$A$1:$A$3</definedName>
    <definedName name="VALMODEPAID" localSheetId="29">[13]MODEPAID!$A$1:$A$3</definedName>
    <definedName name="VALMODEPAID" localSheetId="16">[13]MODEPAID!$A$1:$A$3</definedName>
    <definedName name="VALMODEPAID" localSheetId="32">[13]MODEPAID!$A$1:$A$3</definedName>
    <definedName name="VALMODEPAID" localSheetId="33">[13]MODEPAID!$A$1:$A$3</definedName>
    <definedName name="VALMODEPAID" localSheetId="19">[13]MODEPAID!$A$1:$A$3</definedName>
    <definedName name="VALMODEPAID" localSheetId="60">[13]MODEPAID!$A$1:$A$3</definedName>
    <definedName name="VALMODEPAID" localSheetId="28">[13]MODEPAID!$A$1:$A$3</definedName>
    <definedName name="VALMODEPAID" localSheetId="15">[13]MODEPAID!$A$1:$A$3</definedName>
    <definedName name="VALMODEPAID">[14]MODEPAID!$A$1:$A$3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8" i="185" l="1"/>
  <c r="AA42" i="186" l="1"/>
  <c r="B42" i="186"/>
  <c r="AA41" i="186"/>
  <c r="B41" i="186"/>
  <c r="AA40" i="186"/>
  <c r="B40" i="186"/>
  <c r="AA39" i="186"/>
  <c r="B39" i="186"/>
  <c r="AA38" i="186"/>
  <c r="B38" i="186"/>
  <c r="AA37" i="186"/>
  <c r="B37" i="186"/>
  <c r="AA36" i="186"/>
  <c r="B36" i="186"/>
  <c r="AA35" i="186"/>
  <c r="B35" i="186"/>
  <c r="AA34" i="186"/>
  <c r="B34" i="186"/>
  <c r="AA33" i="186"/>
  <c r="B33" i="186"/>
  <c r="AA32" i="186"/>
  <c r="B32" i="186"/>
  <c r="AA31" i="186"/>
  <c r="B31" i="186"/>
  <c r="AA30" i="186"/>
  <c r="B30" i="186"/>
  <c r="AA29" i="186"/>
  <c r="B29" i="186"/>
  <c r="AA28" i="186"/>
  <c r="B28" i="186"/>
  <c r="AA27" i="186"/>
  <c r="B27" i="186"/>
  <c r="AA26" i="186"/>
  <c r="B26" i="186"/>
  <c r="AA25" i="186"/>
  <c r="B25" i="186"/>
  <c r="AA24" i="186"/>
  <c r="B24" i="186"/>
  <c r="AA23" i="186"/>
  <c r="B23" i="186"/>
  <c r="AA22" i="186"/>
  <c r="B22" i="186"/>
  <c r="AA21" i="186"/>
  <c r="B21" i="186"/>
  <c r="AA20" i="186"/>
  <c r="B20" i="186"/>
  <c r="AA19" i="186"/>
  <c r="B19" i="186"/>
  <c r="AA18" i="186"/>
  <c r="B18" i="186"/>
  <c r="AA17" i="186"/>
  <c r="B17" i="186"/>
  <c r="AA16" i="186"/>
  <c r="B16" i="186"/>
  <c r="AA15" i="186"/>
  <c r="B15" i="186"/>
  <c r="AA14" i="186"/>
  <c r="B14" i="186"/>
  <c r="AA13" i="186"/>
  <c r="B13" i="186"/>
  <c r="AA12" i="186"/>
  <c r="B12" i="186"/>
  <c r="AA11" i="186"/>
  <c r="B11" i="186"/>
  <c r="AA10" i="186"/>
  <c r="B10" i="186"/>
  <c r="AA9" i="186"/>
  <c r="B9" i="186"/>
  <c r="AA8" i="186"/>
  <c r="B8" i="186"/>
  <c r="AA7" i="186"/>
  <c r="B7" i="186"/>
  <c r="AA6" i="186"/>
  <c r="AA44" i="186" s="1"/>
  <c r="E6" i="186"/>
  <c r="C6" i="186"/>
  <c r="B6" i="186"/>
  <c r="C8" i="168"/>
  <c r="C8" i="186" s="1"/>
  <c r="D8" i="168"/>
  <c r="E8" i="168"/>
  <c r="C9" i="168"/>
  <c r="C9" i="186" s="1"/>
  <c r="D9" i="168"/>
  <c r="E9" i="168"/>
  <c r="C10" i="168"/>
  <c r="D10" i="168"/>
  <c r="E10" i="168"/>
  <c r="C11" i="168"/>
  <c r="C11" i="186" s="1"/>
  <c r="D11" i="168"/>
  <c r="E11" i="168"/>
  <c r="C12" i="168"/>
  <c r="D12" i="168"/>
  <c r="E12" i="168"/>
  <c r="C13" i="168"/>
  <c r="C13" i="186" s="1"/>
  <c r="D13" i="168"/>
  <c r="E13" i="168"/>
  <c r="C14" i="168"/>
  <c r="C14" i="186" s="1"/>
  <c r="D14" i="168"/>
  <c r="E14" i="168"/>
  <c r="C15" i="168"/>
  <c r="C15" i="186" s="1"/>
  <c r="D15" i="168"/>
  <c r="E15" i="168"/>
  <c r="C16" i="168"/>
  <c r="D16" i="168"/>
  <c r="E16" i="168"/>
  <c r="C17" i="168"/>
  <c r="C17" i="186" s="1"/>
  <c r="D17" i="168"/>
  <c r="E17" i="168"/>
  <c r="C18" i="168"/>
  <c r="D18" i="168"/>
  <c r="E18" i="168"/>
  <c r="C19" i="168"/>
  <c r="C19" i="186" s="1"/>
  <c r="D19" i="168"/>
  <c r="E19" i="168"/>
  <c r="C20" i="168"/>
  <c r="C20" i="186" s="1"/>
  <c r="D20" i="168"/>
  <c r="E20" i="168"/>
  <c r="C21" i="168"/>
  <c r="C21" i="186" s="1"/>
  <c r="D21" i="168"/>
  <c r="E21" i="168"/>
  <c r="C22" i="168"/>
  <c r="D22" i="168"/>
  <c r="E22" i="168"/>
  <c r="C23" i="168"/>
  <c r="C23" i="186" s="1"/>
  <c r="D23" i="168"/>
  <c r="E23" i="168"/>
  <c r="C24" i="168"/>
  <c r="D24" i="168"/>
  <c r="E24" i="168"/>
  <c r="C25" i="168"/>
  <c r="C25" i="186" s="1"/>
  <c r="D25" i="168"/>
  <c r="E25" i="168"/>
  <c r="C26" i="168"/>
  <c r="D26" i="168"/>
  <c r="E26" i="168"/>
  <c r="C27" i="168"/>
  <c r="C27" i="186" s="1"/>
  <c r="D27" i="168"/>
  <c r="E27" i="168"/>
  <c r="C28" i="168"/>
  <c r="D28" i="168"/>
  <c r="E28" i="168"/>
  <c r="C29" i="168"/>
  <c r="C29" i="186" s="1"/>
  <c r="D29" i="168"/>
  <c r="E29" i="168"/>
  <c r="C30" i="168"/>
  <c r="D30" i="168"/>
  <c r="E30" i="168"/>
  <c r="C31" i="168"/>
  <c r="C31" i="186" s="1"/>
  <c r="D31" i="168"/>
  <c r="E31" i="168"/>
  <c r="C32" i="168"/>
  <c r="D32" i="168"/>
  <c r="E32" i="168"/>
  <c r="C33" i="168"/>
  <c r="C33" i="186" s="1"/>
  <c r="D33" i="168"/>
  <c r="D33" i="186" s="1"/>
  <c r="E33" i="168"/>
  <c r="C34" i="168"/>
  <c r="D34" i="168"/>
  <c r="E34" i="168"/>
  <c r="C35" i="168"/>
  <c r="C35" i="186" s="1"/>
  <c r="D35" i="168"/>
  <c r="E35" i="168"/>
  <c r="C36" i="168"/>
  <c r="D36" i="168"/>
  <c r="E36" i="168"/>
  <c r="C37" i="168"/>
  <c r="C37" i="186" s="1"/>
  <c r="D37" i="168"/>
  <c r="E37" i="168"/>
  <c r="C38" i="168"/>
  <c r="D38" i="168"/>
  <c r="E38" i="168"/>
  <c r="C39" i="168"/>
  <c r="C39" i="186" s="1"/>
  <c r="D39" i="168"/>
  <c r="E39" i="168"/>
  <c r="C40" i="168"/>
  <c r="D40" i="168"/>
  <c r="E40" i="168"/>
  <c r="C41" i="168"/>
  <c r="C41" i="186" s="1"/>
  <c r="D41" i="168"/>
  <c r="E41" i="168"/>
  <c r="C42" i="168"/>
  <c r="D42" i="168"/>
  <c r="E42" i="168"/>
  <c r="F12" i="168" l="1"/>
  <c r="F13" i="168"/>
  <c r="D11" i="186"/>
  <c r="F29" i="168"/>
  <c r="F32" i="168"/>
  <c r="C32" i="186"/>
  <c r="D18" i="186"/>
  <c r="D36" i="186"/>
  <c r="F34" i="168"/>
  <c r="C34" i="186"/>
  <c r="F31" i="168"/>
  <c r="D27" i="186"/>
  <c r="D20" i="186"/>
  <c r="F18" i="168"/>
  <c r="F15" i="168"/>
  <c r="C12" i="186"/>
  <c r="F16" i="168"/>
  <c r="C16" i="186"/>
  <c r="D38" i="186"/>
  <c r="F36" i="168"/>
  <c r="C36" i="186"/>
  <c r="F33" i="168"/>
  <c r="D29" i="186"/>
  <c r="D22" i="186"/>
  <c r="F20" i="168"/>
  <c r="F17" i="168"/>
  <c r="D13" i="186"/>
  <c r="D12" i="186"/>
  <c r="D9" i="186"/>
  <c r="D40" i="186"/>
  <c r="F38" i="168"/>
  <c r="G38" i="168" s="1"/>
  <c r="C38" i="186"/>
  <c r="F35" i="168"/>
  <c r="D31" i="186"/>
  <c r="D24" i="186"/>
  <c r="F22" i="168"/>
  <c r="C22" i="186"/>
  <c r="F19" i="168"/>
  <c r="D15" i="186"/>
  <c r="D8" i="186"/>
  <c r="D14" i="186"/>
  <c r="D17" i="186"/>
  <c r="D41" i="186"/>
  <c r="D25" i="186"/>
  <c r="F40" i="168"/>
  <c r="C40" i="186"/>
  <c r="F37" i="168"/>
  <c r="D26" i="186"/>
  <c r="F24" i="168"/>
  <c r="C24" i="186"/>
  <c r="F21" i="168"/>
  <c r="D10" i="186"/>
  <c r="F8" i="168"/>
  <c r="D42" i="186"/>
  <c r="F39" i="168"/>
  <c r="D35" i="186"/>
  <c r="D28" i="186"/>
  <c r="F26" i="168"/>
  <c r="C26" i="186"/>
  <c r="F23" i="168"/>
  <c r="F10" i="168"/>
  <c r="C10" i="186"/>
  <c r="D33" i="185"/>
  <c r="C18" i="186"/>
  <c r="F42" i="168"/>
  <c r="C42" i="186"/>
  <c r="D37" i="186"/>
  <c r="D30" i="186"/>
  <c r="F28" i="168"/>
  <c r="C28" i="186"/>
  <c r="F25" i="168"/>
  <c r="D21" i="186"/>
  <c r="F9" i="168"/>
  <c r="D34" i="186"/>
  <c r="F41" i="168"/>
  <c r="D39" i="186"/>
  <c r="D32" i="186"/>
  <c r="F30" i="168"/>
  <c r="C30" i="186"/>
  <c r="F27" i="168"/>
  <c r="D23" i="186"/>
  <c r="D16" i="186"/>
  <c r="F14" i="168"/>
  <c r="F11" i="168"/>
  <c r="D19" i="186"/>
  <c r="T28" i="171" l="1"/>
  <c r="C20" i="185" l="1"/>
  <c r="AA20" i="185"/>
  <c r="E20" i="183"/>
  <c r="H20" i="183"/>
  <c r="J20" i="183"/>
  <c r="K20" i="183"/>
  <c r="P20" i="183"/>
  <c r="Q20" i="183"/>
  <c r="R20" i="183"/>
  <c r="S20" i="183"/>
  <c r="T20" i="183"/>
  <c r="U20" i="183"/>
  <c r="V20" i="183"/>
  <c r="W20" i="183"/>
  <c r="X20" i="183"/>
  <c r="Y20" i="183"/>
  <c r="Z20" i="183"/>
  <c r="AB20" i="183"/>
  <c r="AC20" i="183"/>
  <c r="AD20" i="183"/>
  <c r="AE20" i="183"/>
  <c r="AF20" i="183"/>
  <c r="AG20" i="183"/>
  <c r="AH20" i="183"/>
  <c r="AI20" i="183"/>
  <c r="AJ20" i="183"/>
  <c r="AK20" i="183"/>
  <c r="E20" i="182"/>
  <c r="H20" i="182"/>
  <c r="J20" i="182"/>
  <c r="K20" i="182"/>
  <c r="L20" i="182" s="1"/>
  <c r="P20" i="182"/>
  <c r="Q20" i="182"/>
  <c r="R20" i="182"/>
  <c r="S20" i="182"/>
  <c r="T20" i="182"/>
  <c r="U20" i="182"/>
  <c r="V20" i="182"/>
  <c r="W20" i="182"/>
  <c r="X20" i="182"/>
  <c r="Y20" i="182"/>
  <c r="Z20" i="182"/>
  <c r="AB20" i="182"/>
  <c r="AC20" i="182"/>
  <c r="AD20" i="182"/>
  <c r="AE20" i="182"/>
  <c r="AF20" i="182"/>
  <c r="AG20" i="182"/>
  <c r="AH20" i="182"/>
  <c r="AI20" i="182"/>
  <c r="AJ20" i="182"/>
  <c r="AK20" i="182"/>
  <c r="E20" i="181"/>
  <c r="H20" i="181"/>
  <c r="J20" i="181"/>
  <c r="K20" i="181"/>
  <c r="P20" i="181"/>
  <c r="Q20" i="181"/>
  <c r="R20" i="181"/>
  <c r="S20" i="181"/>
  <c r="T20" i="181"/>
  <c r="U20" i="181"/>
  <c r="V20" i="181"/>
  <c r="W20" i="181"/>
  <c r="X20" i="181"/>
  <c r="Y20" i="181"/>
  <c r="Z20" i="181"/>
  <c r="AB20" i="181"/>
  <c r="AC20" i="181"/>
  <c r="AD20" i="181"/>
  <c r="AE20" i="181"/>
  <c r="AF20" i="181"/>
  <c r="AG20" i="181"/>
  <c r="AH20" i="181"/>
  <c r="AI20" i="181"/>
  <c r="AJ20" i="181"/>
  <c r="AK20" i="181"/>
  <c r="E20" i="180"/>
  <c r="H20" i="180"/>
  <c r="J20" i="180"/>
  <c r="K20" i="180"/>
  <c r="L20" i="180" s="1"/>
  <c r="P20" i="180"/>
  <c r="Q20" i="180"/>
  <c r="R20" i="180"/>
  <c r="S20" i="180"/>
  <c r="T20" i="180"/>
  <c r="U20" i="180"/>
  <c r="V20" i="180"/>
  <c r="W20" i="180"/>
  <c r="X20" i="180"/>
  <c r="Y20" i="180"/>
  <c r="Z20" i="180"/>
  <c r="AB20" i="180"/>
  <c r="AC20" i="180"/>
  <c r="AD20" i="180"/>
  <c r="AE20" i="180"/>
  <c r="AF20" i="180"/>
  <c r="AG20" i="180"/>
  <c r="AH20" i="180"/>
  <c r="AI20" i="180"/>
  <c r="AJ20" i="180"/>
  <c r="AK20" i="180"/>
  <c r="E20" i="179"/>
  <c r="H20" i="179"/>
  <c r="J20" i="179"/>
  <c r="K20" i="179"/>
  <c r="L20" i="179" s="1"/>
  <c r="P20" i="179"/>
  <c r="Q20" i="179"/>
  <c r="R20" i="179"/>
  <c r="S20" i="179"/>
  <c r="T20" i="179"/>
  <c r="U20" i="179"/>
  <c r="V20" i="179"/>
  <c r="W20" i="179"/>
  <c r="X20" i="179"/>
  <c r="Y20" i="179"/>
  <c r="Z20" i="179"/>
  <c r="AB20" i="179"/>
  <c r="AC20" i="179"/>
  <c r="AD20" i="179"/>
  <c r="AE20" i="179"/>
  <c r="AF20" i="179"/>
  <c r="AG20" i="179"/>
  <c r="AH20" i="179"/>
  <c r="AI20" i="179"/>
  <c r="AJ20" i="179"/>
  <c r="AK20" i="179"/>
  <c r="E20" i="178"/>
  <c r="H20" i="178"/>
  <c r="J20" i="178"/>
  <c r="K20" i="178"/>
  <c r="P20" i="178"/>
  <c r="Q20" i="178"/>
  <c r="R20" i="178"/>
  <c r="S20" i="178"/>
  <c r="T20" i="178"/>
  <c r="U20" i="178"/>
  <c r="V20" i="178"/>
  <c r="W20" i="178"/>
  <c r="X20" i="178"/>
  <c r="Y20" i="178"/>
  <c r="Z20" i="178"/>
  <c r="AB20" i="178"/>
  <c r="AC20" i="178"/>
  <c r="AD20" i="178"/>
  <c r="AE20" i="178"/>
  <c r="AF20" i="178"/>
  <c r="AG20" i="178"/>
  <c r="AH20" i="178"/>
  <c r="AI20" i="178"/>
  <c r="AJ20" i="178"/>
  <c r="AK20" i="178"/>
  <c r="E20" i="177"/>
  <c r="H20" i="177"/>
  <c r="J20" i="177"/>
  <c r="K20" i="177"/>
  <c r="P20" i="177"/>
  <c r="Q20" i="177"/>
  <c r="R20" i="177"/>
  <c r="S20" i="177"/>
  <c r="T20" i="177"/>
  <c r="U20" i="177"/>
  <c r="V20" i="177"/>
  <c r="W20" i="177"/>
  <c r="X20" i="177"/>
  <c r="Y20" i="177"/>
  <c r="Z20" i="177"/>
  <c r="AB20" i="177"/>
  <c r="AC20" i="177"/>
  <c r="AD20" i="177"/>
  <c r="AE20" i="177"/>
  <c r="AF20" i="177"/>
  <c r="AG20" i="177"/>
  <c r="AH20" i="177"/>
  <c r="AI20" i="177"/>
  <c r="AJ20" i="177"/>
  <c r="AK20" i="177"/>
  <c r="E20" i="176"/>
  <c r="H20" i="176"/>
  <c r="J20" i="176"/>
  <c r="K20" i="176"/>
  <c r="P20" i="176"/>
  <c r="Q20" i="176"/>
  <c r="R20" i="176"/>
  <c r="S20" i="176"/>
  <c r="T20" i="176"/>
  <c r="U20" i="176"/>
  <c r="V20" i="176"/>
  <c r="W20" i="176"/>
  <c r="X20" i="176"/>
  <c r="Y20" i="176"/>
  <c r="Z20" i="176"/>
  <c r="AB20" i="176"/>
  <c r="AC20" i="176"/>
  <c r="AD20" i="176"/>
  <c r="AE20" i="176"/>
  <c r="AF20" i="176"/>
  <c r="AG20" i="176"/>
  <c r="AH20" i="176"/>
  <c r="AI20" i="176"/>
  <c r="AJ20" i="176"/>
  <c r="AK20" i="176"/>
  <c r="E20" i="175"/>
  <c r="H20" i="175"/>
  <c r="J20" i="175"/>
  <c r="K20" i="175"/>
  <c r="P20" i="175"/>
  <c r="Q20" i="175"/>
  <c r="R20" i="175"/>
  <c r="S20" i="175"/>
  <c r="T20" i="175"/>
  <c r="U20" i="175"/>
  <c r="V20" i="175"/>
  <c r="W20" i="175"/>
  <c r="X20" i="175"/>
  <c r="Y20" i="175"/>
  <c r="Z20" i="175"/>
  <c r="AB20" i="175"/>
  <c r="AC20" i="175"/>
  <c r="AD20" i="175"/>
  <c r="AE20" i="175"/>
  <c r="AF20" i="175"/>
  <c r="AG20" i="175"/>
  <c r="AH20" i="175"/>
  <c r="AI20" i="175"/>
  <c r="AJ20" i="175"/>
  <c r="AK20" i="175"/>
  <c r="E20" i="171"/>
  <c r="H20" i="171"/>
  <c r="J20" i="171"/>
  <c r="K20" i="171"/>
  <c r="M20" i="171" s="1"/>
  <c r="P20" i="171"/>
  <c r="Q20" i="171"/>
  <c r="R20" i="171"/>
  <c r="S20" i="171"/>
  <c r="T20" i="171"/>
  <c r="U20" i="171"/>
  <c r="V20" i="171"/>
  <c r="W20" i="171"/>
  <c r="X20" i="171"/>
  <c r="Y20" i="171"/>
  <c r="Z20" i="171"/>
  <c r="AB20" i="171"/>
  <c r="AC20" i="171"/>
  <c r="AD20" i="171"/>
  <c r="AE20" i="171"/>
  <c r="AF20" i="171"/>
  <c r="AG20" i="171"/>
  <c r="AH20" i="171"/>
  <c r="AI20" i="171"/>
  <c r="AJ20" i="171"/>
  <c r="AK20" i="171"/>
  <c r="M20" i="170"/>
  <c r="N20" i="170"/>
  <c r="O20" i="170"/>
  <c r="P20" i="170"/>
  <c r="Q20" i="170"/>
  <c r="R20" i="170"/>
  <c r="S20" i="170"/>
  <c r="T20" i="170"/>
  <c r="U20" i="170"/>
  <c r="V20" i="170"/>
  <c r="W20" i="170"/>
  <c r="X20" i="170"/>
  <c r="Y20" i="170"/>
  <c r="Z20" i="170"/>
  <c r="AB20" i="170"/>
  <c r="AC20" i="170"/>
  <c r="AD20" i="170"/>
  <c r="AE20" i="170"/>
  <c r="AF20" i="170"/>
  <c r="AG20" i="170"/>
  <c r="AH20" i="170"/>
  <c r="AI20" i="170"/>
  <c r="AJ20" i="170"/>
  <c r="AK20" i="170"/>
  <c r="E20" i="166"/>
  <c r="H20" i="166"/>
  <c r="J20" i="166"/>
  <c r="K20" i="166"/>
  <c r="P20" i="166"/>
  <c r="Q20" i="166"/>
  <c r="R20" i="166"/>
  <c r="S20" i="166"/>
  <c r="T20" i="166"/>
  <c r="U20" i="166"/>
  <c r="V20" i="166"/>
  <c r="W20" i="166"/>
  <c r="X20" i="166"/>
  <c r="Y20" i="166"/>
  <c r="Z20" i="166"/>
  <c r="AB20" i="166"/>
  <c r="AC20" i="166"/>
  <c r="AD20" i="166"/>
  <c r="AE20" i="166"/>
  <c r="AF20" i="166"/>
  <c r="AG20" i="166"/>
  <c r="AH20" i="166"/>
  <c r="AI20" i="166"/>
  <c r="AJ20" i="166"/>
  <c r="AK20" i="166"/>
  <c r="AF20" i="186" l="1"/>
  <c r="AE20" i="186"/>
  <c r="J20" i="186"/>
  <c r="AD20" i="186"/>
  <c r="H20" i="186"/>
  <c r="AK20" i="186"/>
  <c r="AC20" i="186"/>
  <c r="E20" i="186"/>
  <c r="AJ20" i="186"/>
  <c r="AB20" i="186"/>
  <c r="AI20" i="186"/>
  <c r="Z20" i="186"/>
  <c r="R20" i="186"/>
  <c r="AG20" i="186"/>
  <c r="P20" i="186"/>
  <c r="N20" i="166"/>
  <c r="K20" i="186"/>
  <c r="V20" i="186"/>
  <c r="S20" i="185"/>
  <c r="S20" i="186"/>
  <c r="AH20" i="186"/>
  <c r="Y20" i="186"/>
  <c r="Q20" i="186"/>
  <c r="U20" i="186"/>
  <c r="T20" i="186"/>
  <c r="N20" i="181"/>
  <c r="L20" i="181"/>
  <c r="N20" i="175"/>
  <c r="L20" i="175"/>
  <c r="N20" i="176"/>
  <c r="L20" i="176"/>
  <c r="M20" i="183"/>
  <c r="L20" i="183"/>
  <c r="N20" i="177"/>
  <c r="L20" i="177"/>
  <c r="M20" i="178"/>
  <c r="L20" i="178"/>
  <c r="H20" i="185"/>
  <c r="T20" i="185"/>
  <c r="O20" i="179"/>
  <c r="O20" i="182"/>
  <c r="AD20" i="185"/>
  <c r="U20" i="185"/>
  <c r="AK20" i="185"/>
  <c r="AC20" i="185"/>
  <c r="J20" i="185"/>
  <c r="AJ20" i="185"/>
  <c r="R20" i="185"/>
  <c r="E20" i="185"/>
  <c r="AH20" i="185"/>
  <c r="Q20" i="185"/>
  <c r="N20" i="182"/>
  <c r="AG20" i="185"/>
  <c r="P20" i="185"/>
  <c r="O20" i="180"/>
  <c r="M20" i="182"/>
  <c r="O20" i="177"/>
  <c r="N20" i="180"/>
  <c r="AI20" i="185"/>
  <c r="AF20" i="185"/>
  <c r="M20" i="166"/>
  <c r="Z20" i="185"/>
  <c r="M20" i="177"/>
  <c r="M20" i="180"/>
  <c r="AB20" i="185"/>
  <c r="AE20" i="185"/>
  <c r="V20" i="185"/>
  <c r="L20" i="166"/>
  <c r="Y20" i="185"/>
  <c r="N20" i="179"/>
  <c r="M20" i="175"/>
  <c r="M20" i="179"/>
  <c r="O20" i="181"/>
  <c r="O20" i="178"/>
  <c r="M20" i="181"/>
  <c r="O20" i="183"/>
  <c r="N20" i="178"/>
  <c r="N20" i="183"/>
  <c r="K20" i="185"/>
  <c r="M20" i="176"/>
  <c r="O20" i="176"/>
  <c r="O20" i="175"/>
  <c r="O20" i="171"/>
  <c r="N20" i="171"/>
  <c r="L20" i="171"/>
  <c r="O20" i="166"/>
  <c r="W20" i="186" l="1"/>
  <c r="M20" i="186"/>
  <c r="O20" i="186"/>
  <c r="F20" i="166"/>
  <c r="L20" i="186"/>
  <c r="N20" i="186"/>
  <c r="M20" i="185"/>
  <c r="L20" i="185"/>
  <c r="W20" i="185"/>
  <c r="F20" i="171"/>
  <c r="F20" i="175" s="1"/>
  <c r="F20" i="176" s="1"/>
  <c r="N20" i="185"/>
  <c r="O20" i="185"/>
  <c r="G20" i="166" l="1"/>
  <c r="I20" i="166"/>
  <c r="G20" i="175"/>
  <c r="G20" i="171"/>
  <c r="I20" i="171"/>
  <c r="I20" i="175"/>
  <c r="G20" i="176"/>
  <c r="I20" i="176"/>
  <c r="F20" i="177"/>
  <c r="F20" i="178" l="1"/>
  <c r="I20" i="177"/>
  <c r="G20" i="177"/>
  <c r="F20" i="179" l="1"/>
  <c r="I20" i="178"/>
  <c r="G20" i="178"/>
  <c r="F20" i="180" l="1"/>
  <c r="G20" i="179"/>
  <c r="I20" i="179"/>
  <c r="I20" i="180" l="1"/>
  <c r="F20" i="181"/>
  <c r="G20" i="180"/>
  <c r="I20" i="181" l="1"/>
  <c r="F20" i="182"/>
  <c r="G20" i="181"/>
  <c r="I20" i="182" l="1"/>
  <c r="F20" i="183"/>
  <c r="F20" i="186" s="1"/>
  <c r="I20" i="186" s="1"/>
  <c r="G20" i="182"/>
  <c r="F20" i="185" l="1"/>
  <c r="I20" i="185" s="1"/>
  <c r="G20" i="183"/>
  <c r="G20" i="186" s="1"/>
  <c r="I20" i="183"/>
  <c r="G20" i="185" l="1"/>
  <c r="B20" i="185"/>
  <c r="B20" i="183"/>
  <c r="B20" i="182"/>
  <c r="B20" i="181"/>
  <c r="B20" i="180"/>
  <c r="B20" i="179"/>
  <c r="B20" i="178"/>
  <c r="B20" i="177"/>
  <c r="B20" i="176"/>
  <c r="B20" i="175"/>
  <c r="B20" i="171"/>
  <c r="B20" i="170"/>
  <c r="B20" i="166"/>
  <c r="D7" i="168" l="1"/>
  <c r="D7" i="186" l="1"/>
  <c r="D20" i="185"/>
  <c r="B20" i="168"/>
  <c r="T16" i="175" l="1"/>
  <c r="T16" i="171"/>
  <c r="T11" i="171" l="1"/>
  <c r="S42" i="168"/>
  <c r="T42" i="168"/>
  <c r="T36" i="168"/>
  <c r="T37" i="168"/>
  <c r="T38" i="168"/>
  <c r="T39" i="168"/>
  <c r="T40" i="168"/>
  <c r="T41" i="168"/>
  <c r="T32" i="168"/>
  <c r="T33" i="168"/>
  <c r="T34" i="168"/>
  <c r="T35" i="168"/>
  <c r="T29" i="168"/>
  <c r="T30" i="168"/>
  <c r="T31" i="168"/>
  <c r="T27" i="168"/>
  <c r="T28" i="168"/>
  <c r="T25" i="168"/>
  <c r="T26" i="168"/>
  <c r="S21" i="168"/>
  <c r="S22" i="168"/>
  <c r="S23" i="168"/>
  <c r="S24" i="168"/>
  <c r="T23" i="168"/>
  <c r="T24" i="168"/>
  <c r="T18" i="168"/>
  <c r="T19" i="168"/>
  <c r="T21" i="168"/>
  <c r="T22" i="168"/>
  <c r="T13" i="168"/>
  <c r="T14" i="168"/>
  <c r="T15" i="168"/>
  <c r="T17" i="168"/>
  <c r="T12" i="168"/>
  <c r="T9" i="168"/>
  <c r="T10" i="168"/>
  <c r="T8" i="168"/>
  <c r="S15" i="168"/>
  <c r="S16" i="168"/>
  <c r="S17" i="168"/>
  <c r="S18" i="168"/>
  <c r="S19" i="168"/>
  <c r="S25" i="168"/>
  <c r="S26" i="168"/>
  <c r="S27" i="168"/>
  <c r="S28" i="168"/>
  <c r="S29" i="168"/>
  <c r="S30" i="168"/>
  <c r="S31" i="168"/>
  <c r="S32" i="168"/>
  <c r="S33" i="168"/>
  <c r="S34" i="168"/>
  <c r="S35" i="168"/>
  <c r="S36" i="168"/>
  <c r="S37" i="168"/>
  <c r="S38" i="168"/>
  <c r="S39" i="168"/>
  <c r="S40" i="168"/>
  <c r="S41" i="168"/>
  <c r="S9" i="168"/>
  <c r="S10" i="168"/>
  <c r="S11" i="168"/>
  <c r="S12" i="168"/>
  <c r="S13" i="168"/>
  <c r="S14" i="168"/>
  <c r="S8" i="168"/>
  <c r="S11" i="171"/>
  <c r="S12" i="171"/>
  <c r="T11" i="168" l="1"/>
  <c r="T16" i="168"/>
  <c r="T30" i="171" l="1"/>
  <c r="T29" i="171"/>
  <c r="S30" i="171"/>
  <c r="S29" i="171"/>
  <c r="H33" i="170" l="1"/>
  <c r="H37" i="170"/>
  <c r="H38" i="170"/>
  <c r="H7" i="166"/>
  <c r="H8" i="166"/>
  <c r="H9" i="166"/>
  <c r="H10" i="166"/>
  <c r="H11" i="166"/>
  <c r="H12" i="166"/>
  <c r="H13" i="166"/>
  <c r="H14" i="166"/>
  <c r="H15" i="166"/>
  <c r="H16" i="166"/>
  <c r="H17" i="166"/>
  <c r="H18" i="166"/>
  <c r="H19" i="166"/>
  <c r="H21" i="166"/>
  <c r="H22" i="166"/>
  <c r="H23" i="166"/>
  <c r="H24" i="166"/>
  <c r="H25" i="166"/>
  <c r="H26" i="166"/>
  <c r="H27" i="166"/>
  <c r="H28" i="166"/>
  <c r="H29" i="166"/>
  <c r="H30" i="166"/>
  <c r="H31" i="166"/>
  <c r="H32" i="166"/>
  <c r="H33" i="166"/>
  <c r="H34" i="166"/>
  <c r="H35" i="166"/>
  <c r="H36" i="166"/>
  <c r="H37" i="166"/>
  <c r="H38" i="166"/>
  <c r="H39" i="166"/>
  <c r="H40" i="166"/>
  <c r="H41" i="166"/>
  <c r="H42" i="166"/>
  <c r="H6" i="166"/>
  <c r="S28" i="171"/>
  <c r="T18" i="166" l="1"/>
  <c r="B42" i="185" l="1"/>
  <c r="B41" i="185"/>
  <c r="B40" i="185"/>
  <c r="B39" i="185"/>
  <c r="B38" i="185"/>
  <c r="B37" i="185"/>
  <c r="B36" i="185"/>
  <c r="B35" i="185"/>
  <c r="B34" i="185"/>
  <c r="B33" i="185"/>
  <c r="B32" i="185"/>
  <c r="B31" i="185"/>
  <c r="B30" i="185"/>
  <c r="B29" i="185"/>
  <c r="B28" i="185"/>
  <c r="B27" i="185"/>
  <c r="B26" i="185"/>
  <c r="B25" i="185"/>
  <c r="B24" i="185"/>
  <c r="B23" i="185"/>
  <c r="B22" i="185"/>
  <c r="B21" i="185"/>
  <c r="B19" i="185"/>
  <c r="B18" i="185"/>
  <c r="B17" i="185"/>
  <c r="B16" i="185"/>
  <c r="B15" i="185"/>
  <c r="B14" i="185"/>
  <c r="B13" i="185"/>
  <c r="B12" i="185"/>
  <c r="B11" i="185"/>
  <c r="B10" i="185"/>
  <c r="B9" i="185"/>
  <c r="B8" i="185"/>
  <c r="B7" i="185"/>
  <c r="B6" i="185"/>
  <c r="AA7" i="185" l="1"/>
  <c r="AA8" i="185"/>
  <c r="AA9" i="185"/>
  <c r="AA10" i="185"/>
  <c r="AA11" i="185"/>
  <c r="AA12" i="185"/>
  <c r="AA13" i="185"/>
  <c r="AA14" i="185"/>
  <c r="AA15" i="185"/>
  <c r="AA16" i="185"/>
  <c r="AA17" i="185"/>
  <c r="AA18" i="185"/>
  <c r="AA19" i="185"/>
  <c r="AA21" i="185"/>
  <c r="AA22" i="185"/>
  <c r="AA23" i="185"/>
  <c r="AA24" i="185"/>
  <c r="AA25" i="185"/>
  <c r="AA26" i="185"/>
  <c r="AA27" i="185"/>
  <c r="AA28" i="185"/>
  <c r="AA29" i="185"/>
  <c r="AA30" i="185"/>
  <c r="AA31" i="185"/>
  <c r="AA32" i="185"/>
  <c r="AA33" i="185"/>
  <c r="AA34" i="185"/>
  <c r="AA35" i="185"/>
  <c r="AA36" i="185"/>
  <c r="AA37" i="185"/>
  <c r="AA38" i="185"/>
  <c r="AA39" i="185"/>
  <c r="AA40" i="185"/>
  <c r="AA41" i="185"/>
  <c r="AA42" i="185"/>
  <c r="AA6" i="185"/>
  <c r="E6" i="185"/>
  <c r="C6" i="185"/>
  <c r="AK42" i="183"/>
  <c r="AJ42" i="183"/>
  <c r="AI42" i="183"/>
  <c r="AH42" i="183"/>
  <c r="AG42" i="183"/>
  <c r="AF42" i="183"/>
  <c r="AE42" i="183"/>
  <c r="AD42" i="183"/>
  <c r="Z42" i="183"/>
  <c r="Y42" i="183"/>
  <c r="X42" i="183"/>
  <c r="W42" i="183"/>
  <c r="V42" i="183"/>
  <c r="U42" i="183"/>
  <c r="T42" i="183"/>
  <c r="S42" i="183"/>
  <c r="R42" i="183"/>
  <c r="Q42" i="183"/>
  <c r="J42" i="183"/>
  <c r="AK41" i="183"/>
  <c r="AJ41" i="183"/>
  <c r="AI41" i="183"/>
  <c r="AH41" i="183"/>
  <c r="AG41" i="183"/>
  <c r="AF41" i="183"/>
  <c r="AE41" i="183"/>
  <c r="AD41" i="183"/>
  <c r="Z41" i="183"/>
  <c r="Y41" i="183"/>
  <c r="X41" i="183"/>
  <c r="W41" i="183"/>
  <c r="V41" i="183"/>
  <c r="U41" i="183"/>
  <c r="T41" i="183"/>
  <c r="S41" i="183"/>
  <c r="R41" i="183"/>
  <c r="Q41" i="183"/>
  <c r="J41" i="183"/>
  <c r="AK40" i="183"/>
  <c r="AJ40" i="183"/>
  <c r="AI40" i="183"/>
  <c r="AH40" i="183"/>
  <c r="AG40" i="183"/>
  <c r="AF40" i="183"/>
  <c r="AE40" i="183"/>
  <c r="AD40" i="183"/>
  <c r="Z40" i="183"/>
  <c r="Y40" i="183"/>
  <c r="X40" i="183"/>
  <c r="W40" i="183"/>
  <c r="V40" i="183"/>
  <c r="U40" i="183"/>
  <c r="T40" i="183"/>
  <c r="S40" i="183"/>
  <c r="R40" i="183"/>
  <c r="Q40" i="183"/>
  <c r="J40" i="183"/>
  <c r="AK39" i="183"/>
  <c r="AJ39" i="183"/>
  <c r="AI39" i="183"/>
  <c r="AH39" i="183"/>
  <c r="AG39" i="183"/>
  <c r="AF39" i="183"/>
  <c r="AE39" i="183"/>
  <c r="AD39" i="183"/>
  <c r="Z39" i="183"/>
  <c r="Y39" i="183"/>
  <c r="X39" i="183"/>
  <c r="W39" i="183"/>
  <c r="V39" i="183"/>
  <c r="U39" i="183"/>
  <c r="T39" i="183"/>
  <c r="S39" i="183"/>
  <c r="R39" i="183"/>
  <c r="Q39" i="183"/>
  <c r="J39" i="183"/>
  <c r="AK38" i="183"/>
  <c r="AJ38" i="183"/>
  <c r="AI38" i="183"/>
  <c r="AH38" i="183"/>
  <c r="AG38" i="183"/>
  <c r="AF38" i="183"/>
  <c r="AE38" i="183"/>
  <c r="AD38" i="183"/>
  <c r="Z38" i="183"/>
  <c r="Y38" i="183"/>
  <c r="X38" i="183"/>
  <c r="W38" i="183"/>
  <c r="V38" i="183"/>
  <c r="U38" i="183"/>
  <c r="T38" i="183"/>
  <c r="S38" i="183"/>
  <c r="R38" i="183"/>
  <c r="Q38" i="183"/>
  <c r="J38" i="183"/>
  <c r="AK37" i="183"/>
  <c r="AJ37" i="183"/>
  <c r="AI37" i="183"/>
  <c r="AH37" i="183"/>
  <c r="AG37" i="183"/>
  <c r="AF37" i="183"/>
  <c r="AE37" i="183"/>
  <c r="AD37" i="183"/>
  <c r="Z37" i="183"/>
  <c r="Y37" i="183"/>
  <c r="X37" i="183"/>
  <c r="W37" i="183"/>
  <c r="V37" i="183"/>
  <c r="U37" i="183"/>
  <c r="T37" i="183"/>
  <c r="S37" i="183"/>
  <c r="R37" i="183"/>
  <c r="Q37" i="183"/>
  <c r="J37" i="183"/>
  <c r="AK36" i="183"/>
  <c r="AJ36" i="183"/>
  <c r="AI36" i="183"/>
  <c r="AH36" i="183"/>
  <c r="AG36" i="183"/>
  <c r="AF36" i="183"/>
  <c r="AE36" i="183"/>
  <c r="AD36" i="183"/>
  <c r="Z36" i="183"/>
  <c r="Y36" i="183"/>
  <c r="X36" i="183"/>
  <c r="W36" i="183"/>
  <c r="V36" i="183"/>
  <c r="U36" i="183"/>
  <c r="T36" i="183"/>
  <c r="S36" i="183"/>
  <c r="R36" i="183"/>
  <c r="Q36" i="183"/>
  <c r="J36" i="183"/>
  <c r="AK35" i="183"/>
  <c r="AJ35" i="183"/>
  <c r="AI35" i="183"/>
  <c r="AH35" i="183"/>
  <c r="AG35" i="183"/>
  <c r="AF35" i="183"/>
  <c r="AE35" i="183"/>
  <c r="AD35" i="183"/>
  <c r="Z35" i="183"/>
  <c r="Y35" i="183"/>
  <c r="X35" i="183"/>
  <c r="W35" i="183"/>
  <c r="V35" i="183"/>
  <c r="U35" i="183"/>
  <c r="T35" i="183"/>
  <c r="S35" i="183"/>
  <c r="R35" i="183"/>
  <c r="Q35" i="183"/>
  <c r="J35" i="183"/>
  <c r="AK34" i="183"/>
  <c r="AJ34" i="183"/>
  <c r="AI34" i="183"/>
  <c r="AH34" i="183"/>
  <c r="AG34" i="183"/>
  <c r="AF34" i="183"/>
  <c r="AE34" i="183"/>
  <c r="AD34" i="183"/>
  <c r="Z34" i="183"/>
  <c r="Y34" i="183"/>
  <c r="X34" i="183"/>
  <c r="W34" i="183"/>
  <c r="V34" i="183"/>
  <c r="U34" i="183"/>
  <c r="T34" i="183"/>
  <c r="S34" i="183"/>
  <c r="R34" i="183"/>
  <c r="Q34" i="183"/>
  <c r="J34" i="183"/>
  <c r="AK33" i="183"/>
  <c r="AJ33" i="183"/>
  <c r="AI33" i="183"/>
  <c r="AH33" i="183"/>
  <c r="AG33" i="183"/>
  <c r="AF33" i="183"/>
  <c r="AE33" i="183"/>
  <c r="AD33" i="183"/>
  <c r="Z33" i="183"/>
  <c r="Y33" i="183"/>
  <c r="X33" i="183"/>
  <c r="W33" i="183"/>
  <c r="V33" i="183"/>
  <c r="U33" i="183"/>
  <c r="T33" i="183"/>
  <c r="S33" i="183"/>
  <c r="R33" i="183"/>
  <c r="Q33" i="183"/>
  <c r="J33" i="183"/>
  <c r="AK32" i="183"/>
  <c r="AJ32" i="183"/>
  <c r="AI32" i="183"/>
  <c r="AH32" i="183"/>
  <c r="AG32" i="183"/>
  <c r="AF32" i="183"/>
  <c r="AE32" i="183"/>
  <c r="AD32" i="183"/>
  <c r="Z32" i="183"/>
  <c r="Y32" i="183"/>
  <c r="X32" i="183"/>
  <c r="W32" i="183"/>
  <c r="V32" i="183"/>
  <c r="U32" i="183"/>
  <c r="T32" i="183"/>
  <c r="S32" i="183"/>
  <c r="R32" i="183"/>
  <c r="Q32" i="183"/>
  <c r="J32" i="183"/>
  <c r="AK31" i="183"/>
  <c r="AJ31" i="183"/>
  <c r="AI31" i="183"/>
  <c r="AH31" i="183"/>
  <c r="AG31" i="183"/>
  <c r="AF31" i="183"/>
  <c r="AE31" i="183"/>
  <c r="AD31" i="183"/>
  <c r="Z31" i="183"/>
  <c r="Y31" i="183"/>
  <c r="X31" i="183"/>
  <c r="W31" i="183"/>
  <c r="V31" i="183"/>
  <c r="U31" i="183"/>
  <c r="T31" i="183"/>
  <c r="S31" i="183"/>
  <c r="R31" i="183"/>
  <c r="Q31" i="183"/>
  <c r="J31" i="183"/>
  <c r="AK30" i="183"/>
  <c r="AJ30" i="183"/>
  <c r="AI30" i="183"/>
  <c r="AH30" i="183"/>
  <c r="AG30" i="183"/>
  <c r="AF30" i="183"/>
  <c r="AE30" i="183"/>
  <c r="AD30" i="183"/>
  <c r="Z30" i="183"/>
  <c r="Y30" i="183"/>
  <c r="X30" i="183"/>
  <c r="W30" i="183"/>
  <c r="V30" i="183"/>
  <c r="U30" i="183"/>
  <c r="T30" i="183"/>
  <c r="S30" i="183"/>
  <c r="R30" i="183"/>
  <c r="Q30" i="183"/>
  <c r="J30" i="183"/>
  <c r="AK29" i="183"/>
  <c r="AJ29" i="183"/>
  <c r="AI29" i="183"/>
  <c r="AH29" i="183"/>
  <c r="AG29" i="183"/>
  <c r="AF29" i="183"/>
  <c r="AE29" i="183"/>
  <c r="AD29" i="183"/>
  <c r="Z29" i="183"/>
  <c r="Y29" i="183"/>
  <c r="X29" i="183"/>
  <c r="W29" i="183"/>
  <c r="V29" i="183"/>
  <c r="U29" i="183"/>
  <c r="T29" i="183"/>
  <c r="S29" i="183"/>
  <c r="R29" i="183"/>
  <c r="Q29" i="183"/>
  <c r="J29" i="183"/>
  <c r="AK28" i="183"/>
  <c r="AJ28" i="183"/>
  <c r="AI28" i="183"/>
  <c r="AH28" i="183"/>
  <c r="AG28" i="183"/>
  <c r="AF28" i="183"/>
  <c r="AE28" i="183"/>
  <c r="AD28" i="183"/>
  <c r="Z28" i="183"/>
  <c r="Y28" i="183"/>
  <c r="X28" i="183"/>
  <c r="W28" i="183"/>
  <c r="V28" i="183"/>
  <c r="U28" i="183"/>
  <c r="T28" i="183"/>
  <c r="S28" i="183"/>
  <c r="R28" i="183"/>
  <c r="Q28" i="183"/>
  <c r="J28" i="183"/>
  <c r="AK27" i="183"/>
  <c r="AJ27" i="183"/>
  <c r="AI27" i="183"/>
  <c r="AH27" i="183"/>
  <c r="AG27" i="183"/>
  <c r="AF27" i="183"/>
  <c r="AE27" i="183"/>
  <c r="AD27" i="183"/>
  <c r="Z27" i="183"/>
  <c r="Y27" i="183"/>
  <c r="X27" i="183"/>
  <c r="W27" i="183"/>
  <c r="V27" i="183"/>
  <c r="U27" i="183"/>
  <c r="T27" i="183"/>
  <c r="S27" i="183"/>
  <c r="R27" i="183"/>
  <c r="Q27" i="183"/>
  <c r="J27" i="183"/>
  <c r="AK26" i="183"/>
  <c r="AJ26" i="183"/>
  <c r="AI26" i="183"/>
  <c r="AH26" i="183"/>
  <c r="AG26" i="183"/>
  <c r="AF26" i="183"/>
  <c r="AE26" i="183"/>
  <c r="AD26" i="183"/>
  <c r="Z26" i="183"/>
  <c r="Y26" i="183"/>
  <c r="X26" i="183"/>
  <c r="W26" i="183"/>
  <c r="V26" i="183"/>
  <c r="U26" i="183"/>
  <c r="T26" i="183"/>
  <c r="S26" i="183"/>
  <c r="R26" i="183"/>
  <c r="Q26" i="183"/>
  <c r="J26" i="183"/>
  <c r="AK25" i="183"/>
  <c r="AJ25" i="183"/>
  <c r="AI25" i="183"/>
  <c r="AH25" i="183"/>
  <c r="AG25" i="183"/>
  <c r="AF25" i="183"/>
  <c r="AE25" i="183"/>
  <c r="AD25" i="183"/>
  <c r="Z25" i="183"/>
  <c r="Y25" i="183"/>
  <c r="X25" i="183"/>
  <c r="W25" i="183"/>
  <c r="V25" i="183"/>
  <c r="U25" i="183"/>
  <c r="T25" i="183"/>
  <c r="S25" i="183"/>
  <c r="R25" i="183"/>
  <c r="Q25" i="183"/>
  <c r="J25" i="183"/>
  <c r="AK24" i="183"/>
  <c r="AJ24" i="183"/>
  <c r="AI24" i="183"/>
  <c r="AH24" i="183"/>
  <c r="AG24" i="183"/>
  <c r="AF24" i="183"/>
  <c r="AE24" i="183"/>
  <c r="AD24" i="183"/>
  <c r="Z24" i="183"/>
  <c r="Y24" i="183"/>
  <c r="X24" i="183"/>
  <c r="W24" i="183"/>
  <c r="V24" i="183"/>
  <c r="U24" i="183"/>
  <c r="T24" i="183"/>
  <c r="S24" i="183"/>
  <c r="R24" i="183"/>
  <c r="Q24" i="183"/>
  <c r="J24" i="183"/>
  <c r="AK23" i="183"/>
  <c r="AJ23" i="183"/>
  <c r="AI23" i="183"/>
  <c r="AH23" i="183"/>
  <c r="AG23" i="183"/>
  <c r="AF23" i="183"/>
  <c r="AE23" i="183"/>
  <c r="AD23" i="183"/>
  <c r="Z23" i="183"/>
  <c r="Y23" i="183"/>
  <c r="X23" i="183"/>
  <c r="W23" i="183"/>
  <c r="V23" i="183"/>
  <c r="U23" i="183"/>
  <c r="T23" i="183"/>
  <c r="S23" i="183"/>
  <c r="R23" i="183"/>
  <c r="Q23" i="183"/>
  <c r="J23" i="183"/>
  <c r="AK22" i="183"/>
  <c r="AJ22" i="183"/>
  <c r="AI22" i="183"/>
  <c r="AH22" i="183"/>
  <c r="AG22" i="183"/>
  <c r="AF22" i="183"/>
  <c r="AE22" i="183"/>
  <c r="AD22" i="183"/>
  <c r="Z22" i="183"/>
  <c r="Y22" i="183"/>
  <c r="X22" i="183"/>
  <c r="W22" i="183"/>
  <c r="V22" i="183"/>
  <c r="U22" i="183"/>
  <c r="T22" i="183"/>
  <c r="S22" i="183"/>
  <c r="R22" i="183"/>
  <c r="Q22" i="183"/>
  <c r="J22" i="183"/>
  <c r="AK21" i="183"/>
  <c r="AJ21" i="183"/>
  <c r="AI21" i="183"/>
  <c r="AH21" i="183"/>
  <c r="AG21" i="183"/>
  <c r="AF21" i="183"/>
  <c r="AE21" i="183"/>
  <c r="AD21" i="183"/>
  <c r="Z21" i="183"/>
  <c r="Y21" i="183"/>
  <c r="X21" i="183"/>
  <c r="W21" i="183"/>
  <c r="V21" i="183"/>
  <c r="U21" i="183"/>
  <c r="T21" i="183"/>
  <c r="S21" i="183"/>
  <c r="R21" i="183"/>
  <c r="Q21" i="183"/>
  <c r="J21" i="183"/>
  <c r="AK19" i="183"/>
  <c r="AJ19" i="183"/>
  <c r="AI19" i="183"/>
  <c r="AH19" i="183"/>
  <c r="AG19" i="183"/>
  <c r="AF19" i="183"/>
  <c r="AE19" i="183"/>
  <c r="AD19" i="183"/>
  <c r="Z19" i="183"/>
  <c r="Y19" i="183"/>
  <c r="X19" i="183"/>
  <c r="W19" i="183"/>
  <c r="V19" i="183"/>
  <c r="U19" i="183"/>
  <c r="T19" i="183"/>
  <c r="S19" i="183"/>
  <c r="R19" i="183"/>
  <c r="Q19" i="183"/>
  <c r="J19" i="183"/>
  <c r="AK18" i="183"/>
  <c r="AJ18" i="183"/>
  <c r="AI18" i="183"/>
  <c r="AH18" i="183"/>
  <c r="AG18" i="183"/>
  <c r="AF18" i="183"/>
  <c r="AE18" i="183"/>
  <c r="AD18" i="183"/>
  <c r="Z18" i="183"/>
  <c r="Y18" i="183"/>
  <c r="X18" i="183"/>
  <c r="W18" i="183"/>
  <c r="V18" i="183"/>
  <c r="U18" i="183"/>
  <c r="T18" i="183"/>
  <c r="S18" i="183"/>
  <c r="R18" i="183"/>
  <c r="Q18" i="183"/>
  <c r="J18" i="183"/>
  <c r="AK17" i="183"/>
  <c r="AJ17" i="183"/>
  <c r="AI17" i="183"/>
  <c r="AH17" i="183"/>
  <c r="AG17" i="183"/>
  <c r="AF17" i="183"/>
  <c r="AE17" i="183"/>
  <c r="AD17" i="183"/>
  <c r="Z17" i="183"/>
  <c r="Y17" i="183"/>
  <c r="X17" i="183"/>
  <c r="W17" i="183"/>
  <c r="V17" i="183"/>
  <c r="U17" i="183"/>
  <c r="T17" i="183"/>
  <c r="S17" i="183"/>
  <c r="R17" i="183"/>
  <c r="Q17" i="183"/>
  <c r="J17" i="183"/>
  <c r="AK16" i="183"/>
  <c r="AJ16" i="183"/>
  <c r="AI16" i="183"/>
  <c r="AH16" i="183"/>
  <c r="AG16" i="183"/>
  <c r="AF16" i="183"/>
  <c r="AE16" i="183"/>
  <c r="AD16" i="183"/>
  <c r="Z16" i="183"/>
  <c r="Y16" i="183"/>
  <c r="X16" i="183"/>
  <c r="W16" i="183"/>
  <c r="V16" i="183"/>
  <c r="U16" i="183"/>
  <c r="T16" i="183"/>
  <c r="S16" i="183"/>
  <c r="R16" i="183"/>
  <c r="Q16" i="183"/>
  <c r="J16" i="183"/>
  <c r="AK15" i="183"/>
  <c r="AJ15" i="183"/>
  <c r="AI15" i="183"/>
  <c r="AH15" i="183"/>
  <c r="AG15" i="183"/>
  <c r="AF15" i="183"/>
  <c r="AE15" i="183"/>
  <c r="AD15" i="183"/>
  <c r="Z15" i="183"/>
  <c r="Y15" i="183"/>
  <c r="X15" i="183"/>
  <c r="W15" i="183"/>
  <c r="V15" i="183"/>
  <c r="U15" i="183"/>
  <c r="T15" i="183"/>
  <c r="S15" i="183"/>
  <c r="R15" i="183"/>
  <c r="Q15" i="183"/>
  <c r="J15" i="183"/>
  <c r="AK14" i="183"/>
  <c r="AJ14" i="183"/>
  <c r="AI14" i="183"/>
  <c r="AH14" i="183"/>
  <c r="AG14" i="183"/>
  <c r="AF14" i="183"/>
  <c r="AE14" i="183"/>
  <c r="AD14" i="183"/>
  <c r="Z14" i="183"/>
  <c r="Y14" i="183"/>
  <c r="X14" i="183"/>
  <c r="W14" i="183"/>
  <c r="V14" i="183"/>
  <c r="U14" i="183"/>
  <c r="T14" i="183"/>
  <c r="S14" i="183"/>
  <c r="R14" i="183"/>
  <c r="Q14" i="183"/>
  <c r="J14" i="183"/>
  <c r="AK13" i="183"/>
  <c r="AJ13" i="183"/>
  <c r="AI13" i="183"/>
  <c r="AH13" i="183"/>
  <c r="AG13" i="183"/>
  <c r="AF13" i="183"/>
  <c r="AE13" i="183"/>
  <c r="AD13" i="183"/>
  <c r="Z13" i="183"/>
  <c r="Y13" i="183"/>
  <c r="X13" i="183"/>
  <c r="W13" i="183"/>
  <c r="V13" i="183"/>
  <c r="U13" i="183"/>
  <c r="T13" i="183"/>
  <c r="S13" i="183"/>
  <c r="R13" i="183"/>
  <c r="Q13" i="183"/>
  <c r="J13" i="183"/>
  <c r="AK12" i="183"/>
  <c r="AJ12" i="183"/>
  <c r="AI12" i="183"/>
  <c r="AH12" i="183"/>
  <c r="AG12" i="183"/>
  <c r="AF12" i="183"/>
  <c r="AE12" i="183"/>
  <c r="AD12" i="183"/>
  <c r="Z12" i="183"/>
  <c r="Y12" i="183"/>
  <c r="X12" i="183"/>
  <c r="W12" i="183"/>
  <c r="V12" i="183"/>
  <c r="U12" i="183"/>
  <c r="T12" i="183"/>
  <c r="S12" i="183"/>
  <c r="R12" i="183"/>
  <c r="Q12" i="183"/>
  <c r="J12" i="183"/>
  <c r="AK11" i="183"/>
  <c r="AJ11" i="183"/>
  <c r="AI11" i="183"/>
  <c r="AH11" i="183"/>
  <c r="AG11" i="183"/>
  <c r="AF11" i="183"/>
  <c r="AE11" i="183"/>
  <c r="AD11" i="183"/>
  <c r="Z11" i="183"/>
  <c r="Y11" i="183"/>
  <c r="X11" i="183"/>
  <c r="W11" i="183"/>
  <c r="V11" i="183"/>
  <c r="U11" i="183"/>
  <c r="T11" i="183"/>
  <c r="S11" i="183"/>
  <c r="R11" i="183"/>
  <c r="Q11" i="183"/>
  <c r="J11" i="183"/>
  <c r="AK10" i="183"/>
  <c r="AJ10" i="183"/>
  <c r="AI10" i="183"/>
  <c r="AH10" i="183"/>
  <c r="AG10" i="183"/>
  <c r="AF10" i="183"/>
  <c r="AE10" i="183"/>
  <c r="AD10" i="183"/>
  <c r="Z10" i="183"/>
  <c r="Y10" i="183"/>
  <c r="X10" i="183"/>
  <c r="W10" i="183"/>
  <c r="V10" i="183"/>
  <c r="U10" i="183"/>
  <c r="T10" i="183"/>
  <c r="S10" i="183"/>
  <c r="R10" i="183"/>
  <c r="Q10" i="183"/>
  <c r="J10" i="183"/>
  <c r="AK9" i="183"/>
  <c r="AJ9" i="183"/>
  <c r="AI9" i="183"/>
  <c r="AH9" i="183"/>
  <c r="AG9" i="183"/>
  <c r="AF9" i="183"/>
  <c r="AE9" i="183"/>
  <c r="AD9" i="183"/>
  <c r="Z9" i="183"/>
  <c r="Y9" i="183"/>
  <c r="X9" i="183"/>
  <c r="W9" i="183"/>
  <c r="V9" i="183"/>
  <c r="U9" i="183"/>
  <c r="T9" i="183"/>
  <c r="S9" i="183"/>
  <c r="R9" i="183"/>
  <c r="Q9" i="183"/>
  <c r="J9" i="183"/>
  <c r="AK8" i="183"/>
  <c r="AJ8" i="183"/>
  <c r="AI8" i="183"/>
  <c r="AH8" i="183"/>
  <c r="AG8" i="183"/>
  <c r="AF8" i="183"/>
  <c r="AE8" i="183"/>
  <c r="AD8" i="183"/>
  <c r="Z8" i="183"/>
  <c r="Y8" i="183"/>
  <c r="X8" i="183"/>
  <c r="W8" i="183"/>
  <c r="V8" i="183"/>
  <c r="U8" i="183"/>
  <c r="T8" i="183"/>
  <c r="S8" i="183"/>
  <c r="R8" i="183"/>
  <c r="Q8" i="183"/>
  <c r="J8" i="183"/>
  <c r="AK7" i="183"/>
  <c r="AJ7" i="183"/>
  <c r="AI7" i="183"/>
  <c r="AH7" i="183"/>
  <c r="AG7" i="183"/>
  <c r="AF7" i="183"/>
  <c r="AE7" i="183"/>
  <c r="AD7" i="183"/>
  <c r="Z7" i="183"/>
  <c r="Y7" i="183"/>
  <c r="X7" i="183"/>
  <c r="W7" i="183"/>
  <c r="V7" i="183"/>
  <c r="U7" i="183"/>
  <c r="T7" i="183"/>
  <c r="S7" i="183"/>
  <c r="R7" i="183"/>
  <c r="Q7" i="183"/>
  <c r="J7" i="183"/>
  <c r="AL6" i="183"/>
  <c r="AL44" i="183" s="1"/>
  <c r="AK6" i="183"/>
  <c r="AJ6" i="183"/>
  <c r="AI6" i="183"/>
  <c r="AH6" i="183"/>
  <c r="AG6" i="183"/>
  <c r="AF6" i="183"/>
  <c r="AE6" i="183"/>
  <c r="AD6" i="183"/>
  <c r="Z6" i="183"/>
  <c r="Y6" i="183"/>
  <c r="X6" i="183"/>
  <c r="W6" i="183"/>
  <c r="V6" i="183"/>
  <c r="U6" i="183"/>
  <c r="T6" i="183"/>
  <c r="S6" i="183"/>
  <c r="R6" i="183"/>
  <c r="Q6" i="183"/>
  <c r="K6" i="183"/>
  <c r="J6" i="183"/>
  <c r="E8" i="183"/>
  <c r="E9" i="183"/>
  <c r="E10" i="183"/>
  <c r="E11" i="183"/>
  <c r="E12" i="183"/>
  <c r="E13" i="183"/>
  <c r="E14" i="183"/>
  <c r="E15" i="183"/>
  <c r="E16" i="183"/>
  <c r="E17" i="183"/>
  <c r="E18" i="183"/>
  <c r="E19" i="183"/>
  <c r="E21" i="183"/>
  <c r="E22" i="183"/>
  <c r="E23" i="183"/>
  <c r="E24" i="183"/>
  <c r="E25" i="183"/>
  <c r="E26" i="183"/>
  <c r="E27" i="183"/>
  <c r="E28" i="183"/>
  <c r="E29" i="183"/>
  <c r="E30" i="183"/>
  <c r="E31" i="183"/>
  <c r="E32" i="183"/>
  <c r="E33" i="183"/>
  <c r="E34" i="183"/>
  <c r="E35" i="183"/>
  <c r="E36" i="183"/>
  <c r="E37" i="183"/>
  <c r="E38" i="183"/>
  <c r="E39" i="183"/>
  <c r="E40" i="183"/>
  <c r="E41" i="183"/>
  <c r="E42" i="183"/>
  <c r="E7" i="183"/>
  <c r="AK42" i="182"/>
  <c r="AJ42" i="182"/>
  <c r="AI42" i="182"/>
  <c r="AH42" i="182"/>
  <c r="AG42" i="182"/>
  <c r="AF42" i="182"/>
  <c r="AE42" i="182"/>
  <c r="AD42" i="182"/>
  <c r="Z42" i="182"/>
  <c r="Y42" i="182"/>
  <c r="X42" i="182"/>
  <c r="W42" i="182"/>
  <c r="V42" i="182"/>
  <c r="U42" i="182"/>
  <c r="T42" i="182"/>
  <c r="S42" i="182"/>
  <c r="R42" i="182"/>
  <c r="Q42" i="182"/>
  <c r="J42" i="182"/>
  <c r="AK41" i="182"/>
  <c r="AJ41" i="182"/>
  <c r="AI41" i="182"/>
  <c r="AH41" i="182"/>
  <c r="AG41" i="182"/>
  <c r="AF41" i="182"/>
  <c r="AE41" i="182"/>
  <c r="AD41" i="182"/>
  <c r="Z41" i="182"/>
  <c r="Y41" i="182"/>
  <c r="X41" i="182"/>
  <c r="W41" i="182"/>
  <c r="V41" i="182"/>
  <c r="U41" i="182"/>
  <c r="T41" i="182"/>
  <c r="S41" i="182"/>
  <c r="R41" i="182"/>
  <c r="Q41" i="182"/>
  <c r="J41" i="182"/>
  <c r="AK40" i="182"/>
  <c r="AJ40" i="182"/>
  <c r="AI40" i="182"/>
  <c r="AH40" i="182"/>
  <c r="AG40" i="182"/>
  <c r="AF40" i="182"/>
  <c r="AE40" i="182"/>
  <c r="AD40" i="182"/>
  <c r="Z40" i="182"/>
  <c r="Y40" i="182"/>
  <c r="X40" i="182"/>
  <c r="W40" i="182"/>
  <c r="V40" i="182"/>
  <c r="U40" i="182"/>
  <c r="T40" i="182"/>
  <c r="S40" i="182"/>
  <c r="R40" i="182"/>
  <c r="Q40" i="182"/>
  <c r="J40" i="182"/>
  <c r="AK39" i="182"/>
  <c r="AJ39" i="182"/>
  <c r="AI39" i="182"/>
  <c r="AH39" i="182"/>
  <c r="AG39" i="182"/>
  <c r="AF39" i="182"/>
  <c r="AE39" i="182"/>
  <c r="AD39" i="182"/>
  <c r="Z39" i="182"/>
  <c r="Y39" i="182"/>
  <c r="X39" i="182"/>
  <c r="W39" i="182"/>
  <c r="V39" i="182"/>
  <c r="U39" i="182"/>
  <c r="T39" i="182"/>
  <c r="S39" i="182"/>
  <c r="R39" i="182"/>
  <c r="Q39" i="182"/>
  <c r="J39" i="182"/>
  <c r="AK38" i="182"/>
  <c r="AJ38" i="182"/>
  <c r="AI38" i="182"/>
  <c r="AH38" i="182"/>
  <c r="AG38" i="182"/>
  <c r="AF38" i="182"/>
  <c r="AE38" i="182"/>
  <c r="AD38" i="182"/>
  <c r="Z38" i="182"/>
  <c r="Y38" i="182"/>
  <c r="X38" i="182"/>
  <c r="W38" i="182"/>
  <c r="V38" i="182"/>
  <c r="U38" i="182"/>
  <c r="T38" i="182"/>
  <c r="S38" i="182"/>
  <c r="R38" i="182"/>
  <c r="Q38" i="182"/>
  <c r="J38" i="182"/>
  <c r="AK37" i="182"/>
  <c r="AJ37" i="182"/>
  <c r="AI37" i="182"/>
  <c r="AH37" i="182"/>
  <c r="AG37" i="182"/>
  <c r="AF37" i="182"/>
  <c r="AE37" i="182"/>
  <c r="AD37" i="182"/>
  <c r="Z37" i="182"/>
  <c r="Y37" i="182"/>
  <c r="X37" i="182"/>
  <c r="W37" i="182"/>
  <c r="V37" i="182"/>
  <c r="U37" i="182"/>
  <c r="T37" i="182"/>
  <c r="S37" i="182"/>
  <c r="R37" i="182"/>
  <c r="Q37" i="182"/>
  <c r="J37" i="182"/>
  <c r="AK36" i="182"/>
  <c r="AJ36" i="182"/>
  <c r="AI36" i="182"/>
  <c r="AH36" i="182"/>
  <c r="AG36" i="182"/>
  <c r="AF36" i="182"/>
  <c r="AE36" i="182"/>
  <c r="AD36" i="182"/>
  <c r="Z36" i="182"/>
  <c r="Y36" i="182"/>
  <c r="X36" i="182"/>
  <c r="W36" i="182"/>
  <c r="V36" i="182"/>
  <c r="U36" i="182"/>
  <c r="T36" i="182"/>
  <c r="S36" i="182"/>
  <c r="R36" i="182"/>
  <c r="Q36" i="182"/>
  <c r="J36" i="182"/>
  <c r="AK35" i="182"/>
  <c r="AJ35" i="182"/>
  <c r="AI35" i="182"/>
  <c r="AH35" i="182"/>
  <c r="AG35" i="182"/>
  <c r="AF35" i="182"/>
  <c r="AE35" i="182"/>
  <c r="AD35" i="182"/>
  <c r="Z35" i="182"/>
  <c r="Y35" i="182"/>
  <c r="X35" i="182"/>
  <c r="W35" i="182"/>
  <c r="V35" i="182"/>
  <c r="U35" i="182"/>
  <c r="T35" i="182"/>
  <c r="S35" i="182"/>
  <c r="R35" i="182"/>
  <c r="Q35" i="182"/>
  <c r="J35" i="182"/>
  <c r="AK34" i="182"/>
  <c r="AJ34" i="182"/>
  <c r="AI34" i="182"/>
  <c r="AH34" i="182"/>
  <c r="AG34" i="182"/>
  <c r="AF34" i="182"/>
  <c r="AE34" i="182"/>
  <c r="AD34" i="182"/>
  <c r="Z34" i="182"/>
  <c r="Y34" i="182"/>
  <c r="X34" i="182"/>
  <c r="W34" i="182"/>
  <c r="V34" i="182"/>
  <c r="U34" i="182"/>
  <c r="T34" i="182"/>
  <c r="S34" i="182"/>
  <c r="R34" i="182"/>
  <c r="Q34" i="182"/>
  <c r="J34" i="182"/>
  <c r="AK33" i="182"/>
  <c r="AJ33" i="182"/>
  <c r="AI33" i="182"/>
  <c r="AH33" i="182"/>
  <c r="AG33" i="182"/>
  <c r="AF33" i="182"/>
  <c r="AE33" i="182"/>
  <c r="AD33" i="182"/>
  <c r="Z33" i="182"/>
  <c r="Y33" i="182"/>
  <c r="X33" i="182"/>
  <c r="W33" i="182"/>
  <c r="V33" i="182"/>
  <c r="U33" i="182"/>
  <c r="T33" i="182"/>
  <c r="S33" i="182"/>
  <c r="R33" i="182"/>
  <c r="Q33" i="182"/>
  <c r="J33" i="182"/>
  <c r="AK32" i="182"/>
  <c r="AJ32" i="182"/>
  <c r="AI32" i="182"/>
  <c r="AH32" i="182"/>
  <c r="AG32" i="182"/>
  <c r="AF32" i="182"/>
  <c r="AE32" i="182"/>
  <c r="AD32" i="182"/>
  <c r="Z32" i="182"/>
  <c r="Y32" i="182"/>
  <c r="X32" i="182"/>
  <c r="W32" i="182"/>
  <c r="V32" i="182"/>
  <c r="U32" i="182"/>
  <c r="T32" i="182"/>
  <c r="S32" i="182"/>
  <c r="R32" i="182"/>
  <c r="Q32" i="182"/>
  <c r="J32" i="182"/>
  <c r="AK31" i="182"/>
  <c r="AJ31" i="182"/>
  <c r="AI31" i="182"/>
  <c r="AH31" i="182"/>
  <c r="AG31" i="182"/>
  <c r="AF31" i="182"/>
  <c r="AE31" i="182"/>
  <c r="AD31" i="182"/>
  <c r="Z31" i="182"/>
  <c r="Y31" i="182"/>
  <c r="X31" i="182"/>
  <c r="W31" i="182"/>
  <c r="V31" i="182"/>
  <c r="U31" i="182"/>
  <c r="T31" i="182"/>
  <c r="S31" i="182"/>
  <c r="R31" i="182"/>
  <c r="Q31" i="182"/>
  <c r="J31" i="182"/>
  <c r="AK30" i="182"/>
  <c r="AJ30" i="182"/>
  <c r="AI30" i="182"/>
  <c r="AH30" i="182"/>
  <c r="AG30" i="182"/>
  <c r="AF30" i="182"/>
  <c r="AE30" i="182"/>
  <c r="AD30" i="182"/>
  <c r="Z30" i="182"/>
  <c r="Y30" i="182"/>
  <c r="X30" i="182"/>
  <c r="W30" i="182"/>
  <c r="V30" i="182"/>
  <c r="U30" i="182"/>
  <c r="T30" i="182"/>
  <c r="S30" i="182"/>
  <c r="R30" i="182"/>
  <c r="Q30" i="182"/>
  <c r="J30" i="182"/>
  <c r="AK29" i="182"/>
  <c r="AJ29" i="182"/>
  <c r="AI29" i="182"/>
  <c r="AH29" i="182"/>
  <c r="AG29" i="182"/>
  <c r="AF29" i="182"/>
  <c r="AE29" i="182"/>
  <c r="AD29" i="182"/>
  <c r="Z29" i="182"/>
  <c r="Y29" i="182"/>
  <c r="X29" i="182"/>
  <c r="W29" i="182"/>
  <c r="V29" i="182"/>
  <c r="U29" i="182"/>
  <c r="T29" i="182"/>
  <c r="S29" i="182"/>
  <c r="R29" i="182"/>
  <c r="Q29" i="182"/>
  <c r="J29" i="182"/>
  <c r="AK28" i="182"/>
  <c r="AJ28" i="182"/>
  <c r="AI28" i="182"/>
  <c r="AH28" i="182"/>
  <c r="AG28" i="182"/>
  <c r="AF28" i="182"/>
  <c r="AE28" i="182"/>
  <c r="AD28" i="182"/>
  <c r="Z28" i="182"/>
  <c r="Y28" i="182"/>
  <c r="X28" i="182"/>
  <c r="W28" i="182"/>
  <c r="V28" i="182"/>
  <c r="U28" i="182"/>
  <c r="T28" i="182"/>
  <c r="S28" i="182"/>
  <c r="R28" i="182"/>
  <c r="Q28" i="182"/>
  <c r="J28" i="182"/>
  <c r="AK27" i="182"/>
  <c r="AJ27" i="182"/>
  <c r="AI27" i="182"/>
  <c r="AH27" i="182"/>
  <c r="AG27" i="182"/>
  <c r="AF27" i="182"/>
  <c r="AE27" i="182"/>
  <c r="AD27" i="182"/>
  <c r="Z27" i="182"/>
  <c r="Y27" i="182"/>
  <c r="X27" i="182"/>
  <c r="W27" i="182"/>
  <c r="V27" i="182"/>
  <c r="U27" i="182"/>
  <c r="T27" i="182"/>
  <c r="S27" i="182"/>
  <c r="R27" i="182"/>
  <c r="Q27" i="182"/>
  <c r="J27" i="182"/>
  <c r="AK26" i="182"/>
  <c r="AJ26" i="182"/>
  <c r="AI26" i="182"/>
  <c r="AH26" i="182"/>
  <c r="AG26" i="182"/>
  <c r="AF26" i="182"/>
  <c r="AE26" i="182"/>
  <c r="AD26" i="182"/>
  <c r="Z26" i="182"/>
  <c r="Y26" i="182"/>
  <c r="X26" i="182"/>
  <c r="W26" i="182"/>
  <c r="V26" i="182"/>
  <c r="U26" i="182"/>
  <c r="T26" i="182"/>
  <c r="S26" i="182"/>
  <c r="R26" i="182"/>
  <c r="Q26" i="182"/>
  <c r="J26" i="182"/>
  <c r="AK25" i="182"/>
  <c r="AJ25" i="182"/>
  <c r="AI25" i="182"/>
  <c r="AH25" i="182"/>
  <c r="AG25" i="182"/>
  <c r="AF25" i="182"/>
  <c r="AE25" i="182"/>
  <c r="AD25" i="182"/>
  <c r="Z25" i="182"/>
  <c r="Y25" i="182"/>
  <c r="X25" i="182"/>
  <c r="W25" i="182"/>
  <c r="V25" i="182"/>
  <c r="U25" i="182"/>
  <c r="T25" i="182"/>
  <c r="S25" i="182"/>
  <c r="R25" i="182"/>
  <c r="Q25" i="182"/>
  <c r="J25" i="182"/>
  <c r="AK24" i="182"/>
  <c r="AJ24" i="182"/>
  <c r="AI24" i="182"/>
  <c r="AH24" i="182"/>
  <c r="AG24" i="182"/>
  <c r="AF24" i="182"/>
  <c r="AE24" i="182"/>
  <c r="AD24" i="182"/>
  <c r="Z24" i="182"/>
  <c r="Y24" i="182"/>
  <c r="X24" i="182"/>
  <c r="W24" i="182"/>
  <c r="V24" i="182"/>
  <c r="U24" i="182"/>
  <c r="T24" i="182"/>
  <c r="S24" i="182"/>
  <c r="R24" i="182"/>
  <c r="Q24" i="182"/>
  <c r="J24" i="182"/>
  <c r="AK23" i="182"/>
  <c r="AJ23" i="182"/>
  <c r="AI23" i="182"/>
  <c r="AH23" i="182"/>
  <c r="AG23" i="182"/>
  <c r="AF23" i="182"/>
  <c r="AE23" i="182"/>
  <c r="AD23" i="182"/>
  <c r="Z23" i="182"/>
  <c r="Y23" i="182"/>
  <c r="X23" i="182"/>
  <c r="W23" i="182"/>
  <c r="V23" i="182"/>
  <c r="U23" i="182"/>
  <c r="T23" i="182"/>
  <c r="S23" i="182"/>
  <c r="R23" i="182"/>
  <c r="Q23" i="182"/>
  <c r="J23" i="182"/>
  <c r="AK22" i="182"/>
  <c r="AJ22" i="182"/>
  <c r="AI22" i="182"/>
  <c r="AH22" i="182"/>
  <c r="AG22" i="182"/>
  <c r="AF22" i="182"/>
  <c r="AE22" i="182"/>
  <c r="AD22" i="182"/>
  <c r="Z22" i="182"/>
  <c r="Y22" i="182"/>
  <c r="X22" i="182"/>
  <c r="W22" i="182"/>
  <c r="V22" i="182"/>
  <c r="U22" i="182"/>
  <c r="T22" i="182"/>
  <c r="S22" i="182"/>
  <c r="R22" i="182"/>
  <c r="Q22" i="182"/>
  <c r="J22" i="182"/>
  <c r="AK21" i="182"/>
  <c r="AJ21" i="182"/>
  <c r="AI21" i="182"/>
  <c r="AH21" i="182"/>
  <c r="AG21" i="182"/>
  <c r="AF21" i="182"/>
  <c r="AE21" i="182"/>
  <c r="AD21" i="182"/>
  <c r="Z21" i="182"/>
  <c r="Y21" i="182"/>
  <c r="X21" i="182"/>
  <c r="W21" i="182"/>
  <c r="V21" i="182"/>
  <c r="U21" i="182"/>
  <c r="T21" i="182"/>
  <c r="S21" i="182"/>
  <c r="R21" i="182"/>
  <c r="Q21" i="182"/>
  <c r="J21" i="182"/>
  <c r="AK19" i="182"/>
  <c r="AJ19" i="182"/>
  <c r="AI19" i="182"/>
  <c r="AH19" i="182"/>
  <c r="AG19" i="182"/>
  <c r="AF19" i="182"/>
  <c r="AE19" i="182"/>
  <c r="AD19" i="182"/>
  <c r="Z19" i="182"/>
  <c r="Y19" i="182"/>
  <c r="X19" i="182"/>
  <c r="W19" i="182"/>
  <c r="V19" i="182"/>
  <c r="U19" i="182"/>
  <c r="T19" i="182"/>
  <c r="S19" i="182"/>
  <c r="R19" i="182"/>
  <c r="Q19" i="182"/>
  <c r="J19" i="182"/>
  <c r="AK18" i="182"/>
  <c r="AJ18" i="182"/>
  <c r="AI18" i="182"/>
  <c r="AH18" i="182"/>
  <c r="AG18" i="182"/>
  <c r="AF18" i="182"/>
  <c r="AE18" i="182"/>
  <c r="AD18" i="182"/>
  <c r="Z18" i="182"/>
  <c r="Y18" i="182"/>
  <c r="X18" i="182"/>
  <c r="W18" i="182"/>
  <c r="V18" i="182"/>
  <c r="U18" i="182"/>
  <c r="T18" i="182"/>
  <c r="S18" i="182"/>
  <c r="R18" i="182"/>
  <c r="Q18" i="182"/>
  <c r="J18" i="182"/>
  <c r="AK17" i="182"/>
  <c r="AJ17" i="182"/>
  <c r="AI17" i="182"/>
  <c r="AH17" i="182"/>
  <c r="AG17" i="182"/>
  <c r="AF17" i="182"/>
  <c r="AE17" i="182"/>
  <c r="AD17" i="182"/>
  <c r="Z17" i="182"/>
  <c r="Y17" i="182"/>
  <c r="X17" i="182"/>
  <c r="W17" i="182"/>
  <c r="V17" i="182"/>
  <c r="U17" i="182"/>
  <c r="T17" i="182"/>
  <c r="S17" i="182"/>
  <c r="R17" i="182"/>
  <c r="Q17" i="182"/>
  <c r="J17" i="182"/>
  <c r="AK16" i="182"/>
  <c r="AJ16" i="182"/>
  <c r="AI16" i="182"/>
  <c r="AH16" i="182"/>
  <c r="AG16" i="182"/>
  <c r="AF16" i="182"/>
  <c r="AE16" i="182"/>
  <c r="AD16" i="182"/>
  <c r="Z16" i="182"/>
  <c r="Y16" i="182"/>
  <c r="X16" i="182"/>
  <c r="W16" i="182"/>
  <c r="V16" i="182"/>
  <c r="U16" i="182"/>
  <c r="T16" i="182"/>
  <c r="S16" i="182"/>
  <c r="R16" i="182"/>
  <c r="Q16" i="182"/>
  <c r="J16" i="182"/>
  <c r="AK15" i="182"/>
  <c r="AJ15" i="182"/>
  <c r="AI15" i="182"/>
  <c r="AH15" i="182"/>
  <c r="AG15" i="182"/>
  <c r="AF15" i="182"/>
  <c r="AE15" i="182"/>
  <c r="AD15" i="182"/>
  <c r="Z15" i="182"/>
  <c r="Y15" i="182"/>
  <c r="X15" i="182"/>
  <c r="W15" i="182"/>
  <c r="V15" i="182"/>
  <c r="U15" i="182"/>
  <c r="T15" i="182"/>
  <c r="S15" i="182"/>
  <c r="R15" i="182"/>
  <c r="Q15" i="182"/>
  <c r="J15" i="182"/>
  <c r="AK14" i="182"/>
  <c r="AJ14" i="182"/>
  <c r="AI14" i="182"/>
  <c r="AH14" i="182"/>
  <c r="AG14" i="182"/>
  <c r="AF14" i="182"/>
  <c r="AE14" i="182"/>
  <c r="AD14" i="182"/>
  <c r="Z14" i="182"/>
  <c r="Y14" i="182"/>
  <c r="X14" i="182"/>
  <c r="W14" i="182"/>
  <c r="V14" i="182"/>
  <c r="U14" i="182"/>
  <c r="T14" i="182"/>
  <c r="S14" i="182"/>
  <c r="R14" i="182"/>
  <c r="Q14" i="182"/>
  <c r="J14" i="182"/>
  <c r="AK13" i="182"/>
  <c r="AJ13" i="182"/>
  <c r="AI13" i="182"/>
  <c r="AH13" i="182"/>
  <c r="AG13" i="182"/>
  <c r="AF13" i="182"/>
  <c r="AE13" i="182"/>
  <c r="AD13" i="182"/>
  <c r="Z13" i="182"/>
  <c r="Y13" i="182"/>
  <c r="X13" i="182"/>
  <c r="W13" i="182"/>
  <c r="V13" i="182"/>
  <c r="U13" i="182"/>
  <c r="T13" i="182"/>
  <c r="S13" i="182"/>
  <c r="R13" i="182"/>
  <c r="Q13" i="182"/>
  <c r="J13" i="182"/>
  <c r="AK12" i="182"/>
  <c r="AJ12" i="182"/>
  <c r="AI12" i="182"/>
  <c r="AH12" i="182"/>
  <c r="AG12" i="182"/>
  <c r="AF12" i="182"/>
  <c r="AE12" i="182"/>
  <c r="AD12" i="182"/>
  <c r="Z12" i="182"/>
  <c r="Y12" i="182"/>
  <c r="X12" i="182"/>
  <c r="W12" i="182"/>
  <c r="V12" i="182"/>
  <c r="U12" i="182"/>
  <c r="T12" i="182"/>
  <c r="S12" i="182"/>
  <c r="R12" i="182"/>
  <c r="Q12" i="182"/>
  <c r="J12" i="182"/>
  <c r="AK11" i="182"/>
  <c r="AJ11" i="182"/>
  <c r="AI11" i="182"/>
  <c r="AH11" i="182"/>
  <c r="AG11" i="182"/>
  <c r="AF11" i="182"/>
  <c r="AE11" i="182"/>
  <c r="AD11" i="182"/>
  <c r="Z11" i="182"/>
  <c r="Y11" i="182"/>
  <c r="X11" i="182"/>
  <c r="W11" i="182"/>
  <c r="V11" i="182"/>
  <c r="U11" i="182"/>
  <c r="T11" i="182"/>
  <c r="S11" i="182"/>
  <c r="R11" i="182"/>
  <c r="Q11" i="182"/>
  <c r="J11" i="182"/>
  <c r="AK10" i="182"/>
  <c r="AJ10" i="182"/>
  <c r="AI10" i="182"/>
  <c r="AH10" i="182"/>
  <c r="AG10" i="182"/>
  <c r="AF10" i="182"/>
  <c r="AE10" i="182"/>
  <c r="AD10" i="182"/>
  <c r="Z10" i="182"/>
  <c r="Y10" i="182"/>
  <c r="X10" i="182"/>
  <c r="W10" i="182"/>
  <c r="V10" i="182"/>
  <c r="U10" i="182"/>
  <c r="T10" i="182"/>
  <c r="S10" i="182"/>
  <c r="R10" i="182"/>
  <c r="Q10" i="182"/>
  <c r="J10" i="182"/>
  <c r="AK9" i="182"/>
  <c r="AJ9" i="182"/>
  <c r="AI9" i="182"/>
  <c r="AH9" i="182"/>
  <c r="AG9" i="182"/>
  <c r="AF9" i="182"/>
  <c r="AE9" i="182"/>
  <c r="AD9" i="182"/>
  <c r="Z9" i="182"/>
  <c r="Y9" i="182"/>
  <c r="X9" i="182"/>
  <c r="W9" i="182"/>
  <c r="V9" i="182"/>
  <c r="U9" i="182"/>
  <c r="T9" i="182"/>
  <c r="S9" i="182"/>
  <c r="R9" i="182"/>
  <c r="Q9" i="182"/>
  <c r="J9" i="182"/>
  <c r="AK8" i="182"/>
  <c r="AJ8" i="182"/>
  <c r="AI8" i="182"/>
  <c r="AH8" i="182"/>
  <c r="AG8" i="182"/>
  <c r="AF8" i="182"/>
  <c r="AE8" i="182"/>
  <c r="AD8" i="182"/>
  <c r="Z8" i="182"/>
  <c r="Y8" i="182"/>
  <c r="X8" i="182"/>
  <c r="W8" i="182"/>
  <c r="V8" i="182"/>
  <c r="U8" i="182"/>
  <c r="T8" i="182"/>
  <c r="S8" i="182"/>
  <c r="R8" i="182"/>
  <c r="Q8" i="182"/>
  <c r="J8" i="182"/>
  <c r="AK7" i="182"/>
  <c r="AJ7" i="182"/>
  <c r="AI7" i="182"/>
  <c r="AH7" i="182"/>
  <c r="AG7" i="182"/>
  <c r="AF7" i="182"/>
  <c r="AE7" i="182"/>
  <c r="AD7" i="182"/>
  <c r="Z7" i="182"/>
  <c r="Y7" i="182"/>
  <c r="X7" i="182"/>
  <c r="W7" i="182"/>
  <c r="V7" i="182"/>
  <c r="U7" i="182"/>
  <c r="T7" i="182"/>
  <c r="S7" i="182"/>
  <c r="R7" i="182"/>
  <c r="Q7" i="182"/>
  <c r="J7" i="182"/>
  <c r="AL6" i="182"/>
  <c r="AL44" i="182" s="1"/>
  <c r="AK6" i="182"/>
  <c r="AJ6" i="182"/>
  <c r="AI6" i="182"/>
  <c r="AH6" i="182"/>
  <c r="AG6" i="182"/>
  <c r="AF6" i="182"/>
  <c r="AE6" i="182"/>
  <c r="AD6" i="182"/>
  <c r="Z6" i="182"/>
  <c r="Y6" i="182"/>
  <c r="X6" i="182"/>
  <c r="W6" i="182"/>
  <c r="V6" i="182"/>
  <c r="U6" i="182"/>
  <c r="T6" i="182"/>
  <c r="S6" i="182"/>
  <c r="R6" i="182"/>
  <c r="Q6" i="182"/>
  <c r="K6" i="182"/>
  <c r="J6" i="182"/>
  <c r="E8" i="182"/>
  <c r="E9" i="182"/>
  <c r="E10" i="182"/>
  <c r="E11" i="182"/>
  <c r="E12" i="182"/>
  <c r="E13" i="182"/>
  <c r="E14" i="182"/>
  <c r="E15" i="182"/>
  <c r="E16" i="182"/>
  <c r="E17" i="182"/>
  <c r="E18" i="182"/>
  <c r="E19" i="182"/>
  <c r="E21" i="182"/>
  <c r="E22" i="182"/>
  <c r="E23" i="182"/>
  <c r="E24" i="182"/>
  <c r="E25" i="182"/>
  <c r="E26" i="182"/>
  <c r="E27" i="182"/>
  <c r="E28" i="182"/>
  <c r="E29" i="182"/>
  <c r="E30" i="182"/>
  <c r="E31" i="182"/>
  <c r="E32" i="182"/>
  <c r="E33" i="182"/>
  <c r="E34" i="182"/>
  <c r="E35" i="182"/>
  <c r="E36" i="182"/>
  <c r="E37" i="182"/>
  <c r="E38" i="182"/>
  <c r="E39" i="182"/>
  <c r="E40" i="182"/>
  <c r="E41" i="182"/>
  <c r="E42" i="182"/>
  <c r="E7" i="182"/>
  <c r="AK42" i="181"/>
  <c r="AJ42" i="181"/>
  <c r="AI42" i="181"/>
  <c r="AH42" i="181"/>
  <c r="AG42" i="181"/>
  <c r="AF42" i="181"/>
  <c r="AE42" i="181"/>
  <c r="AD42" i="181"/>
  <c r="Z42" i="181"/>
  <c r="Y42" i="181"/>
  <c r="X42" i="181"/>
  <c r="W42" i="181"/>
  <c r="V42" i="181"/>
  <c r="U42" i="181"/>
  <c r="T42" i="181"/>
  <c r="S42" i="181"/>
  <c r="R42" i="181"/>
  <c r="Q42" i="181"/>
  <c r="J42" i="181"/>
  <c r="AK41" i="181"/>
  <c r="AJ41" i="181"/>
  <c r="AI41" i="181"/>
  <c r="AH41" i="181"/>
  <c r="AG41" i="181"/>
  <c r="AF41" i="181"/>
  <c r="AE41" i="181"/>
  <c r="AD41" i="181"/>
  <c r="Z41" i="181"/>
  <c r="Y41" i="181"/>
  <c r="X41" i="181"/>
  <c r="W41" i="181"/>
  <c r="V41" i="181"/>
  <c r="U41" i="181"/>
  <c r="T41" i="181"/>
  <c r="S41" i="181"/>
  <c r="R41" i="181"/>
  <c r="Q41" i="181"/>
  <c r="J41" i="181"/>
  <c r="AK40" i="181"/>
  <c r="AJ40" i="181"/>
  <c r="AI40" i="181"/>
  <c r="AH40" i="181"/>
  <c r="AG40" i="181"/>
  <c r="AF40" i="181"/>
  <c r="AE40" i="181"/>
  <c r="AD40" i="181"/>
  <c r="Z40" i="181"/>
  <c r="Y40" i="181"/>
  <c r="X40" i="181"/>
  <c r="W40" i="181"/>
  <c r="V40" i="181"/>
  <c r="U40" i="181"/>
  <c r="T40" i="181"/>
  <c r="S40" i="181"/>
  <c r="R40" i="181"/>
  <c r="Q40" i="181"/>
  <c r="J40" i="181"/>
  <c r="AK39" i="181"/>
  <c r="AJ39" i="181"/>
  <c r="AI39" i="181"/>
  <c r="AH39" i="181"/>
  <c r="AG39" i="181"/>
  <c r="AF39" i="181"/>
  <c r="AE39" i="181"/>
  <c r="AD39" i="181"/>
  <c r="Z39" i="181"/>
  <c r="Y39" i="181"/>
  <c r="X39" i="181"/>
  <c r="W39" i="181"/>
  <c r="V39" i="181"/>
  <c r="U39" i="181"/>
  <c r="T39" i="181"/>
  <c r="S39" i="181"/>
  <c r="R39" i="181"/>
  <c r="Q39" i="181"/>
  <c r="J39" i="181"/>
  <c r="AK38" i="181"/>
  <c r="AJ38" i="181"/>
  <c r="AI38" i="181"/>
  <c r="AH38" i="181"/>
  <c r="AG38" i="181"/>
  <c r="AF38" i="181"/>
  <c r="AE38" i="181"/>
  <c r="AD38" i="181"/>
  <c r="Z38" i="181"/>
  <c r="Y38" i="181"/>
  <c r="X38" i="181"/>
  <c r="W38" i="181"/>
  <c r="V38" i="181"/>
  <c r="U38" i="181"/>
  <c r="T38" i="181"/>
  <c r="S38" i="181"/>
  <c r="R38" i="181"/>
  <c r="Q38" i="181"/>
  <c r="J38" i="181"/>
  <c r="AK37" i="181"/>
  <c r="AJ37" i="181"/>
  <c r="AI37" i="181"/>
  <c r="AH37" i="181"/>
  <c r="AG37" i="181"/>
  <c r="AF37" i="181"/>
  <c r="AE37" i="181"/>
  <c r="AD37" i="181"/>
  <c r="Z37" i="181"/>
  <c r="Y37" i="181"/>
  <c r="X37" i="181"/>
  <c r="W37" i="181"/>
  <c r="V37" i="181"/>
  <c r="U37" i="181"/>
  <c r="T37" i="181"/>
  <c r="S37" i="181"/>
  <c r="R37" i="181"/>
  <c r="Q37" i="181"/>
  <c r="J37" i="181"/>
  <c r="AK36" i="181"/>
  <c r="AJ36" i="181"/>
  <c r="AI36" i="181"/>
  <c r="AH36" i="181"/>
  <c r="AG36" i="181"/>
  <c r="AF36" i="181"/>
  <c r="AE36" i="181"/>
  <c r="AD36" i="181"/>
  <c r="Z36" i="181"/>
  <c r="Y36" i="181"/>
  <c r="X36" i="181"/>
  <c r="W36" i="181"/>
  <c r="V36" i="181"/>
  <c r="U36" i="181"/>
  <c r="T36" i="181"/>
  <c r="S36" i="181"/>
  <c r="R36" i="181"/>
  <c r="Q36" i="181"/>
  <c r="J36" i="181"/>
  <c r="AK35" i="181"/>
  <c r="AJ35" i="181"/>
  <c r="AI35" i="181"/>
  <c r="AH35" i="181"/>
  <c r="AG35" i="181"/>
  <c r="AF35" i="181"/>
  <c r="AE35" i="181"/>
  <c r="AD35" i="181"/>
  <c r="Z35" i="181"/>
  <c r="Y35" i="181"/>
  <c r="X35" i="181"/>
  <c r="W35" i="181"/>
  <c r="V35" i="181"/>
  <c r="U35" i="181"/>
  <c r="T35" i="181"/>
  <c r="S35" i="181"/>
  <c r="R35" i="181"/>
  <c r="Q35" i="181"/>
  <c r="J35" i="181"/>
  <c r="AK34" i="181"/>
  <c r="AJ34" i="181"/>
  <c r="AI34" i="181"/>
  <c r="AH34" i="181"/>
  <c r="AG34" i="181"/>
  <c r="AF34" i="181"/>
  <c r="AE34" i="181"/>
  <c r="AD34" i="181"/>
  <c r="Z34" i="181"/>
  <c r="Y34" i="181"/>
  <c r="X34" i="181"/>
  <c r="W34" i="181"/>
  <c r="V34" i="181"/>
  <c r="U34" i="181"/>
  <c r="T34" i="181"/>
  <c r="S34" i="181"/>
  <c r="R34" i="181"/>
  <c r="Q34" i="181"/>
  <c r="J34" i="181"/>
  <c r="AK33" i="181"/>
  <c r="AJ33" i="181"/>
  <c r="AI33" i="181"/>
  <c r="AH33" i="181"/>
  <c r="AG33" i="181"/>
  <c r="AF33" i="181"/>
  <c r="AE33" i="181"/>
  <c r="AD33" i="181"/>
  <c r="Z33" i="181"/>
  <c r="Y33" i="181"/>
  <c r="X33" i="181"/>
  <c r="W33" i="181"/>
  <c r="V33" i="181"/>
  <c r="U33" i="181"/>
  <c r="T33" i="181"/>
  <c r="S33" i="181"/>
  <c r="R33" i="181"/>
  <c r="Q33" i="181"/>
  <c r="J33" i="181"/>
  <c r="AK32" i="181"/>
  <c r="AJ32" i="181"/>
  <c r="AI32" i="181"/>
  <c r="AH32" i="181"/>
  <c r="AG32" i="181"/>
  <c r="AF32" i="181"/>
  <c r="AE32" i="181"/>
  <c r="AD32" i="181"/>
  <c r="Z32" i="181"/>
  <c r="Y32" i="181"/>
  <c r="X32" i="181"/>
  <c r="W32" i="181"/>
  <c r="V32" i="181"/>
  <c r="U32" i="181"/>
  <c r="T32" i="181"/>
  <c r="S32" i="181"/>
  <c r="R32" i="181"/>
  <c r="Q32" i="181"/>
  <c r="J32" i="181"/>
  <c r="AK31" i="181"/>
  <c r="AJ31" i="181"/>
  <c r="AI31" i="181"/>
  <c r="AH31" i="181"/>
  <c r="AG31" i="181"/>
  <c r="AF31" i="181"/>
  <c r="AE31" i="181"/>
  <c r="AD31" i="181"/>
  <c r="Z31" i="181"/>
  <c r="Y31" i="181"/>
  <c r="X31" i="181"/>
  <c r="W31" i="181"/>
  <c r="V31" i="181"/>
  <c r="U31" i="181"/>
  <c r="T31" i="181"/>
  <c r="S31" i="181"/>
  <c r="R31" i="181"/>
  <c r="Q31" i="181"/>
  <c r="J31" i="181"/>
  <c r="AK30" i="181"/>
  <c r="AJ30" i="181"/>
  <c r="AI30" i="181"/>
  <c r="AH30" i="181"/>
  <c r="AG30" i="181"/>
  <c r="AF30" i="181"/>
  <c r="AE30" i="181"/>
  <c r="AD30" i="181"/>
  <c r="Z30" i="181"/>
  <c r="Y30" i="181"/>
  <c r="X30" i="181"/>
  <c r="W30" i="181"/>
  <c r="V30" i="181"/>
  <c r="U30" i="181"/>
  <c r="T30" i="181"/>
  <c r="S30" i="181"/>
  <c r="R30" i="181"/>
  <c r="Q30" i="181"/>
  <c r="J30" i="181"/>
  <c r="AK29" i="181"/>
  <c r="AJ29" i="181"/>
  <c r="AI29" i="181"/>
  <c r="AH29" i="181"/>
  <c r="AG29" i="181"/>
  <c r="AF29" i="181"/>
  <c r="AE29" i="181"/>
  <c r="AD29" i="181"/>
  <c r="Z29" i="181"/>
  <c r="Y29" i="181"/>
  <c r="X29" i="181"/>
  <c r="W29" i="181"/>
  <c r="V29" i="181"/>
  <c r="U29" i="181"/>
  <c r="T29" i="181"/>
  <c r="S29" i="181"/>
  <c r="R29" i="181"/>
  <c r="Q29" i="181"/>
  <c r="J29" i="181"/>
  <c r="AK28" i="181"/>
  <c r="AJ28" i="181"/>
  <c r="AI28" i="181"/>
  <c r="AH28" i="181"/>
  <c r="AG28" i="181"/>
  <c r="AF28" i="181"/>
  <c r="AE28" i="181"/>
  <c r="AD28" i="181"/>
  <c r="Z28" i="181"/>
  <c r="Y28" i="181"/>
  <c r="X28" i="181"/>
  <c r="W28" i="181"/>
  <c r="V28" i="181"/>
  <c r="U28" i="181"/>
  <c r="T28" i="181"/>
  <c r="S28" i="181"/>
  <c r="R28" i="181"/>
  <c r="Q28" i="181"/>
  <c r="J28" i="181"/>
  <c r="AK27" i="181"/>
  <c r="AJ27" i="181"/>
  <c r="AI27" i="181"/>
  <c r="AH27" i="181"/>
  <c r="AG27" i="181"/>
  <c r="AF27" i="181"/>
  <c r="AE27" i="181"/>
  <c r="AD27" i="181"/>
  <c r="Z27" i="181"/>
  <c r="Y27" i="181"/>
  <c r="X27" i="181"/>
  <c r="W27" i="181"/>
  <c r="V27" i="181"/>
  <c r="U27" i="181"/>
  <c r="T27" i="181"/>
  <c r="S27" i="181"/>
  <c r="R27" i="181"/>
  <c r="Q27" i="181"/>
  <c r="J27" i="181"/>
  <c r="AK26" i="181"/>
  <c r="AJ26" i="181"/>
  <c r="AI26" i="181"/>
  <c r="AH26" i="181"/>
  <c r="AG26" i="181"/>
  <c r="AF26" i="181"/>
  <c r="AE26" i="181"/>
  <c r="AD26" i="181"/>
  <c r="Z26" i="181"/>
  <c r="Y26" i="181"/>
  <c r="X26" i="181"/>
  <c r="W26" i="181"/>
  <c r="V26" i="181"/>
  <c r="U26" i="181"/>
  <c r="T26" i="181"/>
  <c r="S26" i="181"/>
  <c r="R26" i="181"/>
  <c r="Q26" i="181"/>
  <c r="J26" i="181"/>
  <c r="AK25" i="181"/>
  <c r="AJ25" i="181"/>
  <c r="AI25" i="181"/>
  <c r="AH25" i="181"/>
  <c r="AG25" i="181"/>
  <c r="AF25" i="181"/>
  <c r="AE25" i="181"/>
  <c r="AD25" i="181"/>
  <c r="Z25" i="181"/>
  <c r="Y25" i="181"/>
  <c r="X25" i="181"/>
  <c r="W25" i="181"/>
  <c r="V25" i="181"/>
  <c r="U25" i="181"/>
  <c r="T25" i="181"/>
  <c r="S25" i="181"/>
  <c r="R25" i="181"/>
  <c r="Q25" i="181"/>
  <c r="J25" i="181"/>
  <c r="AK24" i="181"/>
  <c r="AJ24" i="181"/>
  <c r="AI24" i="181"/>
  <c r="AH24" i="181"/>
  <c r="AG24" i="181"/>
  <c r="AF24" i="181"/>
  <c r="AE24" i="181"/>
  <c r="AD24" i="181"/>
  <c r="Z24" i="181"/>
  <c r="Y24" i="181"/>
  <c r="X24" i="181"/>
  <c r="W24" i="181"/>
  <c r="V24" i="181"/>
  <c r="U24" i="181"/>
  <c r="T24" i="181"/>
  <c r="S24" i="181"/>
  <c r="R24" i="181"/>
  <c r="Q24" i="181"/>
  <c r="J24" i="181"/>
  <c r="AK23" i="181"/>
  <c r="AJ23" i="181"/>
  <c r="AI23" i="181"/>
  <c r="AH23" i="181"/>
  <c r="AG23" i="181"/>
  <c r="AF23" i="181"/>
  <c r="AE23" i="181"/>
  <c r="AD23" i="181"/>
  <c r="Z23" i="181"/>
  <c r="Y23" i="181"/>
  <c r="X23" i="181"/>
  <c r="W23" i="181"/>
  <c r="V23" i="181"/>
  <c r="U23" i="181"/>
  <c r="T23" i="181"/>
  <c r="S23" i="181"/>
  <c r="R23" i="181"/>
  <c r="Q23" i="181"/>
  <c r="J23" i="181"/>
  <c r="AK22" i="181"/>
  <c r="AJ22" i="181"/>
  <c r="AI22" i="181"/>
  <c r="AH22" i="181"/>
  <c r="AG22" i="181"/>
  <c r="AF22" i="181"/>
  <c r="AE22" i="181"/>
  <c r="AD22" i="181"/>
  <c r="Z22" i="181"/>
  <c r="Y22" i="181"/>
  <c r="X22" i="181"/>
  <c r="W22" i="181"/>
  <c r="V22" i="181"/>
  <c r="U22" i="181"/>
  <c r="T22" i="181"/>
  <c r="S22" i="181"/>
  <c r="R22" i="181"/>
  <c r="Q22" i="181"/>
  <c r="J22" i="181"/>
  <c r="AK21" i="181"/>
  <c r="AJ21" i="181"/>
  <c r="AI21" i="181"/>
  <c r="AH21" i="181"/>
  <c r="AG21" i="181"/>
  <c r="AF21" i="181"/>
  <c r="AE21" i="181"/>
  <c r="AD21" i="181"/>
  <c r="Z21" i="181"/>
  <c r="Y21" i="181"/>
  <c r="X21" i="181"/>
  <c r="W21" i="181"/>
  <c r="V21" i="181"/>
  <c r="U21" i="181"/>
  <c r="T21" i="181"/>
  <c r="S21" i="181"/>
  <c r="R21" i="181"/>
  <c r="Q21" i="181"/>
  <c r="J21" i="181"/>
  <c r="AK19" i="181"/>
  <c r="AJ19" i="181"/>
  <c r="AI19" i="181"/>
  <c r="AH19" i="181"/>
  <c r="AG19" i="181"/>
  <c r="AF19" i="181"/>
  <c r="AE19" i="181"/>
  <c r="AD19" i="181"/>
  <c r="Z19" i="181"/>
  <c r="Y19" i="181"/>
  <c r="X19" i="181"/>
  <c r="W19" i="181"/>
  <c r="V19" i="181"/>
  <c r="U19" i="181"/>
  <c r="T19" i="181"/>
  <c r="S19" i="181"/>
  <c r="R19" i="181"/>
  <c r="Q19" i="181"/>
  <c r="J19" i="181"/>
  <c r="AK18" i="181"/>
  <c r="AJ18" i="181"/>
  <c r="AI18" i="181"/>
  <c r="AH18" i="181"/>
  <c r="AG18" i="181"/>
  <c r="AF18" i="181"/>
  <c r="AE18" i="181"/>
  <c r="AD18" i="181"/>
  <c r="Z18" i="181"/>
  <c r="Y18" i="181"/>
  <c r="X18" i="181"/>
  <c r="W18" i="181"/>
  <c r="V18" i="181"/>
  <c r="U18" i="181"/>
  <c r="T18" i="181"/>
  <c r="S18" i="181"/>
  <c r="R18" i="181"/>
  <c r="Q18" i="181"/>
  <c r="J18" i="181"/>
  <c r="AK17" i="181"/>
  <c r="AJ17" i="181"/>
  <c r="AI17" i="181"/>
  <c r="AH17" i="181"/>
  <c r="AG17" i="181"/>
  <c r="AF17" i="181"/>
  <c r="AE17" i="181"/>
  <c r="AD17" i="181"/>
  <c r="Z17" i="181"/>
  <c r="Y17" i="181"/>
  <c r="X17" i="181"/>
  <c r="W17" i="181"/>
  <c r="V17" i="181"/>
  <c r="U17" i="181"/>
  <c r="T17" i="181"/>
  <c r="S17" i="181"/>
  <c r="R17" i="181"/>
  <c r="Q17" i="181"/>
  <c r="J17" i="181"/>
  <c r="AK16" i="181"/>
  <c r="AJ16" i="181"/>
  <c r="AI16" i="181"/>
  <c r="AH16" i="181"/>
  <c r="AG16" i="181"/>
  <c r="AF16" i="181"/>
  <c r="AE16" i="181"/>
  <c r="AD16" i="181"/>
  <c r="Z16" i="181"/>
  <c r="Y16" i="181"/>
  <c r="X16" i="181"/>
  <c r="W16" i="181"/>
  <c r="V16" i="181"/>
  <c r="U16" i="181"/>
  <c r="T16" i="181"/>
  <c r="S16" i="181"/>
  <c r="R16" i="181"/>
  <c r="Q16" i="181"/>
  <c r="J16" i="181"/>
  <c r="AK15" i="181"/>
  <c r="AJ15" i="181"/>
  <c r="AI15" i="181"/>
  <c r="AH15" i="181"/>
  <c r="AG15" i="181"/>
  <c r="AF15" i="181"/>
  <c r="AE15" i="181"/>
  <c r="AD15" i="181"/>
  <c r="Z15" i="181"/>
  <c r="Y15" i="181"/>
  <c r="X15" i="181"/>
  <c r="W15" i="181"/>
  <c r="V15" i="181"/>
  <c r="U15" i="181"/>
  <c r="T15" i="181"/>
  <c r="S15" i="181"/>
  <c r="R15" i="181"/>
  <c r="Q15" i="181"/>
  <c r="J15" i="181"/>
  <c r="AK14" i="181"/>
  <c r="AJ14" i="181"/>
  <c r="AI14" i="181"/>
  <c r="AH14" i="181"/>
  <c r="AG14" i="181"/>
  <c r="AF14" i="181"/>
  <c r="AE14" i="181"/>
  <c r="AD14" i="181"/>
  <c r="Z14" i="181"/>
  <c r="Y14" i="181"/>
  <c r="X14" i="181"/>
  <c r="W14" i="181"/>
  <c r="V14" i="181"/>
  <c r="U14" i="181"/>
  <c r="T14" i="181"/>
  <c r="S14" i="181"/>
  <c r="R14" i="181"/>
  <c r="Q14" i="181"/>
  <c r="J14" i="181"/>
  <c r="AK13" i="181"/>
  <c r="AJ13" i="181"/>
  <c r="AI13" i="181"/>
  <c r="AH13" i="181"/>
  <c r="AG13" i="181"/>
  <c r="AF13" i="181"/>
  <c r="AE13" i="181"/>
  <c r="AD13" i="181"/>
  <c r="Z13" i="181"/>
  <c r="Y13" i="181"/>
  <c r="X13" i="181"/>
  <c r="W13" i="181"/>
  <c r="V13" i="181"/>
  <c r="U13" i="181"/>
  <c r="T13" i="181"/>
  <c r="S13" i="181"/>
  <c r="R13" i="181"/>
  <c r="Q13" i="181"/>
  <c r="J13" i="181"/>
  <c r="AK12" i="181"/>
  <c r="AJ12" i="181"/>
  <c r="AI12" i="181"/>
  <c r="AH12" i="181"/>
  <c r="AG12" i="181"/>
  <c r="AF12" i="181"/>
  <c r="AE12" i="181"/>
  <c r="AD12" i="181"/>
  <c r="Z12" i="181"/>
  <c r="Y12" i="181"/>
  <c r="X12" i="181"/>
  <c r="W12" i="181"/>
  <c r="V12" i="181"/>
  <c r="U12" i="181"/>
  <c r="S12" i="181"/>
  <c r="R12" i="181"/>
  <c r="Q12" i="181"/>
  <c r="J12" i="181"/>
  <c r="AK11" i="181"/>
  <c r="AJ11" i="181"/>
  <c r="AI11" i="181"/>
  <c r="AH11" i="181"/>
  <c r="AG11" i="181"/>
  <c r="AF11" i="181"/>
  <c r="AE11" i="181"/>
  <c r="AD11" i="181"/>
  <c r="Z11" i="181"/>
  <c r="Y11" i="181"/>
  <c r="X11" i="181"/>
  <c r="W11" i="181"/>
  <c r="V11" i="181"/>
  <c r="U11" i="181"/>
  <c r="T11" i="181"/>
  <c r="S11" i="181"/>
  <c r="R11" i="181"/>
  <c r="Q11" i="181"/>
  <c r="J11" i="181"/>
  <c r="AK10" i="181"/>
  <c r="AJ10" i="181"/>
  <c r="AI10" i="181"/>
  <c r="AH10" i="181"/>
  <c r="AG10" i="181"/>
  <c r="AF10" i="181"/>
  <c r="AE10" i="181"/>
  <c r="AD10" i="181"/>
  <c r="Z10" i="181"/>
  <c r="Y10" i="181"/>
  <c r="X10" i="181"/>
  <c r="W10" i="181"/>
  <c r="V10" i="181"/>
  <c r="U10" i="181"/>
  <c r="T10" i="181"/>
  <c r="S10" i="181"/>
  <c r="R10" i="181"/>
  <c r="Q10" i="181"/>
  <c r="J10" i="181"/>
  <c r="AK9" i="181"/>
  <c r="AJ9" i="181"/>
  <c r="AI9" i="181"/>
  <c r="AH9" i="181"/>
  <c r="AG9" i="181"/>
  <c r="AF9" i="181"/>
  <c r="AE9" i="181"/>
  <c r="AD9" i="181"/>
  <c r="Z9" i="181"/>
  <c r="Y9" i="181"/>
  <c r="X9" i="181"/>
  <c r="W9" i="181"/>
  <c r="V9" i="181"/>
  <c r="U9" i="181"/>
  <c r="T9" i="181"/>
  <c r="S9" i="181"/>
  <c r="R9" i="181"/>
  <c r="Q9" i="181"/>
  <c r="J9" i="181"/>
  <c r="AK8" i="181"/>
  <c r="AJ8" i="181"/>
  <c r="AI8" i="181"/>
  <c r="AH8" i="181"/>
  <c r="AG8" i="181"/>
  <c r="AF8" i="181"/>
  <c r="AE8" i="181"/>
  <c r="AD8" i="181"/>
  <c r="Z8" i="181"/>
  <c r="Y8" i="181"/>
  <c r="X8" i="181"/>
  <c r="W8" i="181"/>
  <c r="V8" i="181"/>
  <c r="U8" i="181"/>
  <c r="T8" i="181"/>
  <c r="S8" i="181"/>
  <c r="R8" i="181"/>
  <c r="Q8" i="181"/>
  <c r="J8" i="181"/>
  <c r="AK7" i="181"/>
  <c r="AJ7" i="181"/>
  <c r="AI7" i="181"/>
  <c r="AH7" i="181"/>
  <c r="AG7" i="181"/>
  <c r="AF7" i="181"/>
  <c r="AE7" i="181"/>
  <c r="AD7" i="181"/>
  <c r="Z7" i="181"/>
  <c r="Y7" i="181"/>
  <c r="X7" i="181"/>
  <c r="W7" i="181"/>
  <c r="V7" i="181"/>
  <c r="U7" i="181"/>
  <c r="T7" i="181"/>
  <c r="S7" i="181"/>
  <c r="R7" i="181"/>
  <c r="Q7" i="181"/>
  <c r="J7" i="181"/>
  <c r="AL6" i="181"/>
  <c r="AL44" i="181" s="1"/>
  <c r="AK6" i="181"/>
  <c r="AJ6" i="181"/>
  <c r="AI6" i="181"/>
  <c r="AH6" i="181"/>
  <c r="AG6" i="181"/>
  <c r="AF6" i="181"/>
  <c r="AE6" i="181"/>
  <c r="AD6" i="181"/>
  <c r="Z6" i="181"/>
  <c r="Y6" i="181"/>
  <c r="X6" i="181"/>
  <c r="W6" i="181"/>
  <c r="V6" i="181"/>
  <c r="U6" i="181"/>
  <c r="T6" i="181"/>
  <c r="S6" i="181"/>
  <c r="R6" i="181"/>
  <c r="Q6" i="181"/>
  <c r="K6" i="181"/>
  <c r="N6" i="181" s="1"/>
  <c r="J6" i="181"/>
  <c r="E8" i="181"/>
  <c r="E9" i="181"/>
  <c r="E10" i="181"/>
  <c r="E11" i="181"/>
  <c r="E12" i="181"/>
  <c r="E13" i="181"/>
  <c r="E14" i="181"/>
  <c r="E15" i="181"/>
  <c r="E16" i="181"/>
  <c r="E17" i="181"/>
  <c r="E18" i="181"/>
  <c r="E19" i="181"/>
  <c r="E21" i="181"/>
  <c r="E22" i="181"/>
  <c r="E23" i="181"/>
  <c r="E24" i="181"/>
  <c r="E25" i="181"/>
  <c r="E26" i="181"/>
  <c r="E27" i="181"/>
  <c r="E28" i="181"/>
  <c r="E29" i="181"/>
  <c r="E30" i="181"/>
  <c r="E31" i="181"/>
  <c r="E32" i="181"/>
  <c r="E33" i="181"/>
  <c r="E34" i="181"/>
  <c r="E35" i="181"/>
  <c r="E36" i="181"/>
  <c r="E37" i="181"/>
  <c r="E38" i="181"/>
  <c r="E39" i="181"/>
  <c r="E40" i="181"/>
  <c r="E41" i="181"/>
  <c r="E42" i="181"/>
  <c r="E7" i="181"/>
  <c r="AK42" i="180"/>
  <c r="AJ42" i="180"/>
  <c r="AI42" i="180"/>
  <c r="AH42" i="180"/>
  <c r="AG42" i="180"/>
  <c r="AF42" i="180"/>
  <c r="AE42" i="180"/>
  <c r="AD42" i="180"/>
  <c r="Z42" i="180"/>
  <c r="Y42" i="180"/>
  <c r="X42" i="180"/>
  <c r="W42" i="180"/>
  <c r="V42" i="180"/>
  <c r="U42" i="180"/>
  <c r="T42" i="180"/>
  <c r="S42" i="180"/>
  <c r="R42" i="180"/>
  <c r="Q42" i="180"/>
  <c r="J42" i="180"/>
  <c r="AK41" i="180"/>
  <c r="AJ41" i="180"/>
  <c r="AI41" i="180"/>
  <c r="AH41" i="180"/>
  <c r="AG41" i="180"/>
  <c r="AF41" i="180"/>
  <c r="AE41" i="180"/>
  <c r="AD41" i="180"/>
  <c r="Z41" i="180"/>
  <c r="Y41" i="180"/>
  <c r="X41" i="180"/>
  <c r="W41" i="180"/>
  <c r="V41" i="180"/>
  <c r="U41" i="180"/>
  <c r="T41" i="180"/>
  <c r="S41" i="180"/>
  <c r="R41" i="180"/>
  <c r="Q41" i="180"/>
  <c r="J41" i="180"/>
  <c r="AK40" i="180"/>
  <c r="AJ40" i="180"/>
  <c r="AI40" i="180"/>
  <c r="AH40" i="180"/>
  <c r="AG40" i="180"/>
  <c r="AF40" i="180"/>
  <c r="AE40" i="180"/>
  <c r="AD40" i="180"/>
  <c r="Z40" i="180"/>
  <c r="Y40" i="180"/>
  <c r="X40" i="180"/>
  <c r="W40" i="180"/>
  <c r="V40" i="180"/>
  <c r="U40" i="180"/>
  <c r="T40" i="180"/>
  <c r="S40" i="180"/>
  <c r="R40" i="180"/>
  <c r="Q40" i="180"/>
  <c r="J40" i="180"/>
  <c r="AK39" i="180"/>
  <c r="AJ39" i="180"/>
  <c r="AI39" i="180"/>
  <c r="AH39" i="180"/>
  <c r="AG39" i="180"/>
  <c r="AF39" i="180"/>
  <c r="AE39" i="180"/>
  <c r="AD39" i="180"/>
  <c r="Z39" i="180"/>
  <c r="Y39" i="180"/>
  <c r="X39" i="180"/>
  <c r="W39" i="180"/>
  <c r="V39" i="180"/>
  <c r="U39" i="180"/>
  <c r="T39" i="180"/>
  <c r="S39" i="180"/>
  <c r="R39" i="180"/>
  <c r="Q39" i="180"/>
  <c r="J39" i="180"/>
  <c r="AK38" i="180"/>
  <c r="AJ38" i="180"/>
  <c r="AI38" i="180"/>
  <c r="AH38" i="180"/>
  <c r="AG38" i="180"/>
  <c r="AF38" i="180"/>
  <c r="AE38" i="180"/>
  <c r="AD38" i="180"/>
  <c r="Z38" i="180"/>
  <c r="Y38" i="180"/>
  <c r="X38" i="180"/>
  <c r="W38" i="180"/>
  <c r="V38" i="180"/>
  <c r="U38" i="180"/>
  <c r="T38" i="180"/>
  <c r="S38" i="180"/>
  <c r="R38" i="180"/>
  <c r="Q38" i="180"/>
  <c r="J38" i="180"/>
  <c r="AK37" i="180"/>
  <c r="AJ37" i="180"/>
  <c r="AI37" i="180"/>
  <c r="AH37" i="180"/>
  <c r="AG37" i="180"/>
  <c r="AF37" i="180"/>
  <c r="AE37" i="180"/>
  <c r="AD37" i="180"/>
  <c r="Z37" i="180"/>
  <c r="Y37" i="180"/>
  <c r="X37" i="180"/>
  <c r="W37" i="180"/>
  <c r="V37" i="180"/>
  <c r="U37" i="180"/>
  <c r="T37" i="180"/>
  <c r="S37" i="180"/>
  <c r="R37" i="180"/>
  <c r="Q37" i="180"/>
  <c r="J37" i="180"/>
  <c r="AK36" i="180"/>
  <c r="AJ36" i="180"/>
  <c r="AI36" i="180"/>
  <c r="AH36" i="180"/>
  <c r="AG36" i="180"/>
  <c r="AF36" i="180"/>
  <c r="AE36" i="180"/>
  <c r="AD36" i="180"/>
  <c r="Z36" i="180"/>
  <c r="Y36" i="180"/>
  <c r="X36" i="180"/>
  <c r="W36" i="180"/>
  <c r="V36" i="180"/>
  <c r="U36" i="180"/>
  <c r="T36" i="180"/>
  <c r="S36" i="180"/>
  <c r="R36" i="180"/>
  <c r="Q36" i="180"/>
  <c r="J36" i="180"/>
  <c r="AK35" i="180"/>
  <c r="AJ35" i="180"/>
  <c r="AI35" i="180"/>
  <c r="AH35" i="180"/>
  <c r="AG35" i="180"/>
  <c r="AF35" i="180"/>
  <c r="AE35" i="180"/>
  <c r="AD35" i="180"/>
  <c r="Z35" i="180"/>
  <c r="Y35" i="180"/>
  <c r="X35" i="180"/>
  <c r="W35" i="180"/>
  <c r="V35" i="180"/>
  <c r="U35" i="180"/>
  <c r="T35" i="180"/>
  <c r="S35" i="180"/>
  <c r="R35" i="180"/>
  <c r="Q35" i="180"/>
  <c r="J35" i="180"/>
  <c r="AK34" i="180"/>
  <c r="AJ34" i="180"/>
  <c r="AI34" i="180"/>
  <c r="AH34" i="180"/>
  <c r="AG34" i="180"/>
  <c r="AF34" i="180"/>
  <c r="AE34" i="180"/>
  <c r="AD34" i="180"/>
  <c r="Z34" i="180"/>
  <c r="Y34" i="180"/>
  <c r="X34" i="180"/>
  <c r="W34" i="180"/>
  <c r="V34" i="180"/>
  <c r="U34" i="180"/>
  <c r="T34" i="180"/>
  <c r="S34" i="180"/>
  <c r="R34" i="180"/>
  <c r="Q34" i="180"/>
  <c r="J34" i="180"/>
  <c r="AK33" i="180"/>
  <c r="AJ33" i="180"/>
  <c r="AI33" i="180"/>
  <c r="AH33" i="180"/>
  <c r="AG33" i="180"/>
  <c r="AF33" i="180"/>
  <c r="AE33" i="180"/>
  <c r="AD33" i="180"/>
  <c r="Z33" i="180"/>
  <c r="Y33" i="180"/>
  <c r="X33" i="180"/>
  <c r="W33" i="180"/>
  <c r="V33" i="180"/>
  <c r="U33" i="180"/>
  <c r="T33" i="180"/>
  <c r="S33" i="180"/>
  <c r="R33" i="180"/>
  <c r="Q33" i="180"/>
  <c r="J33" i="180"/>
  <c r="AK32" i="180"/>
  <c r="AJ32" i="180"/>
  <c r="AI32" i="180"/>
  <c r="AH32" i="180"/>
  <c r="AG32" i="180"/>
  <c r="AF32" i="180"/>
  <c r="AE32" i="180"/>
  <c r="AD32" i="180"/>
  <c r="Z32" i="180"/>
  <c r="Y32" i="180"/>
  <c r="X32" i="180"/>
  <c r="W32" i="180"/>
  <c r="V32" i="180"/>
  <c r="U32" i="180"/>
  <c r="T32" i="180"/>
  <c r="S32" i="180"/>
  <c r="R32" i="180"/>
  <c r="Q32" i="180"/>
  <c r="J32" i="180"/>
  <c r="AK31" i="180"/>
  <c r="AJ31" i="180"/>
  <c r="AI31" i="180"/>
  <c r="AH31" i="180"/>
  <c r="AG31" i="180"/>
  <c r="AF31" i="180"/>
  <c r="AE31" i="180"/>
  <c r="AD31" i="180"/>
  <c r="Z31" i="180"/>
  <c r="Y31" i="180"/>
  <c r="X31" i="180"/>
  <c r="W31" i="180"/>
  <c r="V31" i="180"/>
  <c r="U31" i="180"/>
  <c r="T31" i="180"/>
  <c r="S31" i="180"/>
  <c r="R31" i="180"/>
  <c r="Q31" i="180"/>
  <c r="J31" i="180"/>
  <c r="AK30" i="180"/>
  <c r="AJ30" i="180"/>
  <c r="AI30" i="180"/>
  <c r="AH30" i="180"/>
  <c r="AG30" i="180"/>
  <c r="AF30" i="180"/>
  <c r="AE30" i="180"/>
  <c r="AD30" i="180"/>
  <c r="Z30" i="180"/>
  <c r="Y30" i="180"/>
  <c r="X30" i="180"/>
  <c r="W30" i="180"/>
  <c r="V30" i="180"/>
  <c r="U30" i="180"/>
  <c r="T30" i="180"/>
  <c r="S30" i="180"/>
  <c r="R30" i="180"/>
  <c r="Q30" i="180"/>
  <c r="J30" i="180"/>
  <c r="AK29" i="180"/>
  <c r="AJ29" i="180"/>
  <c r="AI29" i="180"/>
  <c r="AH29" i="180"/>
  <c r="AG29" i="180"/>
  <c r="AF29" i="180"/>
  <c r="AE29" i="180"/>
  <c r="AD29" i="180"/>
  <c r="Z29" i="180"/>
  <c r="Y29" i="180"/>
  <c r="X29" i="180"/>
  <c r="W29" i="180"/>
  <c r="V29" i="180"/>
  <c r="U29" i="180"/>
  <c r="T29" i="180"/>
  <c r="S29" i="180"/>
  <c r="R29" i="180"/>
  <c r="Q29" i="180"/>
  <c r="J29" i="180"/>
  <c r="AK28" i="180"/>
  <c r="AJ28" i="180"/>
  <c r="AI28" i="180"/>
  <c r="AH28" i="180"/>
  <c r="AG28" i="180"/>
  <c r="AF28" i="180"/>
  <c r="AE28" i="180"/>
  <c r="AD28" i="180"/>
  <c r="Z28" i="180"/>
  <c r="Y28" i="180"/>
  <c r="X28" i="180"/>
  <c r="W28" i="180"/>
  <c r="V28" i="180"/>
  <c r="U28" i="180"/>
  <c r="T28" i="180"/>
  <c r="S28" i="180"/>
  <c r="R28" i="180"/>
  <c r="Q28" i="180"/>
  <c r="J28" i="180"/>
  <c r="AK27" i="180"/>
  <c r="AJ27" i="180"/>
  <c r="AI27" i="180"/>
  <c r="AH27" i="180"/>
  <c r="AG27" i="180"/>
  <c r="AF27" i="180"/>
  <c r="AE27" i="180"/>
  <c r="AD27" i="180"/>
  <c r="Z27" i="180"/>
  <c r="Y27" i="180"/>
  <c r="X27" i="180"/>
  <c r="W27" i="180"/>
  <c r="V27" i="180"/>
  <c r="U27" i="180"/>
  <c r="T27" i="180"/>
  <c r="S27" i="180"/>
  <c r="R27" i="180"/>
  <c r="Q27" i="180"/>
  <c r="J27" i="180"/>
  <c r="AK26" i="180"/>
  <c r="AJ26" i="180"/>
  <c r="AI26" i="180"/>
  <c r="AH26" i="180"/>
  <c r="AG26" i="180"/>
  <c r="AF26" i="180"/>
  <c r="AE26" i="180"/>
  <c r="AD26" i="180"/>
  <c r="Z26" i="180"/>
  <c r="Y26" i="180"/>
  <c r="X26" i="180"/>
  <c r="W26" i="180"/>
  <c r="V26" i="180"/>
  <c r="U26" i="180"/>
  <c r="T26" i="180"/>
  <c r="S26" i="180"/>
  <c r="R26" i="180"/>
  <c r="Q26" i="180"/>
  <c r="J26" i="180"/>
  <c r="AK25" i="180"/>
  <c r="AJ25" i="180"/>
  <c r="AI25" i="180"/>
  <c r="AH25" i="180"/>
  <c r="AG25" i="180"/>
  <c r="AF25" i="180"/>
  <c r="AE25" i="180"/>
  <c r="AD25" i="180"/>
  <c r="Z25" i="180"/>
  <c r="Y25" i="180"/>
  <c r="X25" i="180"/>
  <c r="W25" i="180"/>
  <c r="V25" i="180"/>
  <c r="U25" i="180"/>
  <c r="T25" i="180"/>
  <c r="S25" i="180"/>
  <c r="R25" i="180"/>
  <c r="Q25" i="180"/>
  <c r="J25" i="180"/>
  <c r="AK24" i="180"/>
  <c r="AJ24" i="180"/>
  <c r="AI24" i="180"/>
  <c r="AH24" i="180"/>
  <c r="AG24" i="180"/>
  <c r="AF24" i="180"/>
  <c r="AE24" i="180"/>
  <c r="AD24" i="180"/>
  <c r="Z24" i="180"/>
  <c r="Y24" i="180"/>
  <c r="X24" i="180"/>
  <c r="W24" i="180"/>
  <c r="V24" i="180"/>
  <c r="U24" i="180"/>
  <c r="T24" i="180"/>
  <c r="S24" i="180"/>
  <c r="R24" i="180"/>
  <c r="Q24" i="180"/>
  <c r="J24" i="180"/>
  <c r="AK23" i="180"/>
  <c r="AJ23" i="180"/>
  <c r="AI23" i="180"/>
  <c r="AH23" i="180"/>
  <c r="AG23" i="180"/>
  <c r="AF23" i="180"/>
  <c r="AE23" i="180"/>
  <c r="AD23" i="180"/>
  <c r="Z23" i="180"/>
  <c r="Y23" i="180"/>
  <c r="X23" i="180"/>
  <c r="W23" i="180"/>
  <c r="V23" i="180"/>
  <c r="U23" i="180"/>
  <c r="T23" i="180"/>
  <c r="S23" i="180"/>
  <c r="R23" i="180"/>
  <c r="Q23" i="180"/>
  <c r="J23" i="180"/>
  <c r="AK22" i="180"/>
  <c r="AJ22" i="180"/>
  <c r="AI22" i="180"/>
  <c r="AH22" i="180"/>
  <c r="AG22" i="180"/>
  <c r="AF22" i="180"/>
  <c r="AE22" i="180"/>
  <c r="AD22" i="180"/>
  <c r="Z22" i="180"/>
  <c r="Y22" i="180"/>
  <c r="X22" i="180"/>
  <c r="W22" i="180"/>
  <c r="V22" i="180"/>
  <c r="U22" i="180"/>
  <c r="T22" i="180"/>
  <c r="S22" i="180"/>
  <c r="R22" i="180"/>
  <c r="Q22" i="180"/>
  <c r="J22" i="180"/>
  <c r="AK21" i="180"/>
  <c r="AJ21" i="180"/>
  <c r="AI21" i="180"/>
  <c r="AH21" i="180"/>
  <c r="AG21" i="180"/>
  <c r="AF21" i="180"/>
  <c r="AE21" i="180"/>
  <c r="AD21" i="180"/>
  <c r="Z21" i="180"/>
  <c r="Y21" i="180"/>
  <c r="X21" i="180"/>
  <c r="W21" i="180"/>
  <c r="V21" i="180"/>
  <c r="U21" i="180"/>
  <c r="T21" i="180"/>
  <c r="S21" i="180"/>
  <c r="R21" i="180"/>
  <c r="Q21" i="180"/>
  <c r="J21" i="180"/>
  <c r="AK19" i="180"/>
  <c r="AJ19" i="180"/>
  <c r="AI19" i="180"/>
  <c r="AH19" i="180"/>
  <c r="AG19" i="180"/>
  <c r="AF19" i="180"/>
  <c r="AE19" i="180"/>
  <c r="AD19" i="180"/>
  <c r="Z19" i="180"/>
  <c r="Y19" i="180"/>
  <c r="X19" i="180"/>
  <c r="W19" i="180"/>
  <c r="V19" i="180"/>
  <c r="U19" i="180"/>
  <c r="T19" i="180"/>
  <c r="S19" i="180"/>
  <c r="R19" i="180"/>
  <c r="Q19" i="180"/>
  <c r="J19" i="180"/>
  <c r="AK18" i="180"/>
  <c r="AJ18" i="180"/>
  <c r="AI18" i="180"/>
  <c r="AH18" i="180"/>
  <c r="AG18" i="180"/>
  <c r="AF18" i="180"/>
  <c r="AE18" i="180"/>
  <c r="AD18" i="180"/>
  <c r="Z18" i="180"/>
  <c r="Y18" i="180"/>
  <c r="X18" i="180"/>
  <c r="W18" i="180"/>
  <c r="V18" i="180"/>
  <c r="U18" i="180"/>
  <c r="T18" i="180"/>
  <c r="S18" i="180"/>
  <c r="R18" i="180"/>
  <c r="Q18" i="180"/>
  <c r="J18" i="180"/>
  <c r="AK17" i="180"/>
  <c r="AJ17" i="180"/>
  <c r="AI17" i="180"/>
  <c r="AH17" i="180"/>
  <c r="AG17" i="180"/>
  <c r="AF17" i="180"/>
  <c r="AE17" i="180"/>
  <c r="AD17" i="180"/>
  <c r="Z17" i="180"/>
  <c r="Y17" i="180"/>
  <c r="X17" i="180"/>
  <c r="W17" i="180"/>
  <c r="V17" i="180"/>
  <c r="U17" i="180"/>
  <c r="T17" i="180"/>
  <c r="S17" i="180"/>
  <c r="R17" i="180"/>
  <c r="Q17" i="180"/>
  <c r="J17" i="180"/>
  <c r="AK16" i="180"/>
  <c r="AJ16" i="180"/>
  <c r="AI16" i="180"/>
  <c r="AH16" i="180"/>
  <c r="AG16" i="180"/>
  <c r="AF16" i="180"/>
  <c r="AE16" i="180"/>
  <c r="AD16" i="180"/>
  <c r="Z16" i="180"/>
  <c r="Y16" i="180"/>
  <c r="X16" i="180"/>
  <c r="W16" i="180"/>
  <c r="V16" i="180"/>
  <c r="U16" i="180"/>
  <c r="T16" i="180"/>
  <c r="S16" i="180"/>
  <c r="R16" i="180"/>
  <c r="Q16" i="180"/>
  <c r="J16" i="180"/>
  <c r="AK15" i="180"/>
  <c r="AJ15" i="180"/>
  <c r="AI15" i="180"/>
  <c r="AH15" i="180"/>
  <c r="AG15" i="180"/>
  <c r="AF15" i="180"/>
  <c r="AE15" i="180"/>
  <c r="AD15" i="180"/>
  <c r="Z15" i="180"/>
  <c r="Y15" i="180"/>
  <c r="X15" i="180"/>
  <c r="W15" i="180"/>
  <c r="V15" i="180"/>
  <c r="U15" i="180"/>
  <c r="T15" i="180"/>
  <c r="S15" i="180"/>
  <c r="R15" i="180"/>
  <c r="Q15" i="180"/>
  <c r="J15" i="180"/>
  <c r="AK14" i="180"/>
  <c r="AJ14" i="180"/>
  <c r="AI14" i="180"/>
  <c r="AH14" i="180"/>
  <c r="AG14" i="180"/>
  <c r="AF14" i="180"/>
  <c r="AE14" i="180"/>
  <c r="AD14" i="180"/>
  <c r="Z14" i="180"/>
  <c r="Y14" i="180"/>
  <c r="X14" i="180"/>
  <c r="W14" i="180"/>
  <c r="V14" i="180"/>
  <c r="U14" i="180"/>
  <c r="T14" i="180"/>
  <c r="S14" i="180"/>
  <c r="R14" i="180"/>
  <c r="Q14" i="180"/>
  <c r="J14" i="180"/>
  <c r="AK13" i="180"/>
  <c r="AJ13" i="180"/>
  <c r="AI13" i="180"/>
  <c r="AH13" i="180"/>
  <c r="AG13" i="180"/>
  <c r="AF13" i="180"/>
  <c r="AE13" i="180"/>
  <c r="AD13" i="180"/>
  <c r="Z13" i="180"/>
  <c r="Y13" i="180"/>
  <c r="X13" i="180"/>
  <c r="W13" i="180"/>
  <c r="V13" i="180"/>
  <c r="U13" i="180"/>
  <c r="T13" i="180"/>
  <c r="S13" i="180"/>
  <c r="R13" i="180"/>
  <c r="Q13" i="180"/>
  <c r="J13" i="180"/>
  <c r="AK12" i="180"/>
  <c r="AJ12" i="180"/>
  <c r="AI12" i="180"/>
  <c r="AH12" i="180"/>
  <c r="AG12" i="180"/>
  <c r="AF12" i="180"/>
  <c r="AE12" i="180"/>
  <c r="AD12" i="180"/>
  <c r="Z12" i="180"/>
  <c r="Y12" i="180"/>
  <c r="X12" i="180"/>
  <c r="W12" i="180"/>
  <c r="V12" i="180"/>
  <c r="U12" i="180"/>
  <c r="T12" i="180"/>
  <c r="S12" i="180"/>
  <c r="R12" i="180"/>
  <c r="Q12" i="180"/>
  <c r="J12" i="180"/>
  <c r="AK11" i="180"/>
  <c r="AJ11" i="180"/>
  <c r="AI11" i="180"/>
  <c r="AH11" i="180"/>
  <c r="AG11" i="180"/>
  <c r="AF11" i="180"/>
  <c r="AE11" i="180"/>
  <c r="AD11" i="180"/>
  <c r="Z11" i="180"/>
  <c r="Y11" i="180"/>
  <c r="X11" i="180"/>
  <c r="W11" i="180"/>
  <c r="V11" i="180"/>
  <c r="U11" i="180"/>
  <c r="T11" i="180"/>
  <c r="S11" i="180"/>
  <c r="R11" i="180"/>
  <c r="Q11" i="180"/>
  <c r="J11" i="180"/>
  <c r="AK10" i="180"/>
  <c r="AJ10" i="180"/>
  <c r="AI10" i="180"/>
  <c r="AH10" i="180"/>
  <c r="AG10" i="180"/>
  <c r="AF10" i="180"/>
  <c r="AE10" i="180"/>
  <c r="AD10" i="180"/>
  <c r="Z10" i="180"/>
  <c r="Y10" i="180"/>
  <c r="X10" i="180"/>
  <c r="W10" i="180"/>
  <c r="V10" i="180"/>
  <c r="U10" i="180"/>
  <c r="T10" i="180"/>
  <c r="S10" i="180"/>
  <c r="R10" i="180"/>
  <c r="Q10" i="180"/>
  <c r="J10" i="180"/>
  <c r="AK9" i="180"/>
  <c r="AJ9" i="180"/>
  <c r="AI9" i="180"/>
  <c r="AH9" i="180"/>
  <c r="AG9" i="180"/>
  <c r="AF9" i="180"/>
  <c r="AE9" i="180"/>
  <c r="AD9" i="180"/>
  <c r="Z9" i="180"/>
  <c r="Y9" i="180"/>
  <c r="X9" i="180"/>
  <c r="W9" i="180"/>
  <c r="V9" i="180"/>
  <c r="U9" i="180"/>
  <c r="T9" i="180"/>
  <c r="S9" i="180"/>
  <c r="R9" i="180"/>
  <c r="Q9" i="180"/>
  <c r="J9" i="180"/>
  <c r="AK8" i="180"/>
  <c r="AJ8" i="180"/>
  <c r="AI8" i="180"/>
  <c r="AH8" i="180"/>
  <c r="AG8" i="180"/>
  <c r="AF8" i="180"/>
  <c r="AE8" i="180"/>
  <c r="AD8" i="180"/>
  <c r="Z8" i="180"/>
  <c r="Y8" i="180"/>
  <c r="X8" i="180"/>
  <c r="W8" i="180"/>
  <c r="V8" i="180"/>
  <c r="U8" i="180"/>
  <c r="T8" i="180"/>
  <c r="S8" i="180"/>
  <c r="R8" i="180"/>
  <c r="Q8" i="180"/>
  <c r="J8" i="180"/>
  <c r="AK7" i="180"/>
  <c r="AJ7" i="180"/>
  <c r="AI7" i="180"/>
  <c r="AH7" i="180"/>
  <c r="AG7" i="180"/>
  <c r="AF7" i="180"/>
  <c r="AE7" i="180"/>
  <c r="AD7" i="180"/>
  <c r="Z7" i="180"/>
  <c r="Y7" i="180"/>
  <c r="X7" i="180"/>
  <c r="W7" i="180"/>
  <c r="V7" i="180"/>
  <c r="U7" i="180"/>
  <c r="T7" i="180"/>
  <c r="S7" i="180"/>
  <c r="R7" i="180"/>
  <c r="Q7" i="180"/>
  <c r="J7" i="180"/>
  <c r="AL6" i="180"/>
  <c r="AL44" i="180" s="1"/>
  <c r="AK6" i="180"/>
  <c r="AJ6" i="180"/>
  <c r="AI6" i="180"/>
  <c r="AG6" i="180"/>
  <c r="AE6" i="180"/>
  <c r="AD6" i="180"/>
  <c r="Z6" i="180"/>
  <c r="Y6" i="180"/>
  <c r="X6" i="180"/>
  <c r="W6" i="180"/>
  <c r="V6" i="180"/>
  <c r="U6" i="180"/>
  <c r="T6" i="180"/>
  <c r="S6" i="180"/>
  <c r="R6" i="180"/>
  <c r="Q6" i="180"/>
  <c r="K6" i="180"/>
  <c r="M6" i="180" s="1"/>
  <c r="J6" i="180"/>
  <c r="E8" i="180"/>
  <c r="E9" i="180"/>
  <c r="E10" i="180"/>
  <c r="E11" i="180"/>
  <c r="E12" i="180"/>
  <c r="E13" i="180"/>
  <c r="E14" i="180"/>
  <c r="E15" i="180"/>
  <c r="E16" i="180"/>
  <c r="E17" i="180"/>
  <c r="E18" i="180"/>
  <c r="E19" i="180"/>
  <c r="E21" i="180"/>
  <c r="E22" i="180"/>
  <c r="E23" i="180"/>
  <c r="E24" i="180"/>
  <c r="E25" i="180"/>
  <c r="E26" i="180"/>
  <c r="E27" i="180"/>
  <c r="E28" i="180"/>
  <c r="E29" i="180"/>
  <c r="E30" i="180"/>
  <c r="E31" i="180"/>
  <c r="E32" i="180"/>
  <c r="E33" i="180"/>
  <c r="E34" i="180"/>
  <c r="E35" i="180"/>
  <c r="E36" i="180"/>
  <c r="E37" i="180"/>
  <c r="E38" i="180"/>
  <c r="E39" i="180"/>
  <c r="E40" i="180"/>
  <c r="E41" i="180"/>
  <c r="E42" i="180"/>
  <c r="E7" i="180"/>
  <c r="E8" i="178"/>
  <c r="E9" i="178"/>
  <c r="E10" i="178"/>
  <c r="E11" i="178"/>
  <c r="E12" i="178"/>
  <c r="E13" i="178"/>
  <c r="E14" i="178"/>
  <c r="E15" i="178"/>
  <c r="E16" i="178"/>
  <c r="E17" i="178"/>
  <c r="E18" i="178"/>
  <c r="E19" i="178"/>
  <c r="E21" i="178"/>
  <c r="E22" i="178"/>
  <c r="E23" i="178"/>
  <c r="E24" i="178"/>
  <c r="E25" i="178"/>
  <c r="E26" i="178"/>
  <c r="E27" i="178"/>
  <c r="E28" i="178"/>
  <c r="E29" i="178"/>
  <c r="E30" i="178"/>
  <c r="E31" i="178"/>
  <c r="E32" i="178"/>
  <c r="E33" i="178"/>
  <c r="E34" i="178"/>
  <c r="E35" i="178"/>
  <c r="E36" i="178"/>
  <c r="E37" i="178"/>
  <c r="E38" i="178"/>
  <c r="E39" i="178"/>
  <c r="E40" i="178"/>
  <c r="E41" i="178"/>
  <c r="E42" i="178"/>
  <c r="E7" i="178"/>
  <c r="E8" i="179"/>
  <c r="E9" i="179"/>
  <c r="E10" i="179"/>
  <c r="E11" i="179"/>
  <c r="E12" i="179"/>
  <c r="E13" i="179"/>
  <c r="E14" i="179"/>
  <c r="E15" i="179"/>
  <c r="E16" i="179"/>
  <c r="E17" i="179"/>
  <c r="E18" i="179"/>
  <c r="E19" i="179"/>
  <c r="E21" i="179"/>
  <c r="E22" i="179"/>
  <c r="E23" i="179"/>
  <c r="E24" i="179"/>
  <c r="E25" i="179"/>
  <c r="E26" i="179"/>
  <c r="E27" i="179"/>
  <c r="E28" i="179"/>
  <c r="E29" i="179"/>
  <c r="E30" i="179"/>
  <c r="E31" i="179"/>
  <c r="E32" i="179"/>
  <c r="E33" i="179"/>
  <c r="E34" i="179"/>
  <c r="E35" i="179"/>
  <c r="E36" i="179"/>
  <c r="E37" i="179"/>
  <c r="E38" i="179"/>
  <c r="E39" i="179"/>
  <c r="E40" i="179"/>
  <c r="E41" i="179"/>
  <c r="E42" i="179"/>
  <c r="E7" i="179"/>
  <c r="AK42" i="179"/>
  <c r="AJ42" i="179"/>
  <c r="AI42" i="179"/>
  <c r="AH42" i="179"/>
  <c r="AG42" i="179"/>
  <c r="AF42" i="179"/>
  <c r="AE42" i="179"/>
  <c r="AD42" i="179"/>
  <c r="Z42" i="179"/>
  <c r="Y42" i="179"/>
  <c r="X42" i="179"/>
  <c r="W42" i="179"/>
  <c r="V42" i="179"/>
  <c r="U42" i="179"/>
  <c r="T42" i="179"/>
  <c r="S42" i="179"/>
  <c r="R42" i="179"/>
  <c r="Q42" i="179"/>
  <c r="J42" i="179"/>
  <c r="AK41" i="179"/>
  <c r="AJ41" i="179"/>
  <c r="AI41" i="179"/>
  <c r="AH41" i="179"/>
  <c r="AG41" i="179"/>
  <c r="AF41" i="179"/>
  <c r="AE41" i="179"/>
  <c r="AD41" i="179"/>
  <c r="Z41" i="179"/>
  <c r="Y41" i="179"/>
  <c r="X41" i="179"/>
  <c r="W41" i="179"/>
  <c r="V41" i="179"/>
  <c r="U41" i="179"/>
  <c r="T41" i="179"/>
  <c r="S41" i="179"/>
  <c r="R41" i="179"/>
  <c r="Q41" i="179"/>
  <c r="J41" i="179"/>
  <c r="AK40" i="179"/>
  <c r="AJ40" i="179"/>
  <c r="AI40" i="179"/>
  <c r="AH40" i="179"/>
  <c r="AG40" i="179"/>
  <c r="AF40" i="179"/>
  <c r="AE40" i="179"/>
  <c r="AD40" i="179"/>
  <c r="Z40" i="179"/>
  <c r="Y40" i="179"/>
  <c r="X40" i="179"/>
  <c r="W40" i="179"/>
  <c r="V40" i="179"/>
  <c r="U40" i="179"/>
  <c r="T40" i="179"/>
  <c r="S40" i="179"/>
  <c r="R40" i="179"/>
  <c r="Q40" i="179"/>
  <c r="J40" i="179"/>
  <c r="AK39" i="179"/>
  <c r="AJ39" i="179"/>
  <c r="AI39" i="179"/>
  <c r="AH39" i="179"/>
  <c r="AG39" i="179"/>
  <c r="AF39" i="179"/>
  <c r="AE39" i="179"/>
  <c r="AD39" i="179"/>
  <c r="Z39" i="179"/>
  <c r="Y39" i="179"/>
  <c r="X39" i="179"/>
  <c r="W39" i="179"/>
  <c r="V39" i="179"/>
  <c r="U39" i="179"/>
  <c r="T39" i="179"/>
  <c r="S39" i="179"/>
  <c r="R39" i="179"/>
  <c r="Q39" i="179"/>
  <c r="J39" i="179"/>
  <c r="AK38" i="179"/>
  <c r="AJ38" i="179"/>
  <c r="AI38" i="179"/>
  <c r="AH38" i="179"/>
  <c r="AG38" i="179"/>
  <c r="AF38" i="179"/>
  <c r="AE38" i="179"/>
  <c r="AD38" i="179"/>
  <c r="Z38" i="179"/>
  <c r="Y38" i="179"/>
  <c r="X38" i="179"/>
  <c r="W38" i="179"/>
  <c r="V38" i="179"/>
  <c r="U38" i="179"/>
  <c r="T38" i="179"/>
  <c r="S38" i="179"/>
  <c r="R38" i="179"/>
  <c r="Q38" i="179"/>
  <c r="J38" i="179"/>
  <c r="AK37" i="179"/>
  <c r="AJ37" i="179"/>
  <c r="AI37" i="179"/>
  <c r="AH37" i="179"/>
  <c r="AG37" i="179"/>
  <c r="AF37" i="179"/>
  <c r="AE37" i="179"/>
  <c r="AD37" i="179"/>
  <c r="Z37" i="179"/>
  <c r="Y37" i="179"/>
  <c r="X37" i="179"/>
  <c r="W37" i="179"/>
  <c r="V37" i="179"/>
  <c r="U37" i="179"/>
  <c r="T37" i="179"/>
  <c r="S37" i="179"/>
  <c r="R37" i="179"/>
  <c r="Q37" i="179"/>
  <c r="J37" i="179"/>
  <c r="AK36" i="179"/>
  <c r="AJ36" i="179"/>
  <c r="AI36" i="179"/>
  <c r="AH36" i="179"/>
  <c r="AG36" i="179"/>
  <c r="AF36" i="179"/>
  <c r="AE36" i="179"/>
  <c r="AD36" i="179"/>
  <c r="Z36" i="179"/>
  <c r="Y36" i="179"/>
  <c r="X36" i="179"/>
  <c r="W36" i="179"/>
  <c r="V36" i="179"/>
  <c r="U36" i="179"/>
  <c r="T36" i="179"/>
  <c r="S36" i="179"/>
  <c r="R36" i="179"/>
  <c r="Q36" i="179"/>
  <c r="J36" i="179"/>
  <c r="AK35" i="179"/>
  <c r="AJ35" i="179"/>
  <c r="AI35" i="179"/>
  <c r="AH35" i="179"/>
  <c r="AG35" i="179"/>
  <c r="AF35" i="179"/>
  <c r="AE35" i="179"/>
  <c r="AD35" i="179"/>
  <c r="Z35" i="179"/>
  <c r="Y35" i="179"/>
  <c r="X35" i="179"/>
  <c r="W35" i="179"/>
  <c r="V35" i="179"/>
  <c r="U35" i="179"/>
  <c r="T35" i="179"/>
  <c r="S35" i="179"/>
  <c r="R35" i="179"/>
  <c r="Q35" i="179"/>
  <c r="J35" i="179"/>
  <c r="AK34" i="179"/>
  <c r="AJ34" i="179"/>
  <c r="AI34" i="179"/>
  <c r="AH34" i="179"/>
  <c r="AG34" i="179"/>
  <c r="AF34" i="179"/>
  <c r="AE34" i="179"/>
  <c r="AD34" i="179"/>
  <c r="Z34" i="179"/>
  <c r="Y34" i="179"/>
  <c r="X34" i="179"/>
  <c r="W34" i="179"/>
  <c r="V34" i="179"/>
  <c r="U34" i="179"/>
  <c r="T34" i="179"/>
  <c r="S34" i="179"/>
  <c r="R34" i="179"/>
  <c r="Q34" i="179"/>
  <c r="J34" i="179"/>
  <c r="AK33" i="179"/>
  <c r="AJ33" i="179"/>
  <c r="AI33" i="179"/>
  <c r="AH33" i="179"/>
  <c r="AG33" i="179"/>
  <c r="AF33" i="179"/>
  <c r="AE33" i="179"/>
  <c r="AD33" i="179"/>
  <c r="Z33" i="179"/>
  <c r="Y33" i="179"/>
  <c r="X33" i="179"/>
  <c r="W33" i="179"/>
  <c r="V33" i="179"/>
  <c r="U33" i="179"/>
  <c r="T33" i="179"/>
  <c r="S33" i="179"/>
  <c r="R33" i="179"/>
  <c r="Q33" i="179"/>
  <c r="J33" i="179"/>
  <c r="AK32" i="179"/>
  <c r="AJ32" i="179"/>
  <c r="AI32" i="179"/>
  <c r="AH32" i="179"/>
  <c r="AG32" i="179"/>
  <c r="AF32" i="179"/>
  <c r="AE32" i="179"/>
  <c r="AD32" i="179"/>
  <c r="Z32" i="179"/>
  <c r="Y32" i="179"/>
  <c r="X32" i="179"/>
  <c r="W32" i="179"/>
  <c r="V32" i="179"/>
  <c r="U32" i="179"/>
  <c r="T32" i="179"/>
  <c r="S32" i="179"/>
  <c r="R32" i="179"/>
  <c r="Q32" i="179"/>
  <c r="J32" i="179"/>
  <c r="AK31" i="179"/>
  <c r="AJ31" i="179"/>
  <c r="AI31" i="179"/>
  <c r="AH31" i="179"/>
  <c r="AG31" i="179"/>
  <c r="AF31" i="179"/>
  <c r="AE31" i="179"/>
  <c r="AD31" i="179"/>
  <c r="Z31" i="179"/>
  <c r="Y31" i="179"/>
  <c r="X31" i="179"/>
  <c r="W31" i="179"/>
  <c r="V31" i="179"/>
  <c r="U31" i="179"/>
  <c r="T31" i="179"/>
  <c r="S31" i="179"/>
  <c r="R31" i="179"/>
  <c r="Q31" i="179"/>
  <c r="J31" i="179"/>
  <c r="AK30" i="179"/>
  <c r="AJ30" i="179"/>
  <c r="AI30" i="179"/>
  <c r="AH30" i="179"/>
  <c r="AG30" i="179"/>
  <c r="AF30" i="179"/>
  <c r="AE30" i="179"/>
  <c r="AD30" i="179"/>
  <c r="Z30" i="179"/>
  <c r="Y30" i="179"/>
  <c r="X30" i="179"/>
  <c r="W30" i="179"/>
  <c r="V30" i="179"/>
  <c r="U30" i="179"/>
  <c r="T30" i="179"/>
  <c r="S30" i="179"/>
  <c r="R30" i="179"/>
  <c r="Q30" i="179"/>
  <c r="J30" i="179"/>
  <c r="AK29" i="179"/>
  <c r="AJ29" i="179"/>
  <c r="AI29" i="179"/>
  <c r="AH29" i="179"/>
  <c r="AG29" i="179"/>
  <c r="AF29" i="179"/>
  <c r="AE29" i="179"/>
  <c r="AD29" i="179"/>
  <c r="Z29" i="179"/>
  <c r="Y29" i="179"/>
  <c r="X29" i="179"/>
  <c r="W29" i="179"/>
  <c r="V29" i="179"/>
  <c r="U29" i="179"/>
  <c r="T29" i="179"/>
  <c r="S29" i="179"/>
  <c r="R29" i="179"/>
  <c r="Q29" i="179"/>
  <c r="J29" i="179"/>
  <c r="AK28" i="179"/>
  <c r="AJ28" i="179"/>
  <c r="AI28" i="179"/>
  <c r="AH28" i="179"/>
  <c r="AG28" i="179"/>
  <c r="AF28" i="179"/>
  <c r="AE28" i="179"/>
  <c r="AD28" i="179"/>
  <c r="Z28" i="179"/>
  <c r="Y28" i="179"/>
  <c r="X28" i="179"/>
  <c r="W28" i="179"/>
  <c r="V28" i="179"/>
  <c r="U28" i="179"/>
  <c r="T28" i="179"/>
  <c r="S28" i="179"/>
  <c r="R28" i="179"/>
  <c r="Q28" i="179"/>
  <c r="J28" i="179"/>
  <c r="AK27" i="179"/>
  <c r="AJ27" i="179"/>
  <c r="AI27" i="179"/>
  <c r="AH27" i="179"/>
  <c r="AG27" i="179"/>
  <c r="AF27" i="179"/>
  <c r="AE27" i="179"/>
  <c r="AD27" i="179"/>
  <c r="Z27" i="179"/>
  <c r="Y27" i="179"/>
  <c r="X27" i="179"/>
  <c r="W27" i="179"/>
  <c r="V27" i="179"/>
  <c r="U27" i="179"/>
  <c r="T27" i="179"/>
  <c r="S27" i="179"/>
  <c r="R27" i="179"/>
  <c r="Q27" i="179"/>
  <c r="J27" i="179"/>
  <c r="AK26" i="179"/>
  <c r="AJ26" i="179"/>
  <c r="AI26" i="179"/>
  <c r="AH26" i="179"/>
  <c r="AG26" i="179"/>
  <c r="AF26" i="179"/>
  <c r="AE26" i="179"/>
  <c r="AD26" i="179"/>
  <c r="Z26" i="179"/>
  <c r="Y26" i="179"/>
  <c r="X26" i="179"/>
  <c r="W26" i="179"/>
  <c r="V26" i="179"/>
  <c r="U26" i="179"/>
  <c r="T26" i="179"/>
  <c r="S26" i="179"/>
  <c r="R26" i="179"/>
  <c r="Q26" i="179"/>
  <c r="J26" i="179"/>
  <c r="AK25" i="179"/>
  <c r="AJ25" i="179"/>
  <c r="AI25" i="179"/>
  <c r="AH25" i="179"/>
  <c r="AG25" i="179"/>
  <c r="AF25" i="179"/>
  <c r="AE25" i="179"/>
  <c r="AD25" i="179"/>
  <c r="Z25" i="179"/>
  <c r="Y25" i="179"/>
  <c r="X25" i="179"/>
  <c r="W25" i="179"/>
  <c r="V25" i="179"/>
  <c r="U25" i="179"/>
  <c r="T25" i="179"/>
  <c r="S25" i="179"/>
  <c r="R25" i="179"/>
  <c r="Q25" i="179"/>
  <c r="J25" i="179"/>
  <c r="AK24" i="179"/>
  <c r="AJ24" i="179"/>
  <c r="AI24" i="179"/>
  <c r="AH24" i="179"/>
  <c r="AG24" i="179"/>
  <c r="AF24" i="179"/>
  <c r="AE24" i="179"/>
  <c r="AD24" i="179"/>
  <c r="Z24" i="179"/>
  <c r="Y24" i="179"/>
  <c r="X24" i="179"/>
  <c r="W24" i="179"/>
  <c r="V24" i="179"/>
  <c r="U24" i="179"/>
  <c r="T24" i="179"/>
  <c r="S24" i="179"/>
  <c r="R24" i="179"/>
  <c r="Q24" i="179"/>
  <c r="J24" i="179"/>
  <c r="AK23" i="179"/>
  <c r="AJ23" i="179"/>
  <c r="AI23" i="179"/>
  <c r="AH23" i="179"/>
  <c r="AG23" i="179"/>
  <c r="AF23" i="179"/>
  <c r="AE23" i="179"/>
  <c r="AD23" i="179"/>
  <c r="Z23" i="179"/>
  <c r="Y23" i="179"/>
  <c r="X23" i="179"/>
  <c r="W23" i="179"/>
  <c r="V23" i="179"/>
  <c r="U23" i="179"/>
  <c r="T23" i="179"/>
  <c r="S23" i="179"/>
  <c r="R23" i="179"/>
  <c r="Q23" i="179"/>
  <c r="J23" i="179"/>
  <c r="AK22" i="179"/>
  <c r="AJ22" i="179"/>
  <c r="AI22" i="179"/>
  <c r="AH22" i="179"/>
  <c r="AG22" i="179"/>
  <c r="AF22" i="179"/>
  <c r="AE22" i="179"/>
  <c r="AD22" i="179"/>
  <c r="Z22" i="179"/>
  <c r="Y22" i="179"/>
  <c r="X22" i="179"/>
  <c r="W22" i="179"/>
  <c r="V22" i="179"/>
  <c r="U22" i="179"/>
  <c r="T22" i="179"/>
  <c r="S22" i="179"/>
  <c r="R22" i="179"/>
  <c r="Q22" i="179"/>
  <c r="J22" i="179"/>
  <c r="AK21" i="179"/>
  <c r="AJ21" i="179"/>
  <c r="AI21" i="179"/>
  <c r="AH21" i="179"/>
  <c r="AG21" i="179"/>
  <c r="AF21" i="179"/>
  <c r="AE21" i="179"/>
  <c r="AD21" i="179"/>
  <c r="Z21" i="179"/>
  <c r="Y21" i="179"/>
  <c r="X21" i="179"/>
  <c r="W21" i="179"/>
  <c r="V21" i="179"/>
  <c r="U21" i="179"/>
  <c r="T21" i="179"/>
  <c r="S21" i="179"/>
  <c r="R21" i="179"/>
  <c r="Q21" i="179"/>
  <c r="J21" i="179"/>
  <c r="AK19" i="179"/>
  <c r="AJ19" i="179"/>
  <c r="AI19" i="179"/>
  <c r="AH19" i="179"/>
  <c r="AG19" i="179"/>
  <c r="AF19" i="179"/>
  <c r="AE19" i="179"/>
  <c r="AD19" i="179"/>
  <c r="Z19" i="179"/>
  <c r="Y19" i="179"/>
  <c r="X19" i="179"/>
  <c r="W19" i="179"/>
  <c r="V19" i="179"/>
  <c r="U19" i="179"/>
  <c r="T19" i="179"/>
  <c r="S19" i="179"/>
  <c r="R19" i="179"/>
  <c r="Q19" i="179"/>
  <c r="J19" i="179"/>
  <c r="AK18" i="179"/>
  <c r="AJ18" i="179"/>
  <c r="AI18" i="179"/>
  <c r="AH18" i="179"/>
  <c r="AG18" i="179"/>
  <c r="AF18" i="179"/>
  <c r="AE18" i="179"/>
  <c r="AD18" i="179"/>
  <c r="Z18" i="179"/>
  <c r="Y18" i="179"/>
  <c r="X18" i="179"/>
  <c r="W18" i="179"/>
  <c r="V18" i="179"/>
  <c r="U18" i="179"/>
  <c r="T18" i="179"/>
  <c r="S18" i="179"/>
  <c r="R18" i="179"/>
  <c r="Q18" i="179"/>
  <c r="J18" i="179"/>
  <c r="AK17" i="179"/>
  <c r="AJ17" i="179"/>
  <c r="AI17" i="179"/>
  <c r="AH17" i="179"/>
  <c r="AG17" i="179"/>
  <c r="AF17" i="179"/>
  <c r="AE17" i="179"/>
  <c r="AD17" i="179"/>
  <c r="Z17" i="179"/>
  <c r="Y17" i="179"/>
  <c r="X17" i="179"/>
  <c r="W17" i="179"/>
  <c r="V17" i="179"/>
  <c r="U17" i="179"/>
  <c r="T17" i="179"/>
  <c r="S17" i="179"/>
  <c r="R17" i="179"/>
  <c r="Q17" i="179"/>
  <c r="J17" i="179"/>
  <c r="AK16" i="179"/>
  <c r="AJ16" i="179"/>
  <c r="AI16" i="179"/>
  <c r="AH16" i="179"/>
  <c r="AG16" i="179"/>
  <c r="AF16" i="179"/>
  <c r="AE16" i="179"/>
  <c r="AD16" i="179"/>
  <c r="Z16" i="179"/>
  <c r="Y16" i="179"/>
  <c r="X16" i="179"/>
  <c r="W16" i="179"/>
  <c r="V16" i="179"/>
  <c r="U16" i="179"/>
  <c r="T16" i="179"/>
  <c r="S16" i="179"/>
  <c r="R16" i="179"/>
  <c r="Q16" i="179"/>
  <c r="J16" i="179"/>
  <c r="AK15" i="179"/>
  <c r="AJ15" i="179"/>
  <c r="AI15" i="179"/>
  <c r="AH15" i="179"/>
  <c r="AG15" i="179"/>
  <c r="AF15" i="179"/>
  <c r="AE15" i="179"/>
  <c r="AD15" i="179"/>
  <c r="Z15" i="179"/>
  <c r="Y15" i="179"/>
  <c r="X15" i="179"/>
  <c r="W15" i="179"/>
  <c r="V15" i="179"/>
  <c r="U15" i="179"/>
  <c r="T15" i="179"/>
  <c r="S15" i="179"/>
  <c r="R15" i="179"/>
  <c r="Q15" i="179"/>
  <c r="J15" i="179"/>
  <c r="AK14" i="179"/>
  <c r="AJ14" i="179"/>
  <c r="AI14" i="179"/>
  <c r="AH14" i="179"/>
  <c r="AG14" i="179"/>
  <c r="AF14" i="179"/>
  <c r="AE14" i="179"/>
  <c r="AD14" i="179"/>
  <c r="Z14" i="179"/>
  <c r="Y14" i="179"/>
  <c r="X14" i="179"/>
  <c r="W14" i="179"/>
  <c r="V14" i="179"/>
  <c r="U14" i="179"/>
  <c r="T14" i="179"/>
  <c r="S14" i="179"/>
  <c r="R14" i="179"/>
  <c r="Q14" i="179"/>
  <c r="J14" i="179"/>
  <c r="AK13" i="179"/>
  <c r="AJ13" i="179"/>
  <c r="AI13" i="179"/>
  <c r="AH13" i="179"/>
  <c r="AG13" i="179"/>
  <c r="AF13" i="179"/>
  <c r="AE13" i="179"/>
  <c r="AD13" i="179"/>
  <c r="Z13" i="179"/>
  <c r="Y13" i="179"/>
  <c r="X13" i="179"/>
  <c r="W13" i="179"/>
  <c r="V13" i="179"/>
  <c r="U13" i="179"/>
  <c r="T13" i="179"/>
  <c r="S13" i="179"/>
  <c r="R13" i="179"/>
  <c r="Q13" i="179"/>
  <c r="J13" i="179"/>
  <c r="AK12" i="179"/>
  <c r="AJ12" i="179"/>
  <c r="AI12" i="179"/>
  <c r="AH12" i="179"/>
  <c r="AG12" i="179"/>
  <c r="AF12" i="179"/>
  <c r="AE12" i="179"/>
  <c r="AD12" i="179"/>
  <c r="Z12" i="179"/>
  <c r="Y12" i="179"/>
  <c r="X12" i="179"/>
  <c r="W12" i="179"/>
  <c r="V12" i="179"/>
  <c r="U12" i="179"/>
  <c r="T12" i="179"/>
  <c r="S12" i="179"/>
  <c r="R12" i="179"/>
  <c r="Q12" i="179"/>
  <c r="J12" i="179"/>
  <c r="AK11" i="179"/>
  <c r="AJ11" i="179"/>
  <c r="AI11" i="179"/>
  <c r="AH11" i="179"/>
  <c r="AG11" i="179"/>
  <c r="AF11" i="179"/>
  <c r="AE11" i="179"/>
  <c r="AD11" i="179"/>
  <c r="Z11" i="179"/>
  <c r="Y11" i="179"/>
  <c r="X11" i="179"/>
  <c r="W11" i="179"/>
  <c r="V11" i="179"/>
  <c r="U11" i="179"/>
  <c r="T11" i="179"/>
  <c r="S11" i="179"/>
  <c r="R11" i="179"/>
  <c r="Q11" i="179"/>
  <c r="J11" i="179"/>
  <c r="AK10" i="179"/>
  <c r="AJ10" i="179"/>
  <c r="AI10" i="179"/>
  <c r="AH10" i="179"/>
  <c r="AG10" i="179"/>
  <c r="AF10" i="179"/>
  <c r="AE10" i="179"/>
  <c r="AD10" i="179"/>
  <c r="Z10" i="179"/>
  <c r="Y10" i="179"/>
  <c r="X10" i="179"/>
  <c r="W10" i="179"/>
  <c r="V10" i="179"/>
  <c r="U10" i="179"/>
  <c r="T10" i="179"/>
  <c r="S10" i="179"/>
  <c r="R10" i="179"/>
  <c r="Q10" i="179"/>
  <c r="J10" i="179"/>
  <c r="AK9" i="179"/>
  <c r="AJ9" i="179"/>
  <c r="AI9" i="179"/>
  <c r="AH9" i="179"/>
  <c r="AG9" i="179"/>
  <c r="AF9" i="179"/>
  <c r="AE9" i="179"/>
  <c r="AD9" i="179"/>
  <c r="Z9" i="179"/>
  <c r="Y9" i="179"/>
  <c r="X9" i="179"/>
  <c r="W9" i="179"/>
  <c r="V9" i="179"/>
  <c r="U9" i="179"/>
  <c r="T9" i="179"/>
  <c r="S9" i="179"/>
  <c r="R9" i="179"/>
  <c r="Q9" i="179"/>
  <c r="J9" i="179"/>
  <c r="AK8" i="179"/>
  <c r="AJ8" i="179"/>
  <c r="AI8" i="179"/>
  <c r="AH8" i="179"/>
  <c r="AG8" i="179"/>
  <c r="AF8" i="179"/>
  <c r="AE8" i="179"/>
  <c r="AD8" i="179"/>
  <c r="Z8" i="179"/>
  <c r="Y8" i="179"/>
  <c r="X8" i="179"/>
  <c r="W8" i="179"/>
  <c r="V8" i="179"/>
  <c r="U8" i="179"/>
  <c r="T8" i="179"/>
  <c r="S8" i="179"/>
  <c r="R8" i="179"/>
  <c r="Q8" i="179"/>
  <c r="J8" i="179"/>
  <c r="AK7" i="179"/>
  <c r="AJ7" i="179"/>
  <c r="AI7" i="179"/>
  <c r="AH7" i="179"/>
  <c r="AG7" i="179"/>
  <c r="AF7" i="179"/>
  <c r="AE7" i="179"/>
  <c r="AD7" i="179"/>
  <c r="Z7" i="179"/>
  <c r="Y7" i="179"/>
  <c r="X7" i="179"/>
  <c r="W7" i="179"/>
  <c r="V7" i="179"/>
  <c r="U7" i="179"/>
  <c r="T7" i="179"/>
  <c r="S7" i="179"/>
  <c r="R7" i="179"/>
  <c r="Q7" i="179"/>
  <c r="J7" i="179"/>
  <c r="AL6" i="179"/>
  <c r="AL44" i="179" s="1"/>
  <c r="AK6" i="179"/>
  <c r="AJ6" i="179"/>
  <c r="AI6" i="179"/>
  <c r="AG6" i="179"/>
  <c r="AF6" i="179"/>
  <c r="AE6" i="179"/>
  <c r="AD6" i="179"/>
  <c r="Z6" i="179"/>
  <c r="Y6" i="179"/>
  <c r="X6" i="179"/>
  <c r="W6" i="179"/>
  <c r="V6" i="179"/>
  <c r="U6" i="179"/>
  <c r="T6" i="179"/>
  <c r="S6" i="179"/>
  <c r="R6" i="179"/>
  <c r="Q6" i="179"/>
  <c r="K6" i="179"/>
  <c r="N6" i="179" s="1"/>
  <c r="J6" i="179"/>
  <c r="AK42" i="178"/>
  <c r="AJ42" i="178"/>
  <c r="AI42" i="178"/>
  <c r="AH42" i="178"/>
  <c r="AG42" i="178"/>
  <c r="AF42" i="178"/>
  <c r="AE42" i="178"/>
  <c r="AD42" i="178"/>
  <c r="Z42" i="178"/>
  <c r="Y42" i="178"/>
  <c r="X42" i="178"/>
  <c r="W42" i="178"/>
  <c r="V42" i="178"/>
  <c r="U42" i="178"/>
  <c r="T42" i="178"/>
  <c r="S42" i="178"/>
  <c r="R42" i="178"/>
  <c r="Q42" i="178"/>
  <c r="J42" i="178"/>
  <c r="AK41" i="178"/>
  <c r="AJ41" i="178"/>
  <c r="AI41" i="178"/>
  <c r="AH41" i="178"/>
  <c r="AG41" i="178"/>
  <c r="AF41" i="178"/>
  <c r="AE41" i="178"/>
  <c r="AD41" i="178"/>
  <c r="Z41" i="178"/>
  <c r="Y41" i="178"/>
  <c r="X41" i="178"/>
  <c r="W41" i="178"/>
  <c r="V41" i="178"/>
  <c r="U41" i="178"/>
  <c r="T41" i="178"/>
  <c r="S41" i="178"/>
  <c r="R41" i="178"/>
  <c r="Q41" i="178"/>
  <c r="J41" i="178"/>
  <c r="AK40" i="178"/>
  <c r="AJ40" i="178"/>
  <c r="AI40" i="178"/>
  <c r="AH40" i="178"/>
  <c r="AG40" i="178"/>
  <c r="AF40" i="178"/>
  <c r="AE40" i="178"/>
  <c r="AD40" i="178"/>
  <c r="Z40" i="178"/>
  <c r="Y40" i="178"/>
  <c r="X40" i="178"/>
  <c r="W40" i="178"/>
  <c r="V40" i="178"/>
  <c r="U40" i="178"/>
  <c r="T40" i="178"/>
  <c r="S40" i="178"/>
  <c r="R40" i="178"/>
  <c r="Q40" i="178"/>
  <c r="J40" i="178"/>
  <c r="AK39" i="178"/>
  <c r="AJ39" i="178"/>
  <c r="AI39" i="178"/>
  <c r="AH39" i="178"/>
  <c r="AG39" i="178"/>
  <c r="AF39" i="178"/>
  <c r="AE39" i="178"/>
  <c r="AD39" i="178"/>
  <c r="Z39" i="178"/>
  <c r="Y39" i="178"/>
  <c r="X39" i="178"/>
  <c r="W39" i="178"/>
  <c r="V39" i="178"/>
  <c r="U39" i="178"/>
  <c r="T39" i="178"/>
  <c r="S39" i="178"/>
  <c r="R39" i="178"/>
  <c r="Q39" i="178"/>
  <c r="J39" i="178"/>
  <c r="AK38" i="178"/>
  <c r="AJ38" i="178"/>
  <c r="AI38" i="178"/>
  <c r="AH38" i="178"/>
  <c r="AG38" i="178"/>
  <c r="AF38" i="178"/>
  <c r="AE38" i="178"/>
  <c r="AD38" i="178"/>
  <c r="Z38" i="178"/>
  <c r="Y38" i="178"/>
  <c r="X38" i="178"/>
  <c r="W38" i="178"/>
  <c r="V38" i="178"/>
  <c r="U38" i="178"/>
  <c r="T38" i="178"/>
  <c r="S38" i="178"/>
  <c r="R38" i="178"/>
  <c r="Q38" i="178"/>
  <c r="J38" i="178"/>
  <c r="AK37" i="178"/>
  <c r="AJ37" i="178"/>
  <c r="AI37" i="178"/>
  <c r="AH37" i="178"/>
  <c r="AG37" i="178"/>
  <c r="AF37" i="178"/>
  <c r="AE37" i="178"/>
  <c r="AD37" i="178"/>
  <c r="Z37" i="178"/>
  <c r="Y37" i="178"/>
  <c r="X37" i="178"/>
  <c r="W37" i="178"/>
  <c r="V37" i="178"/>
  <c r="U37" i="178"/>
  <c r="T37" i="178"/>
  <c r="S37" i="178"/>
  <c r="R37" i="178"/>
  <c r="Q37" i="178"/>
  <c r="J37" i="178"/>
  <c r="AK36" i="178"/>
  <c r="AJ36" i="178"/>
  <c r="AI36" i="178"/>
  <c r="AH36" i="178"/>
  <c r="AG36" i="178"/>
  <c r="AF36" i="178"/>
  <c r="AE36" i="178"/>
  <c r="AD36" i="178"/>
  <c r="Z36" i="178"/>
  <c r="Y36" i="178"/>
  <c r="X36" i="178"/>
  <c r="W36" i="178"/>
  <c r="V36" i="178"/>
  <c r="U36" i="178"/>
  <c r="T36" i="178"/>
  <c r="S36" i="178"/>
  <c r="R36" i="178"/>
  <c r="Q36" i="178"/>
  <c r="J36" i="178"/>
  <c r="AK35" i="178"/>
  <c r="AJ35" i="178"/>
  <c r="AI35" i="178"/>
  <c r="AH35" i="178"/>
  <c r="AG35" i="178"/>
  <c r="AF35" i="178"/>
  <c r="AE35" i="178"/>
  <c r="AD35" i="178"/>
  <c r="Z35" i="178"/>
  <c r="Y35" i="178"/>
  <c r="X35" i="178"/>
  <c r="W35" i="178"/>
  <c r="V35" i="178"/>
  <c r="U35" i="178"/>
  <c r="T35" i="178"/>
  <c r="S35" i="178"/>
  <c r="R35" i="178"/>
  <c r="Q35" i="178"/>
  <c r="J35" i="178"/>
  <c r="AK34" i="178"/>
  <c r="AJ34" i="178"/>
  <c r="AI34" i="178"/>
  <c r="AH34" i="178"/>
  <c r="AG34" i="178"/>
  <c r="AF34" i="178"/>
  <c r="AE34" i="178"/>
  <c r="AD34" i="178"/>
  <c r="Z34" i="178"/>
  <c r="Y34" i="178"/>
  <c r="X34" i="178"/>
  <c r="W34" i="178"/>
  <c r="V34" i="178"/>
  <c r="U34" i="178"/>
  <c r="T34" i="178"/>
  <c r="S34" i="178"/>
  <c r="R34" i="178"/>
  <c r="Q34" i="178"/>
  <c r="J34" i="178"/>
  <c r="AK33" i="178"/>
  <c r="AJ33" i="178"/>
  <c r="AI33" i="178"/>
  <c r="AH33" i="178"/>
  <c r="AG33" i="178"/>
  <c r="AF33" i="178"/>
  <c r="AE33" i="178"/>
  <c r="AD33" i="178"/>
  <c r="Z33" i="178"/>
  <c r="Y33" i="178"/>
  <c r="X33" i="178"/>
  <c r="W33" i="178"/>
  <c r="V33" i="178"/>
  <c r="U33" i="178"/>
  <c r="T33" i="178"/>
  <c r="S33" i="178"/>
  <c r="R33" i="178"/>
  <c r="Q33" i="178"/>
  <c r="J33" i="178"/>
  <c r="AK32" i="178"/>
  <c r="AJ32" i="178"/>
  <c r="AI32" i="178"/>
  <c r="AH32" i="178"/>
  <c r="AG32" i="178"/>
  <c r="AF32" i="178"/>
  <c r="AE32" i="178"/>
  <c r="AD32" i="178"/>
  <c r="Z32" i="178"/>
  <c r="Y32" i="178"/>
  <c r="X32" i="178"/>
  <c r="W32" i="178"/>
  <c r="V32" i="178"/>
  <c r="U32" i="178"/>
  <c r="T32" i="178"/>
  <c r="S32" i="178"/>
  <c r="R32" i="178"/>
  <c r="Q32" i="178"/>
  <c r="J32" i="178"/>
  <c r="AK31" i="178"/>
  <c r="AJ31" i="178"/>
  <c r="AI31" i="178"/>
  <c r="AH31" i="178"/>
  <c r="AG31" i="178"/>
  <c r="AF31" i="178"/>
  <c r="AE31" i="178"/>
  <c r="AD31" i="178"/>
  <c r="Z31" i="178"/>
  <c r="Y31" i="178"/>
  <c r="X31" i="178"/>
  <c r="W31" i="178"/>
  <c r="V31" i="178"/>
  <c r="U31" i="178"/>
  <c r="T31" i="178"/>
  <c r="S31" i="178"/>
  <c r="R31" i="178"/>
  <c r="Q31" i="178"/>
  <c r="J31" i="178"/>
  <c r="AK30" i="178"/>
  <c r="AJ30" i="178"/>
  <c r="AI30" i="178"/>
  <c r="AH30" i="178"/>
  <c r="AG30" i="178"/>
  <c r="AF30" i="178"/>
  <c r="AE30" i="178"/>
  <c r="AD30" i="178"/>
  <c r="Z30" i="178"/>
  <c r="Y30" i="178"/>
  <c r="X30" i="178"/>
  <c r="W30" i="178"/>
  <c r="V30" i="178"/>
  <c r="U30" i="178"/>
  <c r="T30" i="178"/>
  <c r="S30" i="178"/>
  <c r="R30" i="178"/>
  <c r="Q30" i="178"/>
  <c r="J30" i="178"/>
  <c r="AK29" i="178"/>
  <c r="AJ29" i="178"/>
  <c r="AI29" i="178"/>
  <c r="AH29" i="178"/>
  <c r="AG29" i="178"/>
  <c r="AF29" i="178"/>
  <c r="AE29" i="178"/>
  <c r="AD29" i="178"/>
  <c r="Z29" i="178"/>
  <c r="Y29" i="178"/>
  <c r="X29" i="178"/>
  <c r="W29" i="178"/>
  <c r="V29" i="178"/>
  <c r="U29" i="178"/>
  <c r="T29" i="178"/>
  <c r="S29" i="178"/>
  <c r="R29" i="178"/>
  <c r="Q29" i="178"/>
  <c r="J29" i="178"/>
  <c r="AK28" i="178"/>
  <c r="AJ28" i="178"/>
  <c r="AI28" i="178"/>
  <c r="AH28" i="178"/>
  <c r="AG28" i="178"/>
  <c r="AF28" i="178"/>
  <c r="AE28" i="178"/>
  <c r="AD28" i="178"/>
  <c r="Z28" i="178"/>
  <c r="Y28" i="178"/>
  <c r="X28" i="178"/>
  <c r="W28" i="178"/>
  <c r="V28" i="178"/>
  <c r="U28" i="178"/>
  <c r="T28" i="178"/>
  <c r="S28" i="178"/>
  <c r="R28" i="178"/>
  <c r="Q28" i="178"/>
  <c r="J28" i="178"/>
  <c r="AK27" i="178"/>
  <c r="AJ27" i="178"/>
  <c r="AI27" i="178"/>
  <c r="AH27" i="178"/>
  <c r="AG27" i="178"/>
  <c r="AF27" i="178"/>
  <c r="AE27" i="178"/>
  <c r="AD27" i="178"/>
  <c r="Z27" i="178"/>
  <c r="Y27" i="178"/>
  <c r="X27" i="178"/>
  <c r="W27" i="178"/>
  <c r="V27" i="178"/>
  <c r="U27" i="178"/>
  <c r="T27" i="178"/>
  <c r="S27" i="178"/>
  <c r="R27" i="178"/>
  <c r="Q27" i="178"/>
  <c r="J27" i="178"/>
  <c r="AK26" i="178"/>
  <c r="AJ26" i="178"/>
  <c r="AI26" i="178"/>
  <c r="AH26" i="178"/>
  <c r="AG26" i="178"/>
  <c r="AF26" i="178"/>
  <c r="AE26" i="178"/>
  <c r="AD26" i="178"/>
  <c r="Z26" i="178"/>
  <c r="Y26" i="178"/>
  <c r="X26" i="178"/>
  <c r="W26" i="178"/>
  <c r="V26" i="178"/>
  <c r="U26" i="178"/>
  <c r="T26" i="178"/>
  <c r="S26" i="178"/>
  <c r="R26" i="178"/>
  <c r="Q26" i="178"/>
  <c r="J26" i="178"/>
  <c r="AK25" i="178"/>
  <c r="AJ25" i="178"/>
  <c r="AI25" i="178"/>
  <c r="AH25" i="178"/>
  <c r="AG25" i="178"/>
  <c r="AF25" i="178"/>
  <c r="AE25" i="178"/>
  <c r="AD25" i="178"/>
  <c r="Z25" i="178"/>
  <c r="Y25" i="178"/>
  <c r="X25" i="178"/>
  <c r="W25" i="178"/>
  <c r="V25" i="178"/>
  <c r="U25" i="178"/>
  <c r="T25" i="178"/>
  <c r="S25" i="178"/>
  <c r="R25" i="178"/>
  <c r="Q25" i="178"/>
  <c r="J25" i="178"/>
  <c r="AK24" i="178"/>
  <c r="AJ24" i="178"/>
  <c r="AI24" i="178"/>
  <c r="AH24" i="178"/>
  <c r="AG24" i="178"/>
  <c r="AF24" i="178"/>
  <c r="AE24" i="178"/>
  <c r="AD24" i="178"/>
  <c r="Z24" i="178"/>
  <c r="Y24" i="178"/>
  <c r="X24" i="178"/>
  <c r="W24" i="178"/>
  <c r="V24" i="178"/>
  <c r="U24" i="178"/>
  <c r="T24" i="178"/>
  <c r="S24" i="178"/>
  <c r="R24" i="178"/>
  <c r="Q24" i="178"/>
  <c r="J24" i="178"/>
  <c r="AK23" i="178"/>
  <c r="AJ23" i="178"/>
  <c r="AI23" i="178"/>
  <c r="AH23" i="178"/>
  <c r="AG23" i="178"/>
  <c r="AF23" i="178"/>
  <c r="AE23" i="178"/>
  <c r="AD23" i="178"/>
  <c r="Z23" i="178"/>
  <c r="Y23" i="178"/>
  <c r="X23" i="178"/>
  <c r="W23" i="178"/>
  <c r="V23" i="178"/>
  <c r="U23" i="178"/>
  <c r="T23" i="178"/>
  <c r="S23" i="178"/>
  <c r="R23" i="178"/>
  <c r="Q23" i="178"/>
  <c r="J23" i="178"/>
  <c r="AK22" i="178"/>
  <c r="AJ22" i="178"/>
  <c r="AI22" i="178"/>
  <c r="AH22" i="178"/>
  <c r="AG22" i="178"/>
  <c r="AF22" i="178"/>
  <c r="AE22" i="178"/>
  <c r="AD22" i="178"/>
  <c r="Z22" i="178"/>
  <c r="Y22" i="178"/>
  <c r="X22" i="178"/>
  <c r="W22" i="178"/>
  <c r="V22" i="178"/>
  <c r="U22" i="178"/>
  <c r="T22" i="178"/>
  <c r="S22" i="178"/>
  <c r="R22" i="178"/>
  <c r="Q22" i="178"/>
  <c r="J22" i="178"/>
  <c r="AK21" i="178"/>
  <c r="AJ21" i="178"/>
  <c r="AI21" i="178"/>
  <c r="AH21" i="178"/>
  <c r="AG21" i="178"/>
  <c r="AF21" i="178"/>
  <c r="AE21" i="178"/>
  <c r="AD21" i="178"/>
  <c r="Z21" i="178"/>
  <c r="Y21" i="178"/>
  <c r="X21" i="178"/>
  <c r="W21" i="178"/>
  <c r="V21" i="178"/>
  <c r="U21" i="178"/>
  <c r="T21" i="178"/>
  <c r="S21" i="178"/>
  <c r="R21" i="178"/>
  <c r="Q21" i="178"/>
  <c r="J21" i="178"/>
  <c r="AK19" i="178"/>
  <c r="AJ19" i="178"/>
  <c r="AI19" i="178"/>
  <c r="AH19" i="178"/>
  <c r="AG19" i="178"/>
  <c r="AF19" i="178"/>
  <c r="AE19" i="178"/>
  <c r="AD19" i="178"/>
  <c r="Z19" i="178"/>
  <c r="Y19" i="178"/>
  <c r="X19" i="178"/>
  <c r="W19" i="178"/>
  <c r="V19" i="178"/>
  <c r="U19" i="178"/>
  <c r="T19" i="178"/>
  <c r="S19" i="178"/>
  <c r="R19" i="178"/>
  <c r="Q19" i="178"/>
  <c r="J19" i="178"/>
  <c r="AK18" i="178"/>
  <c r="AJ18" i="178"/>
  <c r="AI18" i="178"/>
  <c r="AH18" i="178"/>
  <c r="AG18" i="178"/>
  <c r="AF18" i="178"/>
  <c r="AE18" i="178"/>
  <c r="AD18" i="178"/>
  <c r="Z18" i="178"/>
  <c r="Y18" i="178"/>
  <c r="X18" i="178"/>
  <c r="W18" i="178"/>
  <c r="V18" i="178"/>
  <c r="U18" i="178"/>
  <c r="T18" i="178"/>
  <c r="S18" i="178"/>
  <c r="R18" i="178"/>
  <c r="Q18" i="178"/>
  <c r="J18" i="178"/>
  <c r="AK17" i="178"/>
  <c r="AJ17" i="178"/>
  <c r="AI17" i="178"/>
  <c r="AH17" i="178"/>
  <c r="AG17" i="178"/>
  <c r="AF17" i="178"/>
  <c r="AE17" i="178"/>
  <c r="AD17" i="178"/>
  <c r="Z17" i="178"/>
  <c r="Y17" i="178"/>
  <c r="X17" i="178"/>
  <c r="W17" i="178"/>
  <c r="V17" i="178"/>
  <c r="U17" i="178"/>
  <c r="T17" i="178"/>
  <c r="S17" i="178"/>
  <c r="R17" i="178"/>
  <c r="Q17" i="178"/>
  <c r="J17" i="178"/>
  <c r="AK16" i="178"/>
  <c r="AJ16" i="178"/>
  <c r="AI16" i="178"/>
  <c r="AH16" i="178"/>
  <c r="AG16" i="178"/>
  <c r="AF16" i="178"/>
  <c r="AE16" i="178"/>
  <c r="AD16" i="178"/>
  <c r="Z16" i="178"/>
  <c r="Y16" i="178"/>
  <c r="X16" i="178"/>
  <c r="W16" i="178"/>
  <c r="V16" i="178"/>
  <c r="U16" i="178"/>
  <c r="T16" i="178"/>
  <c r="S16" i="178"/>
  <c r="R16" i="178"/>
  <c r="Q16" i="178"/>
  <c r="J16" i="178"/>
  <c r="AK15" i="178"/>
  <c r="AJ15" i="178"/>
  <c r="AI15" i="178"/>
  <c r="AH15" i="178"/>
  <c r="AG15" i="178"/>
  <c r="AF15" i="178"/>
  <c r="AE15" i="178"/>
  <c r="AD15" i="178"/>
  <c r="Z15" i="178"/>
  <c r="Y15" i="178"/>
  <c r="X15" i="178"/>
  <c r="W15" i="178"/>
  <c r="V15" i="178"/>
  <c r="U15" i="178"/>
  <c r="T15" i="178"/>
  <c r="S15" i="178"/>
  <c r="R15" i="178"/>
  <c r="Q15" i="178"/>
  <c r="J15" i="178"/>
  <c r="AK14" i="178"/>
  <c r="AJ14" i="178"/>
  <c r="AI14" i="178"/>
  <c r="AH14" i="178"/>
  <c r="AG14" i="178"/>
  <c r="AF14" i="178"/>
  <c r="AE14" i="178"/>
  <c r="AD14" i="178"/>
  <c r="Z14" i="178"/>
  <c r="Y14" i="178"/>
  <c r="X14" i="178"/>
  <c r="W14" i="178"/>
  <c r="V14" i="178"/>
  <c r="U14" i="178"/>
  <c r="T14" i="178"/>
  <c r="S14" i="178"/>
  <c r="R14" i="178"/>
  <c r="Q14" i="178"/>
  <c r="J14" i="178"/>
  <c r="AK13" i="178"/>
  <c r="AJ13" i="178"/>
  <c r="AI13" i="178"/>
  <c r="AH13" i="178"/>
  <c r="AG13" i="178"/>
  <c r="AF13" i="178"/>
  <c r="AE13" i="178"/>
  <c r="AD13" i="178"/>
  <c r="Z13" i="178"/>
  <c r="Y13" i="178"/>
  <c r="X13" i="178"/>
  <c r="W13" i="178"/>
  <c r="V13" i="178"/>
  <c r="U13" i="178"/>
  <c r="T13" i="178"/>
  <c r="S13" i="178"/>
  <c r="R13" i="178"/>
  <c r="Q13" i="178"/>
  <c r="J13" i="178"/>
  <c r="AK12" i="178"/>
  <c r="AJ12" i="178"/>
  <c r="AI12" i="178"/>
  <c r="AH12" i="178"/>
  <c r="AG12" i="178"/>
  <c r="AF12" i="178"/>
  <c r="AE12" i="178"/>
  <c r="AD12" i="178"/>
  <c r="Z12" i="178"/>
  <c r="Y12" i="178"/>
  <c r="X12" i="178"/>
  <c r="W12" i="178"/>
  <c r="V12" i="178"/>
  <c r="U12" i="178"/>
  <c r="T12" i="178"/>
  <c r="S12" i="178"/>
  <c r="R12" i="178"/>
  <c r="Q12" i="178"/>
  <c r="J12" i="178"/>
  <c r="AK11" i="178"/>
  <c r="AJ11" i="178"/>
  <c r="AI11" i="178"/>
  <c r="AH11" i="178"/>
  <c r="AG11" i="178"/>
  <c r="AF11" i="178"/>
  <c r="AE11" i="178"/>
  <c r="AD11" i="178"/>
  <c r="Z11" i="178"/>
  <c r="Y11" i="178"/>
  <c r="X11" i="178"/>
  <c r="W11" i="178"/>
  <c r="V11" i="178"/>
  <c r="U11" i="178"/>
  <c r="T11" i="178"/>
  <c r="S11" i="178"/>
  <c r="R11" i="178"/>
  <c r="Q11" i="178"/>
  <c r="J11" i="178"/>
  <c r="AK10" i="178"/>
  <c r="AJ10" i="178"/>
  <c r="AI10" i="178"/>
  <c r="AH10" i="178"/>
  <c r="AG10" i="178"/>
  <c r="AF10" i="178"/>
  <c r="AE10" i="178"/>
  <c r="AD10" i="178"/>
  <c r="Z10" i="178"/>
  <c r="Y10" i="178"/>
  <c r="X10" i="178"/>
  <c r="W10" i="178"/>
  <c r="V10" i="178"/>
  <c r="U10" i="178"/>
  <c r="T10" i="178"/>
  <c r="S10" i="178"/>
  <c r="R10" i="178"/>
  <c r="Q10" i="178"/>
  <c r="J10" i="178"/>
  <c r="AK9" i="178"/>
  <c r="AJ9" i="178"/>
  <c r="AI9" i="178"/>
  <c r="AH9" i="178"/>
  <c r="AG9" i="178"/>
  <c r="AF9" i="178"/>
  <c r="AE9" i="178"/>
  <c r="AD9" i="178"/>
  <c r="Z9" i="178"/>
  <c r="Y9" i="178"/>
  <c r="X9" i="178"/>
  <c r="W9" i="178"/>
  <c r="V9" i="178"/>
  <c r="U9" i="178"/>
  <c r="T9" i="178"/>
  <c r="S9" i="178"/>
  <c r="R9" i="178"/>
  <c r="Q9" i="178"/>
  <c r="J9" i="178"/>
  <c r="AK8" i="178"/>
  <c r="AJ8" i="178"/>
  <c r="AI8" i="178"/>
  <c r="AH8" i="178"/>
  <c r="AG8" i="178"/>
  <c r="AF8" i="178"/>
  <c r="AE8" i="178"/>
  <c r="AD8" i="178"/>
  <c r="Z8" i="178"/>
  <c r="Y8" i="178"/>
  <c r="X8" i="178"/>
  <c r="W8" i="178"/>
  <c r="V8" i="178"/>
  <c r="U8" i="178"/>
  <c r="T8" i="178"/>
  <c r="S8" i="178"/>
  <c r="R8" i="178"/>
  <c r="Q8" i="178"/>
  <c r="J8" i="178"/>
  <c r="AK7" i="178"/>
  <c r="AJ7" i="178"/>
  <c r="AI7" i="178"/>
  <c r="AH7" i="178"/>
  <c r="AG7" i="178"/>
  <c r="AF7" i="178"/>
  <c r="AE7" i="178"/>
  <c r="AD7" i="178"/>
  <c r="Z7" i="178"/>
  <c r="Y7" i="178"/>
  <c r="X7" i="178"/>
  <c r="W7" i="178"/>
  <c r="V7" i="178"/>
  <c r="U7" i="178"/>
  <c r="T7" i="178"/>
  <c r="S7" i="178"/>
  <c r="R7" i="178"/>
  <c r="Q7" i="178"/>
  <c r="J7" i="178"/>
  <c r="AL6" i="178"/>
  <c r="AL44" i="178" s="1"/>
  <c r="AK6" i="178"/>
  <c r="AJ6" i="178"/>
  <c r="AI6" i="178"/>
  <c r="AH6" i="178"/>
  <c r="AG6" i="178"/>
  <c r="AF6" i="178"/>
  <c r="AE6" i="178"/>
  <c r="AD6" i="178"/>
  <c r="Z6" i="178"/>
  <c r="Y6" i="178"/>
  <c r="X6" i="178"/>
  <c r="W6" i="178"/>
  <c r="V6" i="178"/>
  <c r="U6" i="178"/>
  <c r="T6" i="178"/>
  <c r="S6" i="178"/>
  <c r="R6" i="178"/>
  <c r="Q6" i="178"/>
  <c r="K6" i="178"/>
  <c r="N6" i="178" s="1"/>
  <c r="J6" i="178"/>
  <c r="AK42" i="177"/>
  <c r="AJ42" i="177"/>
  <c r="AI42" i="177"/>
  <c r="AH42" i="177"/>
  <c r="AG42" i="177"/>
  <c r="AF42" i="177"/>
  <c r="AE42" i="177"/>
  <c r="AD42" i="177"/>
  <c r="Z42" i="177"/>
  <c r="Y42" i="177"/>
  <c r="X42" i="177"/>
  <c r="W42" i="177"/>
  <c r="V42" i="177"/>
  <c r="U42" i="177"/>
  <c r="T42" i="177"/>
  <c r="S42" i="177"/>
  <c r="R42" i="177"/>
  <c r="Q42" i="177"/>
  <c r="J42" i="177"/>
  <c r="AK41" i="177"/>
  <c r="AJ41" i="177"/>
  <c r="AI41" i="177"/>
  <c r="AH41" i="177"/>
  <c r="AG41" i="177"/>
  <c r="AF41" i="177"/>
  <c r="AE41" i="177"/>
  <c r="AD41" i="177"/>
  <c r="Z41" i="177"/>
  <c r="Y41" i="177"/>
  <c r="X41" i="177"/>
  <c r="W41" i="177"/>
  <c r="V41" i="177"/>
  <c r="U41" i="177"/>
  <c r="T41" i="177"/>
  <c r="S41" i="177"/>
  <c r="R41" i="177"/>
  <c r="Q41" i="177"/>
  <c r="J41" i="177"/>
  <c r="AK40" i="177"/>
  <c r="AJ40" i="177"/>
  <c r="AI40" i="177"/>
  <c r="AH40" i="177"/>
  <c r="AG40" i="177"/>
  <c r="AF40" i="177"/>
  <c r="AE40" i="177"/>
  <c r="AD40" i="177"/>
  <c r="Z40" i="177"/>
  <c r="Y40" i="177"/>
  <c r="X40" i="177"/>
  <c r="W40" i="177"/>
  <c r="V40" i="177"/>
  <c r="U40" i="177"/>
  <c r="T40" i="177"/>
  <c r="S40" i="177"/>
  <c r="R40" i="177"/>
  <c r="Q40" i="177"/>
  <c r="J40" i="177"/>
  <c r="AK39" i="177"/>
  <c r="AJ39" i="177"/>
  <c r="AI39" i="177"/>
  <c r="AH39" i="177"/>
  <c r="AG39" i="177"/>
  <c r="AF39" i="177"/>
  <c r="AE39" i="177"/>
  <c r="AD39" i="177"/>
  <c r="Z39" i="177"/>
  <c r="Y39" i="177"/>
  <c r="X39" i="177"/>
  <c r="W39" i="177"/>
  <c r="V39" i="177"/>
  <c r="U39" i="177"/>
  <c r="T39" i="177"/>
  <c r="S39" i="177"/>
  <c r="R39" i="177"/>
  <c r="Q39" i="177"/>
  <c r="J39" i="177"/>
  <c r="AK38" i="177"/>
  <c r="AJ38" i="177"/>
  <c r="AI38" i="177"/>
  <c r="AH38" i="177"/>
  <c r="AG38" i="177"/>
  <c r="AF38" i="177"/>
  <c r="AE38" i="177"/>
  <c r="AD38" i="177"/>
  <c r="Z38" i="177"/>
  <c r="Y38" i="177"/>
  <c r="X38" i="177"/>
  <c r="W38" i="177"/>
  <c r="V38" i="177"/>
  <c r="U38" i="177"/>
  <c r="T38" i="177"/>
  <c r="S38" i="177"/>
  <c r="R38" i="177"/>
  <c r="Q38" i="177"/>
  <c r="J38" i="177"/>
  <c r="AK37" i="177"/>
  <c r="AJ37" i="177"/>
  <c r="AI37" i="177"/>
  <c r="AH37" i="177"/>
  <c r="AG37" i="177"/>
  <c r="AF37" i="177"/>
  <c r="AE37" i="177"/>
  <c r="AD37" i="177"/>
  <c r="Z37" i="177"/>
  <c r="Y37" i="177"/>
  <c r="X37" i="177"/>
  <c r="W37" i="177"/>
  <c r="V37" i="177"/>
  <c r="U37" i="177"/>
  <c r="T37" i="177"/>
  <c r="S37" i="177"/>
  <c r="R37" i="177"/>
  <c r="Q37" i="177"/>
  <c r="J37" i="177"/>
  <c r="AK36" i="177"/>
  <c r="AJ36" i="177"/>
  <c r="AI36" i="177"/>
  <c r="AH36" i="177"/>
  <c r="AG36" i="177"/>
  <c r="AF36" i="177"/>
  <c r="AE36" i="177"/>
  <c r="AD36" i="177"/>
  <c r="Z36" i="177"/>
  <c r="Y36" i="177"/>
  <c r="X36" i="177"/>
  <c r="W36" i="177"/>
  <c r="V36" i="177"/>
  <c r="U36" i="177"/>
  <c r="T36" i="177"/>
  <c r="S36" i="177"/>
  <c r="R36" i="177"/>
  <c r="Q36" i="177"/>
  <c r="J36" i="177"/>
  <c r="AK35" i="177"/>
  <c r="AJ35" i="177"/>
  <c r="AI35" i="177"/>
  <c r="AH35" i="177"/>
  <c r="AG35" i="177"/>
  <c r="AF35" i="177"/>
  <c r="AE35" i="177"/>
  <c r="AD35" i="177"/>
  <c r="Z35" i="177"/>
  <c r="Y35" i="177"/>
  <c r="X35" i="177"/>
  <c r="W35" i="177"/>
  <c r="V35" i="177"/>
  <c r="U35" i="177"/>
  <c r="T35" i="177"/>
  <c r="S35" i="177"/>
  <c r="R35" i="177"/>
  <c r="Q35" i="177"/>
  <c r="J35" i="177"/>
  <c r="AK34" i="177"/>
  <c r="AJ34" i="177"/>
  <c r="AI34" i="177"/>
  <c r="AH34" i="177"/>
  <c r="AG34" i="177"/>
  <c r="AF34" i="177"/>
  <c r="AE34" i="177"/>
  <c r="AD34" i="177"/>
  <c r="Z34" i="177"/>
  <c r="Y34" i="177"/>
  <c r="X34" i="177"/>
  <c r="W34" i="177"/>
  <c r="V34" i="177"/>
  <c r="U34" i="177"/>
  <c r="T34" i="177"/>
  <c r="S34" i="177"/>
  <c r="R34" i="177"/>
  <c r="Q34" i="177"/>
  <c r="J34" i="177"/>
  <c r="AK33" i="177"/>
  <c r="AJ33" i="177"/>
  <c r="AI33" i="177"/>
  <c r="AH33" i="177"/>
  <c r="AG33" i="177"/>
  <c r="AF33" i="177"/>
  <c r="AE33" i="177"/>
  <c r="AD33" i="177"/>
  <c r="Z33" i="177"/>
  <c r="Y33" i="177"/>
  <c r="X33" i="177"/>
  <c r="W33" i="177"/>
  <c r="V33" i="177"/>
  <c r="U33" i="177"/>
  <c r="T33" i="177"/>
  <c r="S33" i="177"/>
  <c r="R33" i="177"/>
  <c r="Q33" i="177"/>
  <c r="J33" i="177"/>
  <c r="AK32" i="177"/>
  <c r="AJ32" i="177"/>
  <c r="AI32" i="177"/>
  <c r="AH32" i="177"/>
  <c r="AG32" i="177"/>
  <c r="AF32" i="177"/>
  <c r="AE32" i="177"/>
  <c r="AD32" i="177"/>
  <c r="Z32" i="177"/>
  <c r="Y32" i="177"/>
  <c r="X32" i="177"/>
  <c r="W32" i="177"/>
  <c r="V32" i="177"/>
  <c r="U32" i="177"/>
  <c r="T32" i="177"/>
  <c r="S32" i="177"/>
  <c r="R32" i="177"/>
  <c r="Q32" i="177"/>
  <c r="J32" i="177"/>
  <c r="AK31" i="177"/>
  <c r="AJ31" i="177"/>
  <c r="AI31" i="177"/>
  <c r="AH31" i="177"/>
  <c r="AG31" i="177"/>
  <c r="AF31" i="177"/>
  <c r="AE31" i="177"/>
  <c r="AD31" i="177"/>
  <c r="Z31" i="177"/>
  <c r="Y31" i="177"/>
  <c r="X31" i="177"/>
  <c r="W31" i="177"/>
  <c r="V31" i="177"/>
  <c r="U31" i="177"/>
  <c r="T31" i="177"/>
  <c r="S31" i="177"/>
  <c r="R31" i="177"/>
  <c r="Q31" i="177"/>
  <c r="J31" i="177"/>
  <c r="AK30" i="177"/>
  <c r="AJ30" i="177"/>
  <c r="AI30" i="177"/>
  <c r="AH30" i="177"/>
  <c r="AG30" i="177"/>
  <c r="AF30" i="177"/>
  <c r="AE30" i="177"/>
  <c r="AD30" i="177"/>
  <c r="Z30" i="177"/>
  <c r="Y30" i="177"/>
  <c r="X30" i="177"/>
  <c r="W30" i="177"/>
  <c r="V30" i="177"/>
  <c r="U30" i="177"/>
  <c r="T30" i="177"/>
  <c r="S30" i="177"/>
  <c r="R30" i="177"/>
  <c r="Q30" i="177"/>
  <c r="J30" i="177"/>
  <c r="AK29" i="177"/>
  <c r="AJ29" i="177"/>
  <c r="AI29" i="177"/>
  <c r="AH29" i="177"/>
  <c r="AG29" i="177"/>
  <c r="AF29" i="177"/>
  <c r="AE29" i="177"/>
  <c r="AD29" i="177"/>
  <c r="Z29" i="177"/>
  <c r="Y29" i="177"/>
  <c r="X29" i="177"/>
  <c r="W29" i="177"/>
  <c r="V29" i="177"/>
  <c r="U29" i="177"/>
  <c r="T29" i="177"/>
  <c r="S29" i="177"/>
  <c r="R29" i="177"/>
  <c r="Q29" i="177"/>
  <c r="J29" i="177"/>
  <c r="AK28" i="177"/>
  <c r="AJ28" i="177"/>
  <c r="AI28" i="177"/>
  <c r="AH28" i="177"/>
  <c r="AG28" i="177"/>
  <c r="AF28" i="177"/>
  <c r="AE28" i="177"/>
  <c r="AD28" i="177"/>
  <c r="Z28" i="177"/>
  <c r="Y28" i="177"/>
  <c r="X28" i="177"/>
  <c r="W28" i="177"/>
  <c r="V28" i="177"/>
  <c r="U28" i="177"/>
  <c r="T28" i="177"/>
  <c r="S28" i="177"/>
  <c r="R28" i="177"/>
  <c r="Q28" i="177"/>
  <c r="J28" i="177"/>
  <c r="AK27" i="177"/>
  <c r="AJ27" i="177"/>
  <c r="AI27" i="177"/>
  <c r="AH27" i="177"/>
  <c r="AG27" i="177"/>
  <c r="AF27" i="177"/>
  <c r="AE27" i="177"/>
  <c r="AD27" i="177"/>
  <c r="Z27" i="177"/>
  <c r="Y27" i="177"/>
  <c r="X27" i="177"/>
  <c r="W27" i="177"/>
  <c r="V27" i="177"/>
  <c r="U27" i="177"/>
  <c r="T27" i="177"/>
  <c r="S27" i="177"/>
  <c r="R27" i="177"/>
  <c r="Q27" i="177"/>
  <c r="J27" i="177"/>
  <c r="AK26" i="177"/>
  <c r="AJ26" i="177"/>
  <c r="AI26" i="177"/>
  <c r="AH26" i="177"/>
  <c r="AG26" i="177"/>
  <c r="AF26" i="177"/>
  <c r="AE26" i="177"/>
  <c r="AD26" i="177"/>
  <c r="Z26" i="177"/>
  <c r="Y26" i="177"/>
  <c r="X26" i="177"/>
  <c r="W26" i="177"/>
  <c r="V26" i="177"/>
  <c r="U26" i="177"/>
  <c r="T26" i="177"/>
  <c r="S26" i="177"/>
  <c r="R26" i="177"/>
  <c r="Q26" i="177"/>
  <c r="J26" i="177"/>
  <c r="AK25" i="177"/>
  <c r="AJ25" i="177"/>
  <c r="AI25" i="177"/>
  <c r="AH25" i="177"/>
  <c r="AG25" i="177"/>
  <c r="AF25" i="177"/>
  <c r="AE25" i="177"/>
  <c r="AD25" i="177"/>
  <c r="Z25" i="177"/>
  <c r="Y25" i="177"/>
  <c r="X25" i="177"/>
  <c r="W25" i="177"/>
  <c r="V25" i="177"/>
  <c r="U25" i="177"/>
  <c r="T25" i="177"/>
  <c r="S25" i="177"/>
  <c r="R25" i="177"/>
  <c r="Q25" i="177"/>
  <c r="J25" i="177"/>
  <c r="AK24" i="177"/>
  <c r="AJ24" i="177"/>
  <c r="AI24" i="177"/>
  <c r="AH24" i="177"/>
  <c r="AG24" i="177"/>
  <c r="AF24" i="177"/>
  <c r="AE24" i="177"/>
  <c r="AD24" i="177"/>
  <c r="Z24" i="177"/>
  <c r="Y24" i="177"/>
  <c r="X24" i="177"/>
  <c r="W24" i="177"/>
  <c r="V24" i="177"/>
  <c r="U24" i="177"/>
  <c r="T24" i="177"/>
  <c r="S24" i="177"/>
  <c r="R24" i="177"/>
  <c r="Q24" i="177"/>
  <c r="J24" i="177"/>
  <c r="AK23" i="177"/>
  <c r="AJ23" i="177"/>
  <c r="AI23" i="177"/>
  <c r="AH23" i="177"/>
  <c r="AG23" i="177"/>
  <c r="AF23" i="177"/>
  <c r="AE23" i="177"/>
  <c r="AD23" i="177"/>
  <c r="Z23" i="177"/>
  <c r="Y23" i="177"/>
  <c r="X23" i="177"/>
  <c r="W23" i="177"/>
  <c r="V23" i="177"/>
  <c r="U23" i="177"/>
  <c r="T23" i="177"/>
  <c r="S23" i="177"/>
  <c r="R23" i="177"/>
  <c r="Q23" i="177"/>
  <c r="J23" i="177"/>
  <c r="AK22" i="177"/>
  <c r="AJ22" i="177"/>
  <c r="AI22" i="177"/>
  <c r="AH22" i="177"/>
  <c r="AG22" i="177"/>
  <c r="AF22" i="177"/>
  <c r="AE22" i="177"/>
  <c r="AD22" i="177"/>
  <c r="Z22" i="177"/>
  <c r="Y22" i="177"/>
  <c r="X22" i="177"/>
  <c r="W22" i="177"/>
  <c r="V22" i="177"/>
  <c r="U22" i="177"/>
  <c r="T22" i="177"/>
  <c r="S22" i="177"/>
  <c r="R22" i="177"/>
  <c r="Q22" i="177"/>
  <c r="J22" i="177"/>
  <c r="AK21" i="177"/>
  <c r="AJ21" i="177"/>
  <c r="AI21" i="177"/>
  <c r="AH21" i="177"/>
  <c r="AG21" i="177"/>
  <c r="AF21" i="177"/>
  <c r="AE21" i="177"/>
  <c r="AD21" i="177"/>
  <c r="Z21" i="177"/>
  <c r="Y21" i="177"/>
  <c r="X21" i="177"/>
  <c r="W21" i="177"/>
  <c r="V21" i="177"/>
  <c r="U21" i="177"/>
  <c r="T21" i="177"/>
  <c r="S21" i="177"/>
  <c r="R21" i="177"/>
  <c r="Q21" i="177"/>
  <c r="J21" i="177"/>
  <c r="AK19" i="177"/>
  <c r="AJ19" i="177"/>
  <c r="AI19" i="177"/>
  <c r="AH19" i="177"/>
  <c r="AG19" i="177"/>
  <c r="AF19" i="177"/>
  <c r="AE19" i="177"/>
  <c r="AD19" i="177"/>
  <c r="Z19" i="177"/>
  <c r="Y19" i="177"/>
  <c r="X19" i="177"/>
  <c r="W19" i="177"/>
  <c r="V19" i="177"/>
  <c r="U19" i="177"/>
  <c r="T19" i="177"/>
  <c r="S19" i="177"/>
  <c r="R19" i="177"/>
  <c r="Q19" i="177"/>
  <c r="J19" i="177"/>
  <c r="AK18" i="177"/>
  <c r="AJ18" i="177"/>
  <c r="AI18" i="177"/>
  <c r="AH18" i="177"/>
  <c r="AG18" i="177"/>
  <c r="AF18" i="177"/>
  <c r="AE18" i="177"/>
  <c r="AD18" i="177"/>
  <c r="Z18" i="177"/>
  <c r="Y18" i="177"/>
  <c r="X18" i="177"/>
  <c r="W18" i="177"/>
  <c r="V18" i="177"/>
  <c r="U18" i="177"/>
  <c r="T18" i="177"/>
  <c r="S18" i="177"/>
  <c r="R18" i="177"/>
  <c r="Q18" i="177"/>
  <c r="J18" i="177"/>
  <c r="AK17" i="177"/>
  <c r="AJ17" i="177"/>
  <c r="AI17" i="177"/>
  <c r="AH17" i="177"/>
  <c r="AG17" i="177"/>
  <c r="AF17" i="177"/>
  <c r="AE17" i="177"/>
  <c r="AD17" i="177"/>
  <c r="Z17" i="177"/>
  <c r="Y17" i="177"/>
  <c r="X17" i="177"/>
  <c r="W17" i="177"/>
  <c r="V17" i="177"/>
  <c r="U17" i="177"/>
  <c r="T17" i="177"/>
  <c r="S17" i="177"/>
  <c r="R17" i="177"/>
  <c r="Q17" i="177"/>
  <c r="J17" i="177"/>
  <c r="AK16" i="177"/>
  <c r="AJ16" i="177"/>
  <c r="AI16" i="177"/>
  <c r="AH16" i="177"/>
  <c r="AG16" i="177"/>
  <c r="AF16" i="177"/>
  <c r="AE16" i="177"/>
  <c r="AD16" i="177"/>
  <c r="Z16" i="177"/>
  <c r="Y16" i="177"/>
  <c r="X16" i="177"/>
  <c r="W16" i="177"/>
  <c r="V16" i="177"/>
  <c r="U16" i="177"/>
  <c r="T16" i="177"/>
  <c r="S16" i="177"/>
  <c r="R16" i="177"/>
  <c r="Q16" i="177"/>
  <c r="J16" i="177"/>
  <c r="AK15" i="177"/>
  <c r="AJ15" i="177"/>
  <c r="AI15" i="177"/>
  <c r="AH15" i="177"/>
  <c r="AG15" i="177"/>
  <c r="AF15" i="177"/>
  <c r="AE15" i="177"/>
  <c r="AD15" i="177"/>
  <c r="Z15" i="177"/>
  <c r="Y15" i="177"/>
  <c r="X15" i="177"/>
  <c r="W15" i="177"/>
  <c r="V15" i="177"/>
  <c r="U15" i="177"/>
  <c r="T15" i="177"/>
  <c r="S15" i="177"/>
  <c r="R15" i="177"/>
  <c r="Q15" i="177"/>
  <c r="J15" i="177"/>
  <c r="AK14" i="177"/>
  <c r="AJ14" i="177"/>
  <c r="AI14" i="177"/>
  <c r="AH14" i="177"/>
  <c r="AG14" i="177"/>
  <c r="AF14" i="177"/>
  <c r="AE14" i="177"/>
  <c r="AD14" i="177"/>
  <c r="Z14" i="177"/>
  <c r="Y14" i="177"/>
  <c r="X14" i="177"/>
  <c r="W14" i="177"/>
  <c r="V14" i="177"/>
  <c r="U14" i="177"/>
  <c r="T14" i="177"/>
  <c r="S14" i="177"/>
  <c r="R14" i="177"/>
  <c r="Q14" i="177"/>
  <c r="J14" i="177"/>
  <c r="AK13" i="177"/>
  <c r="AJ13" i="177"/>
  <c r="AI13" i="177"/>
  <c r="AH13" i="177"/>
  <c r="AG13" i="177"/>
  <c r="AF13" i="177"/>
  <c r="AE13" i="177"/>
  <c r="AD13" i="177"/>
  <c r="Z13" i="177"/>
  <c r="Y13" i="177"/>
  <c r="X13" i="177"/>
  <c r="W13" i="177"/>
  <c r="V13" i="177"/>
  <c r="U13" i="177"/>
  <c r="T13" i="177"/>
  <c r="S13" i="177"/>
  <c r="R13" i="177"/>
  <c r="Q13" i="177"/>
  <c r="J13" i="177"/>
  <c r="AK12" i="177"/>
  <c r="AJ12" i="177"/>
  <c r="AI12" i="177"/>
  <c r="AH12" i="177"/>
  <c r="AG12" i="177"/>
  <c r="AF12" i="177"/>
  <c r="AE12" i="177"/>
  <c r="AD12" i="177"/>
  <c r="Z12" i="177"/>
  <c r="Y12" i="177"/>
  <c r="X12" i="177"/>
  <c r="W12" i="177"/>
  <c r="V12" i="177"/>
  <c r="U12" i="177"/>
  <c r="T12" i="177"/>
  <c r="S12" i="177"/>
  <c r="R12" i="177"/>
  <c r="Q12" i="177"/>
  <c r="J12" i="177"/>
  <c r="AK11" i="177"/>
  <c r="AJ11" i="177"/>
  <c r="AI11" i="177"/>
  <c r="AH11" i="177"/>
  <c r="AG11" i="177"/>
  <c r="AF11" i="177"/>
  <c r="AE11" i="177"/>
  <c r="AD11" i="177"/>
  <c r="Z11" i="177"/>
  <c r="Y11" i="177"/>
  <c r="X11" i="177"/>
  <c r="W11" i="177"/>
  <c r="V11" i="177"/>
  <c r="U11" i="177"/>
  <c r="T11" i="177"/>
  <c r="S11" i="177"/>
  <c r="R11" i="177"/>
  <c r="Q11" i="177"/>
  <c r="J11" i="177"/>
  <c r="AK10" i="177"/>
  <c r="AJ10" i="177"/>
  <c r="AI10" i="177"/>
  <c r="AH10" i="177"/>
  <c r="AG10" i="177"/>
  <c r="AF10" i="177"/>
  <c r="AE10" i="177"/>
  <c r="AD10" i="177"/>
  <c r="Z10" i="177"/>
  <c r="Y10" i="177"/>
  <c r="X10" i="177"/>
  <c r="W10" i="177"/>
  <c r="V10" i="177"/>
  <c r="U10" i="177"/>
  <c r="T10" i="177"/>
  <c r="S10" i="177"/>
  <c r="R10" i="177"/>
  <c r="Q10" i="177"/>
  <c r="J10" i="177"/>
  <c r="AK9" i="177"/>
  <c r="AJ9" i="177"/>
  <c r="AI9" i="177"/>
  <c r="AH9" i="177"/>
  <c r="AG9" i="177"/>
  <c r="AF9" i="177"/>
  <c r="AE9" i="177"/>
  <c r="AD9" i="177"/>
  <c r="Z9" i="177"/>
  <c r="Y9" i="177"/>
  <c r="X9" i="177"/>
  <c r="W9" i="177"/>
  <c r="V9" i="177"/>
  <c r="U9" i="177"/>
  <c r="T9" i="177"/>
  <c r="S9" i="177"/>
  <c r="R9" i="177"/>
  <c r="Q9" i="177"/>
  <c r="J9" i="177"/>
  <c r="AK8" i="177"/>
  <c r="AJ8" i="177"/>
  <c r="AI8" i="177"/>
  <c r="AH8" i="177"/>
  <c r="AG8" i="177"/>
  <c r="AF8" i="177"/>
  <c r="AE8" i="177"/>
  <c r="AD8" i="177"/>
  <c r="Z8" i="177"/>
  <c r="Y8" i="177"/>
  <c r="X8" i="177"/>
  <c r="W8" i="177"/>
  <c r="V8" i="177"/>
  <c r="U8" i="177"/>
  <c r="T8" i="177"/>
  <c r="S8" i="177"/>
  <c r="R8" i="177"/>
  <c r="Q8" i="177"/>
  <c r="J8" i="177"/>
  <c r="AK7" i="177"/>
  <c r="AJ7" i="177"/>
  <c r="AI7" i="177"/>
  <c r="AH7" i="177"/>
  <c r="AG7" i="177"/>
  <c r="AF7" i="177"/>
  <c r="AE7" i="177"/>
  <c r="AD7" i="177"/>
  <c r="Z7" i="177"/>
  <c r="Y7" i="177"/>
  <c r="X7" i="177"/>
  <c r="W7" i="177"/>
  <c r="V7" i="177"/>
  <c r="U7" i="177"/>
  <c r="T7" i="177"/>
  <c r="S7" i="177"/>
  <c r="R7" i="177"/>
  <c r="Q7" i="177"/>
  <c r="J7" i="177"/>
  <c r="AL6" i="177"/>
  <c r="AL44" i="177" s="1"/>
  <c r="AK6" i="177"/>
  <c r="AJ6" i="177"/>
  <c r="AI6" i="177"/>
  <c r="AH6" i="177"/>
  <c r="AG6" i="177"/>
  <c r="AF6" i="177"/>
  <c r="AE6" i="177"/>
  <c r="AD6" i="177"/>
  <c r="Z6" i="177"/>
  <c r="Y6" i="177"/>
  <c r="X6" i="177"/>
  <c r="W6" i="177"/>
  <c r="V6" i="177"/>
  <c r="U6" i="177"/>
  <c r="T6" i="177"/>
  <c r="S6" i="177"/>
  <c r="R6" i="177"/>
  <c r="Q6" i="177"/>
  <c r="K6" i="177"/>
  <c r="O6" i="177" s="1"/>
  <c r="J6" i="177"/>
  <c r="E8" i="177"/>
  <c r="E9" i="177"/>
  <c r="E10" i="177"/>
  <c r="E11" i="177"/>
  <c r="E12" i="177"/>
  <c r="E13" i="177"/>
  <c r="E14" i="177"/>
  <c r="E15" i="177"/>
  <c r="E16" i="177"/>
  <c r="E17" i="177"/>
  <c r="E18" i="177"/>
  <c r="E19" i="177"/>
  <c r="E21" i="177"/>
  <c r="E22" i="177"/>
  <c r="E23" i="177"/>
  <c r="E24" i="177"/>
  <c r="E25" i="177"/>
  <c r="E26" i="177"/>
  <c r="E27" i="177"/>
  <c r="E28" i="177"/>
  <c r="E29" i="177"/>
  <c r="E30" i="177"/>
  <c r="E31" i="177"/>
  <c r="E32" i="177"/>
  <c r="E33" i="177"/>
  <c r="E34" i="177"/>
  <c r="E35" i="177"/>
  <c r="E36" i="177"/>
  <c r="E37" i="177"/>
  <c r="E38" i="177"/>
  <c r="E39" i="177"/>
  <c r="E40" i="177"/>
  <c r="E41" i="177"/>
  <c r="E42" i="177"/>
  <c r="E7" i="177"/>
  <c r="AA44" i="183"/>
  <c r="D44" i="183"/>
  <c r="B42" i="183"/>
  <c r="B41" i="183"/>
  <c r="B40" i="183"/>
  <c r="B39" i="183"/>
  <c r="B38" i="183"/>
  <c r="B37" i="183"/>
  <c r="B36" i="183"/>
  <c r="B35" i="183"/>
  <c r="B34" i="183"/>
  <c r="B33" i="183"/>
  <c r="B32" i="183"/>
  <c r="B31" i="183"/>
  <c r="B30" i="183"/>
  <c r="B29" i="183"/>
  <c r="B28" i="183"/>
  <c r="B27" i="183"/>
  <c r="B26" i="183"/>
  <c r="B25" i="183"/>
  <c r="B24" i="183"/>
  <c r="B23" i="183"/>
  <c r="B22" i="183"/>
  <c r="B21" i="183"/>
  <c r="B19" i="183"/>
  <c r="B18" i="183"/>
  <c r="B17" i="183"/>
  <c r="B16" i="183"/>
  <c r="B15" i="183"/>
  <c r="B14" i="183"/>
  <c r="B13" i="183"/>
  <c r="B12" i="183"/>
  <c r="B11" i="183"/>
  <c r="B10" i="183"/>
  <c r="B9" i="183"/>
  <c r="B8" i="183"/>
  <c r="B7" i="183"/>
  <c r="B6" i="183"/>
  <c r="AA44" i="182"/>
  <c r="D44" i="182"/>
  <c r="C44" i="182"/>
  <c r="B42" i="182"/>
  <c r="B41" i="182"/>
  <c r="B40" i="182"/>
  <c r="B39" i="182"/>
  <c r="B38" i="182"/>
  <c r="B37" i="182"/>
  <c r="B36" i="182"/>
  <c r="B35" i="182"/>
  <c r="B34" i="182"/>
  <c r="B33" i="182"/>
  <c r="B32" i="182"/>
  <c r="B31" i="182"/>
  <c r="B30" i="182"/>
  <c r="B29" i="182"/>
  <c r="B28" i="182"/>
  <c r="B27" i="182"/>
  <c r="B26" i="182"/>
  <c r="B25" i="182"/>
  <c r="B24" i="182"/>
  <c r="B23" i="182"/>
  <c r="B22" i="182"/>
  <c r="B21" i="182"/>
  <c r="B19" i="182"/>
  <c r="B18" i="182"/>
  <c r="B17" i="182"/>
  <c r="B16" i="182"/>
  <c r="B15" i="182"/>
  <c r="B14" i="182"/>
  <c r="B13" i="182"/>
  <c r="B12" i="182"/>
  <c r="B11" i="182"/>
  <c r="B10" i="182"/>
  <c r="B9" i="182"/>
  <c r="B8" i="182"/>
  <c r="B7" i="182"/>
  <c r="B6" i="182"/>
  <c r="AA44" i="181"/>
  <c r="D44" i="181"/>
  <c r="C44" i="181"/>
  <c r="B42" i="181"/>
  <c r="B41" i="181"/>
  <c r="B40" i="181"/>
  <c r="B39" i="181"/>
  <c r="B38" i="181"/>
  <c r="B37" i="181"/>
  <c r="B36" i="181"/>
  <c r="B35" i="181"/>
  <c r="B34" i="181"/>
  <c r="B33" i="181"/>
  <c r="B32" i="181"/>
  <c r="B31" i="181"/>
  <c r="B30" i="181"/>
  <c r="B29" i="181"/>
  <c r="B28" i="181"/>
  <c r="B27" i="181"/>
  <c r="B26" i="181"/>
  <c r="B25" i="181"/>
  <c r="B24" i="181"/>
  <c r="B23" i="181"/>
  <c r="B22" i="181"/>
  <c r="B21" i="181"/>
  <c r="B19" i="181"/>
  <c r="B18" i="181"/>
  <c r="B17" i="181"/>
  <c r="B16" i="181"/>
  <c r="B15" i="181"/>
  <c r="B14" i="181"/>
  <c r="B13" i="181"/>
  <c r="B12" i="181"/>
  <c r="B11" i="181"/>
  <c r="B10" i="181"/>
  <c r="B9" i="181"/>
  <c r="B8" i="181"/>
  <c r="B7" i="181"/>
  <c r="B6" i="181"/>
  <c r="AA44" i="180"/>
  <c r="D44" i="180"/>
  <c r="C44" i="180"/>
  <c r="B42" i="180"/>
  <c r="B41" i="180"/>
  <c r="B40" i="180"/>
  <c r="B39" i="180"/>
  <c r="B38" i="180"/>
  <c r="B37" i="180"/>
  <c r="B36" i="180"/>
  <c r="B35" i="180"/>
  <c r="B34" i="180"/>
  <c r="B33" i="180"/>
  <c r="B32" i="180"/>
  <c r="B31" i="180"/>
  <c r="B30" i="180"/>
  <c r="B29" i="180"/>
  <c r="B28" i="180"/>
  <c r="B27" i="180"/>
  <c r="B26" i="180"/>
  <c r="B25" i="180"/>
  <c r="B24" i="180"/>
  <c r="B23" i="180"/>
  <c r="B22" i="180"/>
  <c r="B21" i="180"/>
  <c r="B19" i="180"/>
  <c r="B18" i="180"/>
  <c r="B17" i="180"/>
  <c r="B16" i="180"/>
  <c r="B15" i="180"/>
  <c r="B14" i="180"/>
  <c r="B13" i="180"/>
  <c r="B12" i="180"/>
  <c r="B11" i="180"/>
  <c r="B10" i="180"/>
  <c r="B9" i="180"/>
  <c r="B8" i="180"/>
  <c r="B7" i="180"/>
  <c r="B6" i="180"/>
  <c r="AA44" i="179"/>
  <c r="D44" i="179"/>
  <c r="C44" i="179"/>
  <c r="B42" i="179"/>
  <c r="B41" i="179"/>
  <c r="B40" i="179"/>
  <c r="B39" i="179"/>
  <c r="B38" i="179"/>
  <c r="B37" i="179"/>
  <c r="B36" i="179"/>
  <c r="B35" i="179"/>
  <c r="B34" i="179"/>
  <c r="B33" i="179"/>
  <c r="B32" i="179"/>
  <c r="B31" i="179"/>
  <c r="B30" i="179"/>
  <c r="B29" i="179"/>
  <c r="B28" i="179"/>
  <c r="B27" i="179"/>
  <c r="B26" i="179"/>
  <c r="B25" i="179"/>
  <c r="B24" i="179"/>
  <c r="B23" i="179"/>
  <c r="B22" i="179"/>
  <c r="B21" i="179"/>
  <c r="B19" i="179"/>
  <c r="B18" i="179"/>
  <c r="B17" i="179"/>
  <c r="B16" i="179"/>
  <c r="B15" i="179"/>
  <c r="B14" i="179"/>
  <c r="B13" i="179"/>
  <c r="B12" i="179"/>
  <c r="B11" i="179"/>
  <c r="B10" i="179"/>
  <c r="B9" i="179"/>
  <c r="B8" i="179"/>
  <c r="B7" i="179"/>
  <c r="B6" i="179"/>
  <c r="AA44" i="178"/>
  <c r="D44" i="178"/>
  <c r="C44" i="178"/>
  <c r="B42" i="178"/>
  <c r="B41" i="178"/>
  <c r="B40" i="178"/>
  <c r="B39" i="178"/>
  <c r="B38" i="178"/>
  <c r="B37" i="178"/>
  <c r="B36" i="178"/>
  <c r="B35" i="178"/>
  <c r="B34" i="178"/>
  <c r="B33" i="178"/>
  <c r="B32" i="178"/>
  <c r="B31" i="178"/>
  <c r="B30" i="178"/>
  <c r="B29" i="178"/>
  <c r="B28" i="178"/>
  <c r="B27" i="178"/>
  <c r="B26" i="178"/>
  <c r="B25" i="178"/>
  <c r="B24" i="178"/>
  <c r="B23" i="178"/>
  <c r="B22" i="178"/>
  <c r="B21" i="178"/>
  <c r="B19" i="178"/>
  <c r="B18" i="178"/>
  <c r="B17" i="178"/>
  <c r="B16" i="178"/>
  <c r="B15" i="178"/>
  <c r="B14" i="178"/>
  <c r="B13" i="178"/>
  <c r="B12" i="178"/>
  <c r="B11" i="178"/>
  <c r="B10" i="178"/>
  <c r="B9" i="178"/>
  <c r="B8" i="178"/>
  <c r="B7" i="178"/>
  <c r="B6" i="178"/>
  <c r="AA44" i="177"/>
  <c r="D44" i="177"/>
  <c r="C44" i="177"/>
  <c r="B42" i="177"/>
  <c r="B41" i="177"/>
  <c r="B40" i="177"/>
  <c r="B39" i="177"/>
  <c r="B38" i="177"/>
  <c r="B37" i="177"/>
  <c r="B36" i="177"/>
  <c r="B35" i="177"/>
  <c r="B34" i="177"/>
  <c r="B33" i="177"/>
  <c r="B32" i="177"/>
  <c r="B31" i="177"/>
  <c r="B30" i="177"/>
  <c r="B29" i="177"/>
  <c r="B28" i="177"/>
  <c r="B27" i="177"/>
  <c r="B26" i="177"/>
  <c r="B25" i="177"/>
  <c r="B24" i="177"/>
  <c r="B23" i="177"/>
  <c r="B22" i="177"/>
  <c r="B21" i="177"/>
  <c r="B19" i="177"/>
  <c r="B18" i="177"/>
  <c r="B17" i="177"/>
  <c r="B16" i="177"/>
  <c r="B15" i="177"/>
  <c r="B14" i="177"/>
  <c r="B13" i="177"/>
  <c r="B12" i="177"/>
  <c r="B11" i="177"/>
  <c r="B10" i="177"/>
  <c r="B9" i="177"/>
  <c r="B8" i="177"/>
  <c r="B7" i="177"/>
  <c r="B6" i="177"/>
  <c r="M6" i="183" l="1"/>
  <c r="L6" i="183"/>
  <c r="AA44" i="185"/>
  <c r="L6" i="179"/>
  <c r="L6" i="180"/>
  <c r="O6" i="181"/>
  <c r="Z44" i="177"/>
  <c r="AF44" i="179"/>
  <c r="AI44" i="183"/>
  <c r="M6" i="178"/>
  <c r="V44" i="177"/>
  <c r="AJ44" i="177"/>
  <c r="L6" i="177"/>
  <c r="S44" i="179"/>
  <c r="T44" i="179"/>
  <c r="V44" i="179"/>
  <c r="V44" i="181"/>
  <c r="AE44" i="179"/>
  <c r="AI44" i="177"/>
  <c r="R44" i="177"/>
  <c r="S44" i="177"/>
  <c r="AE44" i="177"/>
  <c r="E44" i="183"/>
  <c r="AK44" i="180"/>
  <c r="AF44" i="177"/>
  <c r="X44" i="177"/>
  <c r="AG44" i="177"/>
  <c r="Q44" i="177"/>
  <c r="Y44" i="177"/>
  <c r="AH44" i="177"/>
  <c r="T44" i="180"/>
  <c r="AD44" i="179"/>
  <c r="J44" i="179"/>
  <c r="T44" i="177"/>
  <c r="AK44" i="177"/>
  <c r="U44" i="177"/>
  <c r="AD44" i="177"/>
  <c r="J44" i="177"/>
  <c r="AJ44" i="179"/>
  <c r="U44" i="179"/>
  <c r="AK44" i="179"/>
  <c r="U44" i="178"/>
  <c r="AD44" i="178"/>
  <c r="Q44" i="178"/>
  <c r="Y44" i="178"/>
  <c r="AH44" i="178"/>
  <c r="AG44" i="181"/>
  <c r="AF44" i="181"/>
  <c r="X44" i="181"/>
  <c r="AI44" i="181"/>
  <c r="E44" i="178"/>
  <c r="Z44" i="180"/>
  <c r="Q44" i="180"/>
  <c r="S44" i="183"/>
  <c r="AJ44" i="183"/>
  <c r="T44" i="183"/>
  <c r="AK44" i="183"/>
  <c r="J44" i="183"/>
  <c r="V44" i="183"/>
  <c r="AE44" i="183"/>
  <c r="R44" i="183"/>
  <c r="Z44" i="183"/>
  <c r="S44" i="182"/>
  <c r="AJ44" i="182"/>
  <c r="E44" i="179"/>
  <c r="E44" i="177"/>
  <c r="U44" i="180"/>
  <c r="N6" i="180"/>
  <c r="V44" i="180"/>
  <c r="AE44" i="180"/>
  <c r="R44" i="181"/>
  <c r="AD44" i="180"/>
  <c r="E44" i="180"/>
  <c r="S44" i="181"/>
  <c r="AJ44" i="181"/>
  <c r="T44" i="182"/>
  <c r="AK44" i="182"/>
  <c r="O6" i="180"/>
  <c r="X44" i="180"/>
  <c r="AG44" i="180"/>
  <c r="J44" i="181"/>
  <c r="AK44" i="181"/>
  <c r="Y44" i="180"/>
  <c r="U44" i="181"/>
  <c r="AD44" i="181"/>
  <c r="J44" i="180"/>
  <c r="AI44" i="180"/>
  <c r="AE44" i="181"/>
  <c r="O6" i="182"/>
  <c r="N6" i="182"/>
  <c r="M6" i="182"/>
  <c r="L6" i="182"/>
  <c r="R44" i="180"/>
  <c r="S44" i="180"/>
  <c r="AJ44" i="180"/>
  <c r="E44" i="181"/>
  <c r="Q44" i="181"/>
  <c r="Y44" i="181"/>
  <c r="AH44" i="181"/>
  <c r="U44" i="182"/>
  <c r="AD44" i="182"/>
  <c r="AF44" i="183"/>
  <c r="Z44" i="181"/>
  <c r="V44" i="182"/>
  <c r="AE44" i="182"/>
  <c r="X44" i="183"/>
  <c r="AG44" i="183"/>
  <c r="AF44" i="182"/>
  <c r="E44" i="182"/>
  <c r="Q44" i="183"/>
  <c r="Y44" i="183"/>
  <c r="AH44" i="183"/>
  <c r="L6" i="181"/>
  <c r="X44" i="182"/>
  <c r="AG44" i="182"/>
  <c r="M6" i="181"/>
  <c r="Q44" i="182"/>
  <c r="Y44" i="182"/>
  <c r="AH44" i="182"/>
  <c r="R44" i="182"/>
  <c r="Z44" i="182"/>
  <c r="AI44" i="182"/>
  <c r="J44" i="182"/>
  <c r="U44" i="183"/>
  <c r="AD44" i="183"/>
  <c r="N6" i="183"/>
  <c r="O6" i="183"/>
  <c r="AF44" i="178"/>
  <c r="X44" i="178"/>
  <c r="AG44" i="178"/>
  <c r="R44" i="178"/>
  <c r="Z44" i="178"/>
  <c r="AI44" i="178"/>
  <c r="S44" i="178"/>
  <c r="AJ44" i="178"/>
  <c r="X44" i="179"/>
  <c r="AG44" i="179"/>
  <c r="J44" i="178"/>
  <c r="O6" i="178"/>
  <c r="T44" i="178"/>
  <c r="AK44" i="178"/>
  <c r="L6" i="178"/>
  <c r="Q44" i="179"/>
  <c r="Y44" i="179"/>
  <c r="V44" i="178"/>
  <c r="AE44" i="178"/>
  <c r="R44" i="179"/>
  <c r="Z44" i="179"/>
  <c r="AI44" i="179"/>
  <c r="M6" i="179"/>
  <c r="O6" i="179"/>
  <c r="M6" i="177"/>
  <c r="N6" i="177"/>
  <c r="AK42" i="176" l="1"/>
  <c r="AJ42" i="176"/>
  <c r="AI42" i="176"/>
  <c r="AH42" i="176"/>
  <c r="AG42" i="176"/>
  <c r="AF42" i="176"/>
  <c r="AE42" i="176"/>
  <c r="AD42" i="176"/>
  <c r="Z42" i="176"/>
  <c r="Y42" i="176"/>
  <c r="X42" i="176"/>
  <c r="W42" i="176"/>
  <c r="V42" i="176"/>
  <c r="U42" i="176"/>
  <c r="S42" i="176"/>
  <c r="R42" i="176"/>
  <c r="Q42" i="176"/>
  <c r="J42" i="176"/>
  <c r="AK41" i="176"/>
  <c r="AJ41" i="176"/>
  <c r="AI41" i="176"/>
  <c r="AH41" i="176"/>
  <c r="AG41" i="176"/>
  <c r="AF41" i="176"/>
  <c r="AE41" i="176"/>
  <c r="AD41" i="176"/>
  <c r="Z41" i="176"/>
  <c r="Y41" i="176"/>
  <c r="X41" i="176"/>
  <c r="W41" i="176"/>
  <c r="V41" i="176"/>
  <c r="U41" i="176"/>
  <c r="T41" i="176"/>
  <c r="S41" i="176"/>
  <c r="R41" i="176"/>
  <c r="Q41" i="176"/>
  <c r="J41" i="176"/>
  <c r="AK40" i="176"/>
  <c r="AJ40" i="176"/>
  <c r="AI40" i="176"/>
  <c r="AH40" i="176"/>
  <c r="AG40" i="176"/>
  <c r="AF40" i="176"/>
  <c r="AE40" i="176"/>
  <c r="AD40" i="176"/>
  <c r="Z40" i="176"/>
  <c r="Y40" i="176"/>
  <c r="X40" i="176"/>
  <c r="W40" i="176"/>
  <c r="V40" i="176"/>
  <c r="U40" i="176"/>
  <c r="S40" i="176"/>
  <c r="R40" i="176"/>
  <c r="Q40" i="176"/>
  <c r="J40" i="176"/>
  <c r="AK39" i="176"/>
  <c r="AJ39" i="176"/>
  <c r="AI39" i="176"/>
  <c r="AH39" i="176"/>
  <c r="AG39" i="176"/>
  <c r="AF39" i="176"/>
  <c r="AE39" i="176"/>
  <c r="AD39" i="176"/>
  <c r="Z39" i="176"/>
  <c r="Y39" i="176"/>
  <c r="X39" i="176"/>
  <c r="W39" i="176"/>
  <c r="V39" i="176"/>
  <c r="U39" i="176"/>
  <c r="S39" i="176"/>
  <c r="R39" i="176"/>
  <c r="Q39" i="176"/>
  <c r="J39" i="176"/>
  <c r="AK38" i="176"/>
  <c r="AJ38" i="176"/>
  <c r="AI38" i="176"/>
  <c r="AH38" i="176"/>
  <c r="AG38" i="176"/>
  <c r="AF38" i="176"/>
  <c r="AE38" i="176"/>
  <c r="AD38" i="176"/>
  <c r="Z38" i="176"/>
  <c r="Y38" i="176"/>
  <c r="X38" i="176"/>
  <c r="W38" i="176"/>
  <c r="V38" i="176"/>
  <c r="U38" i="176"/>
  <c r="S38" i="176"/>
  <c r="R38" i="176"/>
  <c r="Q38" i="176"/>
  <c r="J38" i="176"/>
  <c r="AK37" i="176"/>
  <c r="AJ37" i="176"/>
  <c r="AI37" i="176"/>
  <c r="AH37" i="176"/>
  <c r="AG37" i="176"/>
  <c r="AF37" i="176"/>
  <c r="AE37" i="176"/>
  <c r="AD37" i="176"/>
  <c r="Z37" i="176"/>
  <c r="Y37" i="176"/>
  <c r="X37" i="176"/>
  <c r="W37" i="176"/>
  <c r="V37" i="176"/>
  <c r="U37" i="176"/>
  <c r="S37" i="176"/>
  <c r="R37" i="176"/>
  <c r="Q37" i="176"/>
  <c r="J37" i="176"/>
  <c r="AK36" i="176"/>
  <c r="AJ36" i="176"/>
  <c r="AI36" i="176"/>
  <c r="AH36" i="176"/>
  <c r="AG36" i="176"/>
  <c r="AF36" i="176"/>
  <c r="AE36" i="176"/>
  <c r="AD36" i="176"/>
  <c r="Z36" i="176"/>
  <c r="Y36" i="176"/>
  <c r="X36" i="176"/>
  <c r="W36" i="176"/>
  <c r="V36" i="176"/>
  <c r="U36" i="176"/>
  <c r="S36" i="176"/>
  <c r="R36" i="176"/>
  <c r="Q36" i="176"/>
  <c r="J36" i="176"/>
  <c r="AK35" i="176"/>
  <c r="AJ35" i="176"/>
  <c r="AI35" i="176"/>
  <c r="AH35" i="176"/>
  <c r="AG35" i="176"/>
  <c r="AF35" i="176"/>
  <c r="AE35" i="176"/>
  <c r="AD35" i="176"/>
  <c r="Z35" i="176"/>
  <c r="Y35" i="176"/>
  <c r="X35" i="176"/>
  <c r="W35" i="176"/>
  <c r="V35" i="176"/>
  <c r="U35" i="176"/>
  <c r="S35" i="176"/>
  <c r="R35" i="176"/>
  <c r="Q35" i="176"/>
  <c r="J35" i="176"/>
  <c r="AK34" i="176"/>
  <c r="AJ34" i="176"/>
  <c r="AI34" i="176"/>
  <c r="AH34" i="176"/>
  <c r="AG34" i="176"/>
  <c r="AF34" i="176"/>
  <c r="AE34" i="176"/>
  <c r="AD34" i="176"/>
  <c r="Z34" i="176"/>
  <c r="Y34" i="176"/>
  <c r="X34" i="176"/>
  <c r="W34" i="176"/>
  <c r="V34" i="176"/>
  <c r="U34" i="176"/>
  <c r="S34" i="176"/>
  <c r="R34" i="176"/>
  <c r="Q34" i="176"/>
  <c r="J34" i="176"/>
  <c r="AK33" i="176"/>
  <c r="AJ33" i="176"/>
  <c r="AI33" i="176"/>
  <c r="AH33" i="176"/>
  <c r="AG33" i="176"/>
  <c r="AF33" i="176"/>
  <c r="AE33" i="176"/>
  <c r="AD33" i="176"/>
  <c r="Z33" i="176"/>
  <c r="Y33" i="176"/>
  <c r="X33" i="176"/>
  <c r="W33" i="176"/>
  <c r="V33" i="176"/>
  <c r="U33" i="176"/>
  <c r="T33" i="176"/>
  <c r="S33" i="176"/>
  <c r="R33" i="176"/>
  <c r="Q33" i="176"/>
  <c r="J33" i="176"/>
  <c r="AK32" i="176"/>
  <c r="AJ32" i="176"/>
  <c r="AI32" i="176"/>
  <c r="AH32" i="176"/>
  <c r="AG32" i="176"/>
  <c r="AF32" i="176"/>
  <c r="AE32" i="176"/>
  <c r="AD32" i="176"/>
  <c r="Z32" i="176"/>
  <c r="Y32" i="176"/>
  <c r="X32" i="176"/>
  <c r="W32" i="176"/>
  <c r="V32" i="176"/>
  <c r="U32" i="176"/>
  <c r="S32" i="176"/>
  <c r="R32" i="176"/>
  <c r="Q32" i="176"/>
  <c r="J32" i="176"/>
  <c r="AK31" i="176"/>
  <c r="AJ31" i="176"/>
  <c r="AI31" i="176"/>
  <c r="AH31" i="176"/>
  <c r="AG31" i="176"/>
  <c r="AF31" i="176"/>
  <c r="AE31" i="176"/>
  <c r="AD31" i="176"/>
  <c r="Z31" i="176"/>
  <c r="Y31" i="176"/>
  <c r="X31" i="176"/>
  <c r="W31" i="176"/>
  <c r="V31" i="176"/>
  <c r="U31" i="176"/>
  <c r="S31" i="176"/>
  <c r="R31" i="176"/>
  <c r="Q31" i="176"/>
  <c r="J31" i="176"/>
  <c r="AK30" i="176"/>
  <c r="AJ30" i="176"/>
  <c r="AI30" i="176"/>
  <c r="AH30" i="176"/>
  <c r="AG30" i="176"/>
  <c r="AF30" i="176"/>
  <c r="AE30" i="176"/>
  <c r="AD30" i="176"/>
  <c r="Z30" i="176"/>
  <c r="Y30" i="176"/>
  <c r="X30" i="176"/>
  <c r="W30" i="176"/>
  <c r="V30" i="176"/>
  <c r="U30" i="176"/>
  <c r="S30" i="176"/>
  <c r="R30" i="176"/>
  <c r="Q30" i="176"/>
  <c r="J30" i="176"/>
  <c r="AK29" i="176"/>
  <c r="AJ29" i="176"/>
  <c r="AI29" i="176"/>
  <c r="AH29" i="176"/>
  <c r="AG29" i="176"/>
  <c r="AF29" i="176"/>
  <c r="AE29" i="176"/>
  <c r="AD29" i="176"/>
  <c r="Z29" i="176"/>
  <c r="Y29" i="176"/>
  <c r="X29" i="176"/>
  <c r="W29" i="176"/>
  <c r="V29" i="176"/>
  <c r="U29" i="176"/>
  <c r="S29" i="176"/>
  <c r="R29" i="176"/>
  <c r="Q29" i="176"/>
  <c r="J29" i="176"/>
  <c r="AK28" i="176"/>
  <c r="AJ28" i="176"/>
  <c r="AI28" i="176"/>
  <c r="AH28" i="176"/>
  <c r="AG28" i="176"/>
  <c r="AF28" i="176"/>
  <c r="AE28" i="176"/>
  <c r="AD28" i="176"/>
  <c r="Z28" i="176"/>
  <c r="Y28" i="176"/>
  <c r="X28" i="176"/>
  <c r="W28" i="176"/>
  <c r="V28" i="176"/>
  <c r="U28" i="176"/>
  <c r="S28" i="176"/>
  <c r="R28" i="176"/>
  <c r="Q28" i="176"/>
  <c r="J28" i="176"/>
  <c r="AK27" i="176"/>
  <c r="AJ27" i="176"/>
  <c r="AI27" i="176"/>
  <c r="AH27" i="176"/>
  <c r="AG27" i="176"/>
  <c r="AF27" i="176"/>
  <c r="AE27" i="176"/>
  <c r="AD27" i="176"/>
  <c r="Z27" i="176"/>
  <c r="Y27" i="176"/>
  <c r="X27" i="176"/>
  <c r="W27" i="176"/>
  <c r="V27" i="176"/>
  <c r="U27" i="176"/>
  <c r="S27" i="176"/>
  <c r="R27" i="176"/>
  <c r="Q27" i="176"/>
  <c r="J27" i="176"/>
  <c r="AK26" i="176"/>
  <c r="AJ26" i="176"/>
  <c r="AI26" i="176"/>
  <c r="AH26" i="176"/>
  <c r="AG26" i="176"/>
  <c r="AF26" i="176"/>
  <c r="AE26" i="176"/>
  <c r="AD26" i="176"/>
  <c r="Z26" i="176"/>
  <c r="Y26" i="176"/>
  <c r="X26" i="176"/>
  <c r="W26" i="176"/>
  <c r="V26" i="176"/>
  <c r="U26" i="176"/>
  <c r="S26" i="176"/>
  <c r="R26" i="176"/>
  <c r="Q26" i="176"/>
  <c r="J26" i="176"/>
  <c r="AK25" i="176"/>
  <c r="AJ25" i="176"/>
  <c r="AI25" i="176"/>
  <c r="AH25" i="176"/>
  <c r="AG25" i="176"/>
  <c r="AF25" i="176"/>
  <c r="AE25" i="176"/>
  <c r="AD25" i="176"/>
  <c r="Z25" i="176"/>
  <c r="Y25" i="176"/>
  <c r="X25" i="176"/>
  <c r="W25" i="176"/>
  <c r="V25" i="176"/>
  <c r="U25" i="176"/>
  <c r="T25" i="176"/>
  <c r="S25" i="176"/>
  <c r="R25" i="176"/>
  <c r="Q25" i="176"/>
  <c r="J25" i="176"/>
  <c r="AK24" i="176"/>
  <c r="AJ24" i="176"/>
  <c r="AI24" i="176"/>
  <c r="AH24" i="176"/>
  <c r="AG24" i="176"/>
  <c r="AF24" i="176"/>
  <c r="AE24" i="176"/>
  <c r="AD24" i="176"/>
  <c r="Z24" i="176"/>
  <c r="Y24" i="176"/>
  <c r="X24" i="176"/>
  <c r="W24" i="176"/>
  <c r="V24" i="176"/>
  <c r="U24" i="176"/>
  <c r="S24" i="176"/>
  <c r="R24" i="176"/>
  <c r="Q24" i="176"/>
  <c r="J24" i="176"/>
  <c r="AK23" i="176"/>
  <c r="AJ23" i="176"/>
  <c r="AI23" i="176"/>
  <c r="AH23" i="176"/>
  <c r="AG23" i="176"/>
  <c r="AF23" i="176"/>
  <c r="AE23" i="176"/>
  <c r="AD23" i="176"/>
  <c r="Z23" i="176"/>
  <c r="Y23" i="176"/>
  <c r="X23" i="176"/>
  <c r="W23" i="176"/>
  <c r="V23" i="176"/>
  <c r="U23" i="176"/>
  <c r="S23" i="176"/>
  <c r="R23" i="176"/>
  <c r="Q23" i="176"/>
  <c r="J23" i="176"/>
  <c r="AK22" i="176"/>
  <c r="AJ22" i="176"/>
  <c r="AI22" i="176"/>
  <c r="AH22" i="176"/>
  <c r="AG22" i="176"/>
  <c r="AF22" i="176"/>
  <c r="AE22" i="176"/>
  <c r="AD22" i="176"/>
  <c r="Z22" i="176"/>
  <c r="Y22" i="176"/>
  <c r="X22" i="176"/>
  <c r="W22" i="176"/>
  <c r="V22" i="176"/>
  <c r="U22" i="176"/>
  <c r="S22" i="176"/>
  <c r="R22" i="176"/>
  <c r="Q22" i="176"/>
  <c r="J22" i="176"/>
  <c r="AK21" i="176"/>
  <c r="AJ21" i="176"/>
  <c r="AI21" i="176"/>
  <c r="AH21" i="176"/>
  <c r="AG21" i="176"/>
  <c r="AF21" i="176"/>
  <c r="AE21" i="176"/>
  <c r="AD21" i="176"/>
  <c r="Z21" i="176"/>
  <c r="Y21" i="176"/>
  <c r="X21" i="176"/>
  <c r="W21" i="176"/>
  <c r="V21" i="176"/>
  <c r="U21" i="176"/>
  <c r="S21" i="176"/>
  <c r="R21" i="176"/>
  <c r="Q21" i="176"/>
  <c r="J21" i="176"/>
  <c r="AK19" i="176"/>
  <c r="AJ19" i="176"/>
  <c r="AI19" i="176"/>
  <c r="AH19" i="176"/>
  <c r="AG19" i="176"/>
  <c r="AF19" i="176"/>
  <c r="AE19" i="176"/>
  <c r="AD19" i="176"/>
  <c r="Z19" i="176"/>
  <c r="Y19" i="176"/>
  <c r="X19" i="176"/>
  <c r="W19" i="176"/>
  <c r="V19" i="176"/>
  <c r="U19" i="176"/>
  <c r="S19" i="176"/>
  <c r="R19" i="176"/>
  <c r="Q19" i="176"/>
  <c r="J19" i="176"/>
  <c r="AK18" i="176"/>
  <c r="AJ18" i="176"/>
  <c r="AI18" i="176"/>
  <c r="AH18" i="176"/>
  <c r="AG18" i="176"/>
  <c r="AF18" i="176"/>
  <c r="AE18" i="176"/>
  <c r="AD18" i="176"/>
  <c r="Z18" i="176"/>
  <c r="Y18" i="176"/>
  <c r="X18" i="176"/>
  <c r="W18" i="176"/>
  <c r="V18" i="176"/>
  <c r="U18" i="176"/>
  <c r="S18" i="176"/>
  <c r="R18" i="176"/>
  <c r="Q18" i="176"/>
  <c r="J18" i="176"/>
  <c r="AK17" i="176"/>
  <c r="AJ17" i="176"/>
  <c r="AI17" i="176"/>
  <c r="AH17" i="176"/>
  <c r="AG17" i="176"/>
  <c r="AF17" i="176"/>
  <c r="AE17" i="176"/>
  <c r="AD17" i="176"/>
  <c r="Z17" i="176"/>
  <c r="Y17" i="176"/>
  <c r="X17" i="176"/>
  <c r="W17" i="176"/>
  <c r="V17" i="176"/>
  <c r="U17" i="176"/>
  <c r="S17" i="176"/>
  <c r="R17" i="176"/>
  <c r="Q17" i="176"/>
  <c r="J17" i="176"/>
  <c r="AK16" i="176"/>
  <c r="AJ16" i="176"/>
  <c r="AI16" i="176"/>
  <c r="AH16" i="176"/>
  <c r="AG16" i="176"/>
  <c r="AF16" i="176"/>
  <c r="AE16" i="176"/>
  <c r="AD16" i="176"/>
  <c r="Z16" i="176"/>
  <c r="Y16" i="176"/>
  <c r="X16" i="176"/>
  <c r="W16" i="176"/>
  <c r="V16" i="176"/>
  <c r="U16" i="176"/>
  <c r="T16" i="176"/>
  <c r="S16" i="176"/>
  <c r="R16" i="176"/>
  <c r="Q16" i="176"/>
  <c r="J16" i="176"/>
  <c r="AK15" i="176"/>
  <c r="AJ15" i="176"/>
  <c r="AI15" i="176"/>
  <c r="AH15" i="176"/>
  <c r="AG15" i="176"/>
  <c r="AF15" i="176"/>
  <c r="AE15" i="176"/>
  <c r="AD15" i="176"/>
  <c r="Z15" i="176"/>
  <c r="Y15" i="176"/>
  <c r="X15" i="176"/>
  <c r="W15" i="176"/>
  <c r="V15" i="176"/>
  <c r="U15" i="176"/>
  <c r="S15" i="176"/>
  <c r="R15" i="176"/>
  <c r="Q15" i="176"/>
  <c r="J15" i="176"/>
  <c r="AK14" i="176"/>
  <c r="AJ14" i="176"/>
  <c r="AI14" i="176"/>
  <c r="AH14" i="176"/>
  <c r="AG14" i="176"/>
  <c r="AF14" i="176"/>
  <c r="AE14" i="176"/>
  <c r="AD14" i="176"/>
  <c r="Z14" i="176"/>
  <c r="Y14" i="176"/>
  <c r="X14" i="176"/>
  <c r="W14" i="176"/>
  <c r="V14" i="176"/>
  <c r="U14" i="176"/>
  <c r="S14" i="176"/>
  <c r="R14" i="176"/>
  <c r="Q14" i="176"/>
  <c r="J14" i="176"/>
  <c r="AK13" i="176"/>
  <c r="AJ13" i="176"/>
  <c r="AI13" i="176"/>
  <c r="AH13" i="176"/>
  <c r="AG13" i="176"/>
  <c r="AF13" i="176"/>
  <c r="AE13" i="176"/>
  <c r="AD13" i="176"/>
  <c r="Z13" i="176"/>
  <c r="Y13" i="176"/>
  <c r="X13" i="176"/>
  <c r="W13" i="176"/>
  <c r="V13" i="176"/>
  <c r="U13" i="176"/>
  <c r="S13" i="176"/>
  <c r="R13" i="176"/>
  <c r="Q13" i="176"/>
  <c r="J13" i="176"/>
  <c r="AK12" i="176"/>
  <c r="AJ12" i="176"/>
  <c r="AI12" i="176"/>
  <c r="AH12" i="176"/>
  <c r="AG12" i="176"/>
  <c r="AF12" i="176"/>
  <c r="AE12" i="176"/>
  <c r="AD12" i="176"/>
  <c r="Z12" i="176"/>
  <c r="Y12" i="176"/>
  <c r="X12" i="176"/>
  <c r="W12" i="176"/>
  <c r="V12" i="176"/>
  <c r="U12" i="176"/>
  <c r="S12" i="176"/>
  <c r="R12" i="176"/>
  <c r="Q12" i="176"/>
  <c r="J12" i="176"/>
  <c r="AK11" i="176"/>
  <c r="AJ11" i="176"/>
  <c r="AI11" i="176"/>
  <c r="AH11" i="176"/>
  <c r="AG11" i="176"/>
  <c r="AF11" i="176"/>
  <c r="AE11" i="176"/>
  <c r="AD11" i="176"/>
  <c r="Z11" i="176"/>
  <c r="Y11" i="176"/>
  <c r="X11" i="176"/>
  <c r="W11" i="176"/>
  <c r="V11" i="176"/>
  <c r="U11" i="176"/>
  <c r="S11" i="176"/>
  <c r="R11" i="176"/>
  <c r="Q11" i="176"/>
  <c r="J11" i="176"/>
  <c r="AK10" i="176"/>
  <c r="AJ10" i="176"/>
  <c r="AI10" i="176"/>
  <c r="AH10" i="176"/>
  <c r="AG10" i="176"/>
  <c r="AF10" i="176"/>
  <c r="AE10" i="176"/>
  <c r="AD10" i="176"/>
  <c r="Z10" i="176"/>
  <c r="Y10" i="176"/>
  <c r="X10" i="176"/>
  <c r="W10" i="176"/>
  <c r="V10" i="176"/>
  <c r="U10" i="176"/>
  <c r="S10" i="176"/>
  <c r="R10" i="176"/>
  <c r="Q10" i="176"/>
  <c r="J10" i="176"/>
  <c r="AK9" i="176"/>
  <c r="AJ9" i="176"/>
  <c r="AI9" i="176"/>
  <c r="AH9" i="176"/>
  <c r="AG9" i="176"/>
  <c r="AF9" i="176"/>
  <c r="AE9" i="176"/>
  <c r="AD9" i="176"/>
  <c r="Z9" i="176"/>
  <c r="Y9" i="176"/>
  <c r="X9" i="176"/>
  <c r="W9" i="176"/>
  <c r="V9" i="176"/>
  <c r="U9" i="176"/>
  <c r="S9" i="176"/>
  <c r="R9" i="176"/>
  <c r="Q9" i="176"/>
  <c r="J9" i="176"/>
  <c r="AK8" i="176"/>
  <c r="AJ8" i="176"/>
  <c r="AI8" i="176"/>
  <c r="AH8" i="176"/>
  <c r="AG8" i="176"/>
  <c r="AF8" i="176"/>
  <c r="AE8" i="176"/>
  <c r="AD8" i="176"/>
  <c r="Z8" i="176"/>
  <c r="Y8" i="176"/>
  <c r="X8" i="176"/>
  <c r="W8" i="176"/>
  <c r="V8" i="176"/>
  <c r="U8" i="176"/>
  <c r="T8" i="176"/>
  <c r="S8" i="176"/>
  <c r="R8" i="176"/>
  <c r="Q8" i="176"/>
  <c r="J8" i="176"/>
  <c r="AK7" i="176"/>
  <c r="AJ7" i="176"/>
  <c r="AI7" i="176"/>
  <c r="AH7" i="176"/>
  <c r="AG7" i="176"/>
  <c r="AF7" i="176"/>
  <c r="AE7" i="176"/>
  <c r="AD7" i="176"/>
  <c r="Z7" i="176"/>
  <c r="Y7" i="176"/>
  <c r="X7" i="176"/>
  <c r="W7" i="176"/>
  <c r="V7" i="176"/>
  <c r="U7" i="176"/>
  <c r="T7" i="176"/>
  <c r="S7" i="176"/>
  <c r="R7" i="176"/>
  <c r="Q7" i="176"/>
  <c r="J7" i="176"/>
  <c r="AL6" i="176"/>
  <c r="AL44" i="176" s="1"/>
  <c r="AK6" i="176"/>
  <c r="AJ6" i="176"/>
  <c r="AI6" i="176"/>
  <c r="AH6" i="176"/>
  <c r="AG6" i="176"/>
  <c r="AF6" i="176"/>
  <c r="AE6" i="176"/>
  <c r="AD6" i="176"/>
  <c r="Z6" i="176"/>
  <c r="Y6" i="176"/>
  <c r="X6" i="176"/>
  <c r="W6" i="176"/>
  <c r="V6" i="176"/>
  <c r="U6" i="176"/>
  <c r="T6" i="176"/>
  <c r="S6" i="176"/>
  <c r="R6" i="176"/>
  <c r="Q6" i="176"/>
  <c r="K6" i="176"/>
  <c r="L6" i="176" s="1"/>
  <c r="J6" i="176"/>
  <c r="E8" i="176"/>
  <c r="E9" i="176"/>
  <c r="E10" i="176"/>
  <c r="E11" i="176"/>
  <c r="E12" i="176"/>
  <c r="E13" i="176"/>
  <c r="E14" i="176"/>
  <c r="E15" i="176"/>
  <c r="E16" i="176"/>
  <c r="E17" i="176"/>
  <c r="E18" i="176"/>
  <c r="E19" i="176"/>
  <c r="E21" i="176"/>
  <c r="E22" i="176"/>
  <c r="E23" i="176"/>
  <c r="E24" i="176"/>
  <c r="E25" i="176"/>
  <c r="E26" i="176"/>
  <c r="E27" i="176"/>
  <c r="E28" i="176"/>
  <c r="E29" i="176"/>
  <c r="E30" i="176"/>
  <c r="E31" i="176"/>
  <c r="E32" i="176"/>
  <c r="E33" i="176"/>
  <c r="E34" i="176"/>
  <c r="E35" i="176"/>
  <c r="E36" i="176"/>
  <c r="E37" i="176"/>
  <c r="E38" i="176"/>
  <c r="E39" i="176"/>
  <c r="E40" i="176"/>
  <c r="E41" i="176"/>
  <c r="E42" i="176"/>
  <c r="E7" i="176"/>
  <c r="AA44" i="176"/>
  <c r="D44" i="176"/>
  <c r="C44" i="176"/>
  <c r="B42" i="176"/>
  <c r="B41" i="176"/>
  <c r="B40" i="176"/>
  <c r="B39" i="176"/>
  <c r="B38" i="176"/>
  <c r="B37" i="176"/>
  <c r="B36" i="176"/>
  <c r="B35" i="176"/>
  <c r="B34" i="176"/>
  <c r="B33" i="176"/>
  <c r="B32" i="176"/>
  <c r="B31" i="176"/>
  <c r="B30" i="176"/>
  <c r="B29" i="176"/>
  <c r="B28" i="176"/>
  <c r="B27" i="176"/>
  <c r="B26" i="176"/>
  <c r="B25" i="176"/>
  <c r="B24" i="176"/>
  <c r="B23" i="176"/>
  <c r="B22" i="176"/>
  <c r="B21" i="176"/>
  <c r="B19" i="176"/>
  <c r="B18" i="176"/>
  <c r="B17" i="176"/>
  <c r="B16" i="176"/>
  <c r="B15" i="176"/>
  <c r="B14" i="176"/>
  <c r="B13" i="176"/>
  <c r="B12" i="176"/>
  <c r="B11" i="176"/>
  <c r="B10" i="176"/>
  <c r="B9" i="176"/>
  <c r="B8" i="176"/>
  <c r="B7" i="176"/>
  <c r="B6" i="176"/>
  <c r="AK42" i="175"/>
  <c r="AJ42" i="175"/>
  <c r="AI42" i="175"/>
  <c r="AH42" i="175"/>
  <c r="AG42" i="175"/>
  <c r="AF42" i="175"/>
  <c r="AE42" i="175"/>
  <c r="AD42" i="175"/>
  <c r="Z42" i="175"/>
  <c r="Y42" i="175"/>
  <c r="X42" i="175"/>
  <c r="W42" i="175"/>
  <c r="V42" i="175"/>
  <c r="U42" i="175"/>
  <c r="S42" i="175"/>
  <c r="R42" i="175"/>
  <c r="Q42" i="175"/>
  <c r="J42" i="175"/>
  <c r="AK41" i="175"/>
  <c r="AJ41" i="175"/>
  <c r="AI41" i="175"/>
  <c r="AH41" i="175"/>
  <c r="AG41" i="175"/>
  <c r="AF41" i="175"/>
  <c r="AE41" i="175"/>
  <c r="AD41" i="175"/>
  <c r="Z41" i="175"/>
  <c r="Y41" i="175"/>
  <c r="X41" i="175"/>
  <c r="W41" i="175"/>
  <c r="V41" i="175"/>
  <c r="U41" i="175"/>
  <c r="S41" i="175"/>
  <c r="R41" i="175"/>
  <c r="Q41" i="175"/>
  <c r="J41" i="175"/>
  <c r="AK40" i="175"/>
  <c r="AJ40" i="175"/>
  <c r="AI40" i="175"/>
  <c r="AH40" i="175"/>
  <c r="AG40" i="175"/>
  <c r="AF40" i="175"/>
  <c r="AE40" i="175"/>
  <c r="AD40" i="175"/>
  <c r="Z40" i="175"/>
  <c r="Y40" i="175"/>
  <c r="X40" i="175"/>
  <c r="W40" i="175"/>
  <c r="V40" i="175"/>
  <c r="U40" i="175"/>
  <c r="S40" i="175"/>
  <c r="R40" i="175"/>
  <c r="Q40" i="175"/>
  <c r="J40" i="175"/>
  <c r="AK39" i="175"/>
  <c r="AJ39" i="175"/>
  <c r="AI39" i="175"/>
  <c r="AH39" i="175"/>
  <c r="AG39" i="175"/>
  <c r="AF39" i="175"/>
  <c r="AE39" i="175"/>
  <c r="AD39" i="175"/>
  <c r="Z39" i="175"/>
  <c r="Y39" i="175"/>
  <c r="X39" i="175"/>
  <c r="W39" i="175"/>
  <c r="V39" i="175"/>
  <c r="U39" i="175"/>
  <c r="S39" i="175"/>
  <c r="R39" i="175"/>
  <c r="Q39" i="175"/>
  <c r="J39" i="175"/>
  <c r="AK38" i="175"/>
  <c r="AJ38" i="175"/>
  <c r="AI38" i="175"/>
  <c r="AH38" i="175"/>
  <c r="AG38" i="175"/>
  <c r="AF38" i="175"/>
  <c r="AE38" i="175"/>
  <c r="AD38" i="175"/>
  <c r="Z38" i="175"/>
  <c r="Y38" i="175"/>
  <c r="X38" i="175"/>
  <c r="W38" i="175"/>
  <c r="V38" i="175"/>
  <c r="U38" i="175"/>
  <c r="S38" i="175"/>
  <c r="R38" i="175"/>
  <c r="Q38" i="175"/>
  <c r="J38" i="175"/>
  <c r="AK37" i="175"/>
  <c r="AJ37" i="175"/>
  <c r="AI37" i="175"/>
  <c r="AH37" i="175"/>
  <c r="AG37" i="175"/>
  <c r="AF37" i="175"/>
  <c r="AE37" i="175"/>
  <c r="AD37" i="175"/>
  <c r="Z37" i="175"/>
  <c r="Y37" i="175"/>
  <c r="X37" i="175"/>
  <c r="W37" i="175"/>
  <c r="V37" i="175"/>
  <c r="U37" i="175"/>
  <c r="S37" i="175"/>
  <c r="R37" i="175"/>
  <c r="Q37" i="175"/>
  <c r="J37" i="175"/>
  <c r="AK36" i="175"/>
  <c r="AJ36" i="175"/>
  <c r="AI36" i="175"/>
  <c r="AH36" i="175"/>
  <c r="AG36" i="175"/>
  <c r="AF36" i="175"/>
  <c r="AE36" i="175"/>
  <c r="AD36" i="175"/>
  <c r="Z36" i="175"/>
  <c r="Y36" i="175"/>
  <c r="X36" i="175"/>
  <c r="W36" i="175"/>
  <c r="V36" i="175"/>
  <c r="U36" i="175"/>
  <c r="T36" i="175"/>
  <c r="S36" i="175"/>
  <c r="R36" i="175"/>
  <c r="Q36" i="175"/>
  <c r="J36" i="175"/>
  <c r="AK35" i="175"/>
  <c r="AJ35" i="175"/>
  <c r="AI35" i="175"/>
  <c r="AH35" i="175"/>
  <c r="AG35" i="175"/>
  <c r="AF35" i="175"/>
  <c r="AE35" i="175"/>
  <c r="AD35" i="175"/>
  <c r="Z35" i="175"/>
  <c r="Y35" i="175"/>
  <c r="X35" i="175"/>
  <c r="W35" i="175"/>
  <c r="V35" i="175"/>
  <c r="U35" i="175"/>
  <c r="S35" i="175"/>
  <c r="R35" i="175"/>
  <c r="Q35" i="175"/>
  <c r="J35" i="175"/>
  <c r="AK34" i="175"/>
  <c r="AJ34" i="175"/>
  <c r="AI34" i="175"/>
  <c r="AH34" i="175"/>
  <c r="AG34" i="175"/>
  <c r="AF34" i="175"/>
  <c r="AE34" i="175"/>
  <c r="AD34" i="175"/>
  <c r="Z34" i="175"/>
  <c r="Y34" i="175"/>
  <c r="X34" i="175"/>
  <c r="W34" i="175"/>
  <c r="V34" i="175"/>
  <c r="U34" i="175"/>
  <c r="S34" i="175"/>
  <c r="R34" i="175"/>
  <c r="Q34" i="175"/>
  <c r="J34" i="175"/>
  <c r="AK33" i="175"/>
  <c r="AJ33" i="175"/>
  <c r="AI33" i="175"/>
  <c r="AH33" i="175"/>
  <c r="AG33" i="175"/>
  <c r="AF33" i="175"/>
  <c r="AE33" i="175"/>
  <c r="AD33" i="175"/>
  <c r="Z33" i="175"/>
  <c r="Y33" i="175"/>
  <c r="X33" i="175"/>
  <c r="W33" i="175"/>
  <c r="V33" i="175"/>
  <c r="U33" i="175"/>
  <c r="S33" i="175"/>
  <c r="R33" i="175"/>
  <c r="Q33" i="175"/>
  <c r="J33" i="175"/>
  <c r="AK32" i="175"/>
  <c r="AJ32" i="175"/>
  <c r="AI32" i="175"/>
  <c r="AH32" i="175"/>
  <c r="AG32" i="175"/>
  <c r="AF32" i="175"/>
  <c r="AE32" i="175"/>
  <c r="AD32" i="175"/>
  <c r="Z32" i="175"/>
  <c r="Y32" i="175"/>
  <c r="X32" i="175"/>
  <c r="W32" i="175"/>
  <c r="V32" i="175"/>
  <c r="U32" i="175"/>
  <c r="S32" i="175"/>
  <c r="R32" i="175"/>
  <c r="Q32" i="175"/>
  <c r="J32" i="175"/>
  <c r="AK31" i="175"/>
  <c r="AJ31" i="175"/>
  <c r="AI31" i="175"/>
  <c r="AH31" i="175"/>
  <c r="AG31" i="175"/>
  <c r="AF31" i="175"/>
  <c r="AE31" i="175"/>
  <c r="AD31" i="175"/>
  <c r="Z31" i="175"/>
  <c r="Y31" i="175"/>
  <c r="X31" i="175"/>
  <c r="W31" i="175"/>
  <c r="V31" i="175"/>
  <c r="U31" i="175"/>
  <c r="S31" i="175"/>
  <c r="R31" i="175"/>
  <c r="Q31" i="175"/>
  <c r="J31" i="175"/>
  <c r="AK30" i="175"/>
  <c r="AJ30" i="175"/>
  <c r="AI30" i="175"/>
  <c r="AH30" i="175"/>
  <c r="AG30" i="175"/>
  <c r="AF30" i="175"/>
  <c r="AE30" i="175"/>
  <c r="AD30" i="175"/>
  <c r="Z30" i="175"/>
  <c r="Y30" i="175"/>
  <c r="X30" i="175"/>
  <c r="W30" i="175"/>
  <c r="V30" i="175"/>
  <c r="U30" i="175"/>
  <c r="S30" i="175"/>
  <c r="R30" i="175"/>
  <c r="Q30" i="175"/>
  <c r="J30" i="175"/>
  <c r="AK29" i="175"/>
  <c r="AJ29" i="175"/>
  <c r="AI29" i="175"/>
  <c r="AH29" i="175"/>
  <c r="AG29" i="175"/>
  <c r="AF29" i="175"/>
  <c r="AE29" i="175"/>
  <c r="AD29" i="175"/>
  <c r="Z29" i="175"/>
  <c r="Y29" i="175"/>
  <c r="X29" i="175"/>
  <c r="W29" i="175"/>
  <c r="V29" i="175"/>
  <c r="U29" i="175"/>
  <c r="S29" i="175"/>
  <c r="R29" i="175"/>
  <c r="Q29" i="175"/>
  <c r="J29" i="175"/>
  <c r="AK28" i="175"/>
  <c r="AJ28" i="175"/>
  <c r="AI28" i="175"/>
  <c r="AH28" i="175"/>
  <c r="AG28" i="175"/>
  <c r="AF28" i="175"/>
  <c r="AE28" i="175"/>
  <c r="AD28" i="175"/>
  <c r="Z28" i="175"/>
  <c r="Y28" i="175"/>
  <c r="X28" i="175"/>
  <c r="W28" i="175"/>
  <c r="V28" i="175"/>
  <c r="U28" i="175"/>
  <c r="T28" i="175"/>
  <c r="S28" i="175"/>
  <c r="R28" i="175"/>
  <c r="Q28" i="175"/>
  <c r="J28" i="175"/>
  <c r="AK27" i="175"/>
  <c r="AJ27" i="175"/>
  <c r="AI27" i="175"/>
  <c r="AH27" i="175"/>
  <c r="AG27" i="175"/>
  <c r="AF27" i="175"/>
  <c r="AE27" i="175"/>
  <c r="AD27" i="175"/>
  <c r="Z27" i="175"/>
  <c r="Y27" i="175"/>
  <c r="X27" i="175"/>
  <c r="W27" i="175"/>
  <c r="V27" i="175"/>
  <c r="U27" i="175"/>
  <c r="S27" i="175"/>
  <c r="R27" i="175"/>
  <c r="Q27" i="175"/>
  <c r="J27" i="175"/>
  <c r="AK26" i="175"/>
  <c r="AJ26" i="175"/>
  <c r="AI26" i="175"/>
  <c r="AH26" i="175"/>
  <c r="AG26" i="175"/>
  <c r="AF26" i="175"/>
  <c r="AE26" i="175"/>
  <c r="AD26" i="175"/>
  <c r="Z26" i="175"/>
  <c r="Y26" i="175"/>
  <c r="X26" i="175"/>
  <c r="W26" i="175"/>
  <c r="V26" i="175"/>
  <c r="U26" i="175"/>
  <c r="S26" i="175"/>
  <c r="R26" i="175"/>
  <c r="Q26" i="175"/>
  <c r="J26" i="175"/>
  <c r="AK25" i="175"/>
  <c r="AJ25" i="175"/>
  <c r="AI25" i="175"/>
  <c r="AH25" i="175"/>
  <c r="AG25" i="175"/>
  <c r="AF25" i="175"/>
  <c r="AE25" i="175"/>
  <c r="AD25" i="175"/>
  <c r="Z25" i="175"/>
  <c r="Y25" i="175"/>
  <c r="X25" i="175"/>
  <c r="W25" i="175"/>
  <c r="V25" i="175"/>
  <c r="U25" i="175"/>
  <c r="S25" i="175"/>
  <c r="R25" i="175"/>
  <c r="Q25" i="175"/>
  <c r="J25" i="175"/>
  <c r="AK24" i="175"/>
  <c r="AJ24" i="175"/>
  <c r="AI24" i="175"/>
  <c r="AH24" i="175"/>
  <c r="AG24" i="175"/>
  <c r="AF24" i="175"/>
  <c r="AE24" i="175"/>
  <c r="AD24" i="175"/>
  <c r="Z24" i="175"/>
  <c r="Y24" i="175"/>
  <c r="X24" i="175"/>
  <c r="W24" i="175"/>
  <c r="V24" i="175"/>
  <c r="U24" i="175"/>
  <c r="S24" i="175"/>
  <c r="R24" i="175"/>
  <c r="Q24" i="175"/>
  <c r="J24" i="175"/>
  <c r="AK23" i="175"/>
  <c r="AJ23" i="175"/>
  <c r="AI23" i="175"/>
  <c r="AH23" i="175"/>
  <c r="AG23" i="175"/>
  <c r="AF23" i="175"/>
  <c r="AE23" i="175"/>
  <c r="AD23" i="175"/>
  <c r="Z23" i="175"/>
  <c r="Y23" i="175"/>
  <c r="X23" i="175"/>
  <c r="W23" i="175"/>
  <c r="V23" i="175"/>
  <c r="U23" i="175"/>
  <c r="S23" i="175"/>
  <c r="R23" i="175"/>
  <c r="Q23" i="175"/>
  <c r="J23" i="175"/>
  <c r="AK22" i="175"/>
  <c r="AJ22" i="175"/>
  <c r="AI22" i="175"/>
  <c r="AH22" i="175"/>
  <c r="AG22" i="175"/>
  <c r="AF22" i="175"/>
  <c r="AE22" i="175"/>
  <c r="AD22" i="175"/>
  <c r="Z22" i="175"/>
  <c r="Y22" i="175"/>
  <c r="X22" i="175"/>
  <c r="W22" i="175"/>
  <c r="V22" i="175"/>
  <c r="U22" i="175"/>
  <c r="S22" i="175"/>
  <c r="R22" i="175"/>
  <c r="Q22" i="175"/>
  <c r="J22" i="175"/>
  <c r="AK21" i="175"/>
  <c r="AJ21" i="175"/>
  <c r="AI21" i="175"/>
  <c r="AH21" i="175"/>
  <c r="AG21" i="175"/>
  <c r="AF21" i="175"/>
  <c r="AE21" i="175"/>
  <c r="AD21" i="175"/>
  <c r="Z21" i="175"/>
  <c r="Y21" i="175"/>
  <c r="X21" i="175"/>
  <c r="W21" i="175"/>
  <c r="V21" i="175"/>
  <c r="U21" i="175"/>
  <c r="S21" i="175"/>
  <c r="R21" i="175"/>
  <c r="Q21" i="175"/>
  <c r="J21" i="175"/>
  <c r="AK19" i="175"/>
  <c r="AJ19" i="175"/>
  <c r="AI19" i="175"/>
  <c r="AH19" i="175"/>
  <c r="AG19" i="175"/>
  <c r="AF19" i="175"/>
  <c r="AE19" i="175"/>
  <c r="AD19" i="175"/>
  <c r="Z19" i="175"/>
  <c r="Y19" i="175"/>
  <c r="X19" i="175"/>
  <c r="W19" i="175"/>
  <c r="V19" i="175"/>
  <c r="U19" i="175"/>
  <c r="T19" i="175"/>
  <c r="S19" i="175"/>
  <c r="R19" i="175"/>
  <c r="Q19" i="175"/>
  <c r="J19" i="175"/>
  <c r="AK18" i="175"/>
  <c r="AJ18" i="175"/>
  <c r="AI18" i="175"/>
  <c r="AH18" i="175"/>
  <c r="AG18" i="175"/>
  <c r="AF18" i="175"/>
  <c r="AE18" i="175"/>
  <c r="AD18" i="175"/>
  <c r="Z18" i="175"/>
  <c r="Y18" i="175"/>
  <c r="X18" i="175"/>
  <c r="W18" i="175"/>
  <c r="V18" i="175"/>
  <c r="U18" i="175"/>
  <c r="S18" i="175"/>
  <c r="R18" i="175"/>
  <c r="Q18" i="175"/>
  <c r="J18" i="175"/>
  <c r="AK17" i="175"/>
  <c r="AJ17" i="175"/>
  <c r="AI17" i="175"/>
  <c r="AH17" i="175"/>
  <c r="AG17" i="175"/>
  <c r="AF17" i="175"/>
  <c r="AE17" i="175"/>
  <c r="AD17" i="175"/>
  <c r="Z17" i="175"/>
  <c r="Y17" i="175"/>
  <c r="X17" i="175"/>
  <c r="W17" i="175"/>
  <c r="V17" i="175"/>
  <c r="U17" i="175"/>
  <c r="S17" i="175"/>
  <c r="R17" i="175"/>
  <c r="Q17" i="175"/>
  <c r="J17" i="175"/>
  <c r="AK16" i="175"/>
  <c r="AJ16" i="175"/>
  <c r="AI16" i="175"/>
  <c r="AH16" i="175"/>
  <c r="AG16" i="175"/>
  <c r="AF16" i="175"/>
  <c r="AE16" i="175"/>
  <c r="AD16" i="175"/>
  <c r="Z16" i="175"/>
  <c r="Y16" i="175"/>
  <c r="X16" i="175"/>
  <c r="W16" i="175"/>
  <c r="V16" i="175"/>
  <c r="U16" i="175"/>
  <c r="S16" i="175"/>
  <c r="R16" i="175"/>
  <c r="Q16" i="175"/>
  <c r="J16" i="175"/>
  <c r="AK15" i="175"/>
  <c r="AJ15" i="175"/>
  <c r="AI15" i="175"/>
  <c r="AH15" i="175"/>
  <c r="AG15" i="175"/>
  <c r="AF15" i="175"/>
  <c r="AE15" i="175"/>
  <c r="AD15" i="175"/>
  <c r="Z15" i="175"/>
  <c r="Y15" i="175"/>
  <c r="X15" i="175"/>
  <c r="W15" i="175"/>
  <c r="V15" i="175"/>
  <c r="U15" i="175"/>
  <c r="S15" i="175"/>
  <c r="R15" i="175"/>
  <c r="Q15" i="175"/>
  <c r="J15" i="175"/>
  <c r="AK14" i="175"/>
  <c r="AJ14" i="175"/>
  <c r="AI14" i="175"/>
  <c r="AH14" i="175"/>
  <c r="AG14" i="175"/>
  <c r="AF14" i="175"/>
  <c r="AE14" i="175"/>
  <c r="AD14" i="175"/>
  <c r="Z14" i="175"/>
  <c r="Y14" i="175"/>
  <c r="X14" i="175"/>
  <c r="W14" i="175"/>
  <c r="V14" i="175"/>
  <c r="U14" i="175"/>
  <c r="S14" i="175"/>
  <c r="R14" i="175"/>
  <c r="Q14" i="175"/>
  <c r="J14" i="175"/>
  <c r="AK13" i="175"/>
  <c r="AJ13" i="175"/>
  <c r="AI13" i="175"/>
  <c r="AH13" i="175"/>
  <c r="AG13" i="175"/>
  <c r="AF13" i="175"/>
  <c r="AE13" i="175"/>
  <c r="AD13" i="175"/>
  <c r="Z13" i="175"/>
  <c r="Y13" i="175"/>
  <c r="X13" i="175"/>
  <c r="W13" i="175"/>
  <c r="V13" i="175"/>
  <c r="U13" i="175"/>
  <c r="S13" i="175"/>
  <c r="R13" i="175"/>
  <c r="Q13" i="175"/>
  <c r="J13" i="175"/>
  <c r="AK12" i="175"/>
  <c r="AJ12" i="175"/>
  <c r="AI12" i="175"/>
  <c r="AH12" i="175"/>
  <c r="AG12" i="175"/>
  <c r="AF12" i="175"/>
  <c r="AE12" i="175"/>
  <c r="AD12" i="175"/>
  <c r="Z12" i="175"/>
  <c r="Y12" i="175"/>
  <c r="X12" i="175"/>
  <c r="W12" i="175"/>
  <c r="V12" i="175"/>
  <c r="U12" i="175"/>
  <c r="S12" i="175"/>
  <c r="R12" i="175"/>
  <c r="Q12" i="175"/>
  <c r="J12" i="175"/>
  <c r="AK11" i="175"/>
  <c r="AJ11" i="175"/>
  <c r="AI11" i="175"/>
  <c r="AH11" i="175"/>
  <c r="AG11" i="175"/>
  <c r="AF11" i="175"/>
  <c r="AE11" i="175"/>
  <c r="AD11" i="175"/>
  <c r="Z11" i="175"/>
  <c r="Y11" i="175"/>
  <c r="X11" i="175"/>
  <c r="W11" i="175"/>
  <c r="V11" i="175"/>
  <c r="U11" i="175"/>
  <c r="S11" i="175"/>
  <c r="R11" i="175"/>
  <c r="Q11" i="175"/>
  <c r="J11" i="175"/>
  <c r="AK10" i="175"/>
  <c r="AJ10" i="175"/>
  <c r="AI10" i="175"/>
  <c r="AH10" i="175"/>
  <c r="AG10" i="175"/>
  <c r="AF10" i="175"/>
  <c r="AE10" i="175"/>
  <c r="AD10" i="175"/>
  <c r="Z10" i="175"/>
  <c r="Y10" i="175"/>
  <c r="X10" i="175"/>
  <c r="W10" i="175"/>
  <c r="V10" i="175"/>
  <c r="U10" i="175"/>
  <c r="S10" i="175"/>
  <c r="R10" i="175"/>
  <c r="Q10" i="175"/>
  <c r="J10" i="175"/>
  <c r="AK9" i="175"/>
  <c r="AJ9" i="175"/>
  <c r="AI9" i="175"/>
  <c r="AH9" i="175"/>
  <c r="AG9" i="175"/>
  <c r="AF9" i="175"/>
  <c r="AE9" i="175"/>
  <c r="AD9" i="175"/>
  <c r="Z9" i="175"/>
  <c r="Y9" i="175"/>
  <c r="X9" i="175"/>
  <c r="W9" i="175"/>
  <c r="V9" i="175"/>
  <c r="U9" i="175"/>
  <c r="S9" i="175"/>
  <c r="R9" i="175"/>
  <c r="Q9" i="175"/>
  <c r="J9" i="175"/>
  <c r="AK8" i="175"/>
  <c r="AJ8" i="175"/>
  <c r="AI8" i="175"/>
  <c r="AH8" i="175"/>
  <c r="AG8" i="175"/>
  <c r="AF8" i="175"/>
  <c r="AE8" i="175"/>
  <c r="AD8" i="175"/>
  <c r="Z8" i="175"/>
  <c r="Y8" i="175"/>
  <c r="X8" i="175"/>
  <c r="W8" i="175"/>
  <c r="V8" i="175"/>
  <c r="U8" i="175"/>
  <c r="S8" i="175"/>
  <c r="R8" i="175"/>
  <c r="Q8" i="175"/>
  <c r="J8" i="175"/>
  <c r="AK7" i="175"/>
  <c r="AJ7" i="175"/>
  <c r="AI7" i="175"/>
  <c r="AH7" i="175"/>
  <c r="AG7" i="175"/>
  <c r="AF7" i="175"/>
  <c r="AE7" i="175"/>
  <c r="AD7" i="175"/>
  <c r="Z7" i="175"/>
  <c r="Y7" i="175"/>
  <c r="X7" i="175"/>
  <c r="W7" i="175"/>
  <c r="V7" i="175"/>
  <c r="U7" i="175"/>
  <c r="S7" i="175"/>
  <c r="R7" i="175"/>
  <c r="Q7" i="175"/>
  <c r="J7" i="175"/>
  <c r="AK6" i="175"/>
  <c r="AJ6" i="175"/>
  <c r="AI6" i="175"/>
  <c r="AH6" i="175"/>
  <c r="AG6" i="175"/>
  <c r="AE6" i="175"/>
  <c r="AD6" i="175"/>
  <c r="Z6" i="175"/>
  <c r="Y6" i="175"/>
  <c r="X6" i="175"/>
  <c r="W6" i="175"/>
  <c r="V6" i="175"/>
  <c r="U6" i="175"/>
  <c r="S6" i="175"/>
  <c r="R6" i="175"/>
  <c r="Q6" i="175"/>
  <c r="K6" i="175"/>
  <c r="L6" i="175" s="1"/>
  <c r="J6" i="175"/>
  <c r="E8" i="175"/>
  <c r="E9" i="175"/>
  <c r="E10" i="175"/>
  <c r="E11" i="175"/>
  <c r="E12" i="175"/>
  <c r="E13" i="175"/>
  <c r="E14" i="175"/>
  <c r="E15" i="175"/>
  <c r="E16" i="175"/>
  <c r="E17" i="175"/>
  <c r="E18" i="175"/>
  <c r="E19" i="175"/>
  <c r="E21" i="175"/>
  <c r="E22" i="175"/>
  <c r="E23" i="175"/>
  <c r="E24" i="175"/>
  <c r="E25" i="175"/>
  <c r="E26" i="175"/>
  <c r="E27" i="175"/>
  <c r="E28" i="175"/>
  <c r="E29" i="175"/>
  <c r="E30" i="175"/>
  <c r="E31" i="175"/>
  <c r="E32" i="175"/>
  <c r="E33" i="175"/>
  <c r="E34" i="175"/>
  <c r="E35" i="175"/>
  <c r="E36" i="175"/>
  <c r="E37" i="175"/>
  <c r="E38" i="175"/>
  <c r="E39" i="175"/>
  <c r="E40" i="175"/>
  <c r="E41" i="175"/>
  <c r="E42" i="175"/>
  <c r="E7" i="175"/>
  <c r="AA44" i="175"/>
  <c r="D44" i="175"/>
  <c r="C44" i="175"/>
  <c r="B42" i="175"/>
  <c r="B41" i="175"/>
  <c r="B40" i="175"/>
  <c r="B39" i="175"/>
  <c r="B38" i="175"/>
  <c r="B37" i="175"/>
  <c r="B36" i="175"/>
  <c r="B35" i="175"/>
  <c r="B34" i="175"/>
  <c r="B33" i="175"/>
  <c r="B32" i="175"/>
  <c r="B31" i="175"/>
  <c r="B30" i="175"/>
  <c r="B29" i="175"/>
  <c r="B28" i="175"/>
  <c r="B27" i="175"/>
  <c r="B26" i="175"/>
  <c r="B25" i="175"/>
  <c r="B24" i="175"/>
  <c r="B23" i="175"/>
  <c r="B22" i="175"/>
  <c r="B21" i="175"/>
  <c r="B19" i="175"/>
  <c r="B18" i="175"/>
  <c r="B17" i="175"/>
  <c r="B16" i="175"/>
  <c r="B15" i="175"/>
  <c r="B14" i="175"/>
  <c r="B13" i="175"/>
  <c r="B12" i="175"/>
  <c r="B11" i="175"/>
  <c r="B10" i="175"/>
  <c r="B9" i="175"/>
  <c r="B8" i="175"/>
  <c r="B7" i="175"/>
  <c r="B6" i="175"/>
  <c r="T40" i="176"/>
  <c r="T39" i="176"/>
  <c r="T37" i="176"/>
  <c r="T34" i="176"/>
  <c r="T32" i="176"/>
  <c r="T31" i="176"/>
  <c r="T30" i="176"/>
  <c r="T29" i="176"/>
  <c r="T26" i="176"/>
  <c r="T23" i="176"/>
  <c r="T22" i="176"/>
  <c r="T17" i="176"/>
  <c r="T15" i="176"/>
  <c r="T10" i="176"/>
  <c r="T9" i="176"/>
  <c r="T40" i="175"/>
  <c r="T39" i="175"/>
  <c r="T38" i="175"/>
  <c r="T37" i="175"/>
  <c r="T35" i="175"/>
  <c r="T34" i="175"/>
  <c r="T33" i="175"/>
  <c r="T32" i="175"/>
  <c r="T31" i="175"/>
  <c r="T30" i="175"/>
  <c r="T29" i="175"/>
  <c r="T26" i="175"/>
  <c r="T25" i="175"/>
  <c r="AL6" i="175"/>
  <c r="AL44" i="175" s="1"/>
  <c r="T24" i="175"/>
  <c r="T23" i="175"/>
  <c r="T22" i="175"/>
  <c r="T18" i="175"/>
  <c r="T17" i="175"/>
  <c r="T15" i="175"/>
  <c r="T14" i="175"/>
  <c r="T13" i="175"/>
  <c r="T12" i="175"/>
  <c r="T11" i="175"/>
  <c r="T10" i="175"/>
  <c r="T9" i="175"/>
  <c r="T8" i="175"/>
  <c r="T7" i="175"/>
  <c r="T6" i="175"/>
  <c r="N6" i="175" l="1"/>
  <c r="T24" i="176"/>
  <c r="T14" i="176"/>
  <c r="T13" i="176"/>
  <c r="T38" i="176"/>
  <c r="T12" i="176"/>
  <c r="T21" i="176"/>
  <c r="T11" i="176"/>
  <c r="T19" i="176"/>
  <c r="T28" i="176"/>
  <c r="T36" i="176"/>
  <c r="T18" i="176"/>
  <c r="T27" i="176"/>
  <c r="T35" i="176"/>
  <c r="T42" i="176"/>
  <c r="V44" i="176"/>
  <c r="T27" i="175"/>
  <c r="T42" i="175"/>
  <c r="T41" i="175"/>
  <c r="T21" i="175"/>
  <c r="AH44" i="175"/>
  <c r="X44" i="175"/>
  <c r="Y44" i="176"/>
  <c r="AI44" i="176"/>
  <c r="AK44" i="175"/>
  <c r="Q44" i="176"/>
  <c r="R44" i="176"/>
  <c r="AH44" i="176"/>
  <c r="Z44" i="176"/>
  <c r="S44" i="176"/>
  <c r="AJ44" i="176"/>
  <c r="AK44" i="176"/>
  <c r="U44" i="176"/>
  <c r="AD44" i="176"/>
  <c r="J44" i="176"/>
  <c r="AE44" i="176"/>
  <c r="AF44" i="176"/>
  <c r="X44" i="176"/>
  <c r="AG44" i="176"/>
  <c r="Q44" i="175"/>
  <c r="Y44" i="175"/>
  <c r="Z44" i="175"/>
  <c r="AI44" i="175"/>
  <c r="R44" i="175"/>
  <c r="E44" i="175"/>
  <c r="S44" i="175"/>
  <c r="AJ44" i="175"/>
  <c r="U44" i="175"/>
  <c r="AD44" i="175"/>
  <c r="J44" i="175"/>
  <c r="V44" i="175"/>
  <c r="AE44" i="175"/>
  <c r="AG44" i="175"/>
  <c r="E44" i="176"/>
  <c r="M6" i="176"/>
  <c r="N6" i="176"/>
  <c r="O6" i="176"/>
  <c r="M6" i="175"/>
  <c r="O6" i="175"/>
  <c r="T44" i="175" l="1"/>
  <c r="T44" i="176"/>
  <c r="O40" i="168" l="1"/>
  <c r="O41" i="168"/>
  <c r="N42" i="168"/>
  <c r="M15" i="168"/>
  <c r="M21" i="168"/>
  <c r="M22" i="168"/>
  <c r="M33" i="168"/>
  <c r="M36" i="168"/>
  <c r="M38" i="168"/>
  <c r="D15" i="185"/>
  <c r="C15" i="185"/>
  <c r="M41" i="168" l="1"/>
  <c r="O42" i="168"/>
  <c r="M40" i="168"/>
  <c r="M42" i="168"/>
  <c r="L42" i="168"/>
  <c r="N41" i="168"/>
  <c r="N40" i="168"/>
  <c r="L40" i="168" s="1"/>
  <c r="J8" i="168" l="1"/>
  <c r="J9" i="168"/>
  <c r="J10" i="168"/>
  <c r="J11" i="168"/>
  <c r="J12" i="168"/>
  <c r="J13" i="168"/>
  <c r="J14" i="168"/>
  <c r="J16" i="168"/>
  <c r="J17" i="168"/>
  <c r="J18" i="168"/>
  <c r="J19" i="168"/>
  <c r="J21" i="168"/>
  <c r="J22" i="168"/>
  <c r="J23" i="168"/>
  <c r="J24" i="168"/>
  <c r="J25" i="168"/>
  <c r="J26" i="168"/>
  <c r="J27" i="168"/>
  <c r="J28" i="168"/>
  <c r="J29" i="168"/>
  <c r="J30" i="168"/>
  <c r="J31" i="168"/>
  <c r="J32" i="168"/>
  <c r="J34" i="168"/>
  <c r="J35" i="168"/>
  <c r="J36" i="168"/>
  <c r="J37" i="168"/>
  <c r="J39" i="168"/>
  <c r="J40" i="168"/>
  <c r="J41" i="168"/>
  <c r="J42" i="168"/>
  <c r="J7" i="168"/>
  <c r="AK42" i="171" l="1"/>
  <c r="AJ42" i="171"/>
  <c r="AI42" i="171"/>
  <c r="AH42" i="171"/>
  <c r="AG42" i="171"/>
  <c r="AF42" i="171"/>
  <c r="AE42" i="171"/>
  <c r="AD42" i="171"/>
  <c r="Z42" i="171"/>
  <c r="Y42" i="171"/>
  <c r="X42" i="171"/>
  <c r="W42" i="171"/>
  <c r="V42" i="171"/>
  <c r="U42" i="171"/>
  <c r="T42" i="171"/>
  <c r="S42" i="171"/>
  <c r="R42" i="171"/>
  <c r="Q42" i="171"/>
  <c r="J42" i="171"/>
  <c r="AK41" i="171"/>
  <c r="AJ41" i="171"/>
  <c r="AI41" i="171"/>
  <c r="AH41" i="171"/>
  <c r="AG41" i="171"/>
  <c r="AF41" i="171"/>
  <c r="AE41" i="171"/>
  <c r="AD41" i="171"/>
  <c r="Z41" i="171"/>
  <c r="Y41" i="171"/>
  <c r="X41" i="171"/>
  <c r="W41" i="171"/>
  <c r="V41" i="171"/>
  <c r="U41" i="171"/>
  <c r="T41" i="171"/>
  <c r="S41" i="171"/>
  <c r="R41" i="171"/>
  <c r="Q41" i="171"/>
  <c r="J41" i="171"/>
  <c r="AK40" i="171"/>
  <c r="AJ40" i="171"/>
  <c r="AI40" i="171"/>
  <c r="AH40" i="171"/>
  <c r="AG40" i="171"/>
  <c r="AF40" i="171"/>
  <c r="AE40" i="171"/>
  <c r="AD40" i="171"/>
  <c r="Z40" i="171"/>
  <c r="Y40" i="171"/>
  <c r="X40" i="171"/>
  <c r="W40" i="171"/>
  <c r="V40" i="171"/>
  <c r="U40" i="171"/>
  <c r="T40" i="171"/>
  <c r="S40" i="171"/>
  <c r="R40" i="171"/>
  <c r="Q40" i="171"/>
  <c r="J40" i="171"/>
  <c r="AK39" i="171"/>
  <c r="AJ39" i="171"/>
  <c r="AI39" i="171"/>
  <c r="AH39" i="171"/>
  <c r="AG39" i="171"/>
  <c r="AF39" i="171"/>
  <c r="AE39" i="171"/>
  <c r="AD39" i="171"/>
  <c r="Z39" i="171"/>
  <c r="Y39" i="171"/>
  <c r="X39" i="171"/>
  <c r="W39" i="171"/>
  <c r="V39" i="171"/>
  <c r="U39" i="171"/>
  <c r="T39" i="171"/>
  <c r="S39" i="171"/>
  <c r="R39" i="171"/>
  <c r="Q39" i="171"/>
  <c r="J39" i="171"/>
  <c r="AK38" i="171"/>
  <c r="AJ38" i="171"/>
  <c r="AI38" i="171"/>
  <c r="AH38" i="171"/>
  <c r="AG38" i="171"/>
  <c r="AF38" i="171"/>
  <c r="AE38" i="171"/>
  <c r="AD38" i="171"/>
  <c r="Z38" i="171"/>
  <c r="Y38" i="171"/>
  <c r="X38" i="171"/>
  <c r="W38" i="171"/>
  <c r="V38" i="171"/>
  <c r="U38" i="171"/>
  <c r="T38" i="171"/>
  <c r="S38" i="171"/>
  <c r="R38" i="171"/>
  <c r="Q38" i="171"/>
  <c r="J38" i="171"/>
  <c r="AK37" i="171"/>
  <c r="AJ37" i="171"/>
  <c r="AI37" i="171"/>
  <c r="AH37" i="171"/>
  <c r="AG37" i="171"/>
  <c r="AF37" i="171"/>
  <c r="AE37" i="171"/>
  <c r="AD37" i="171"/>
  <c r="Z37" i="171"/>
  <c r="Y37" i="171"/>
  <c r="X37" i="171"/>
  <c r="W37" i="171"/>
  <c r="V37" i="171"/>
  <c r="U37" i="171"/>
  <c r="T37" i="171"/>
  <c r="S37" i="171"/>
  <c r="R37" i="171"/>
  <c r="Q37" i="171"/>
  <c r="J37" i="171"/>
  <c r="AK36" i="171"/>
  <c r="AJ36" i="171"/>
  <c r="AI36" i="171"/>
  <c r="AH36" i="171"/>
  <c r="AG36" i="171"/>
  <c r="AF36" i="171"/>
  <c r="AE36" i="171"/>
  <c r="AD36" i="171"/>
  <c r="Z36" i="171"/>
  <c r="Y36" i="171"/>
  <c r="X36" i="171"/>
  <c r="W36" i="171"/>
  <c r="V36" i="171"/>
  <c r="U36" i="171"/>
  <c r="T36" i="171"/>
  <c r="S36" i="171"/>
  <c r="R36" i="171"/>
  <c r="Q36" i="171"/>
  <c r="J36" i="171"/>
  <c r="AK35" i="171"/>
  <c r="AJ35" i="171"/>
  <c r="AI35" i="171"/>
  <c r="AH35" i="171"/>
  <c r="AG35" i="171"/>
  <c r="AF35" i="171"/>
  <c r="AE35" i="171"/>
  <c r="AD35" i="171"/>
  <c r="Z35" i="171"/>
  <c r="Y35" i="171"/>
  <c r="X35" i="171"/>
  <c r="W35" i="171"/>
  <c r="V35" i="171"/>
  <c r="U35" i="171"/>
  <c r="T35" i="171"/>
  <c r="S35" i="171"/>
  <c r="R35" i="171"/>
  <c r="Q35" i="171"/>
  <c r="J35" i="171"/>
  <c r="AK34" i="171"/>
  <c r="AJ34" i="171"/>
  <c r="AI34" i="171"/>
  <c r="AH34" i="171"/>
  <c r="AG34" i="171"/>
  <c r="AF34" i="171"/>
  <c r="AE34" i="171"/>
  <c r="AD34" i="171"/>
  <c r="Z34" i="171"/>
  <c r="Y34" i="171"/>
  <c r="X34" i="171"/>
  <c r="W34" i="171"/>
  <c r="V34" i="171"/>
  <c r="U34" i="171"/>
  <c r="T34" i="171"/>
  <c r="S34" i="171"/>
  <c r="R34" i="171"/>
  <c r="Q34" i="171"/>
  <c r="J34" i="171"/>
  <c r="AK33" i="171"/>
  <c r="AJ33" i="171"/>
  <c r="AI33" i="171"/>
  <c r="AH33" i="171"/>
  <c r="AG33" i="171"/>
  <c r="AF33" i="171"/>
  <c r="AE33" i="171"/>
  <c r="AD33" i="171"/>
  <c r="Z33" i="171"/>
  <c r="Y33" i="171"/>
  <c r="X33" i="171"/>
  <c r="W33" i="171"/>
  <c r="V33" i="171"/>
  <c r="U33" i="171"/>
  <c r="T33" i="171"/>
  <c r="S33" i="171"/>
  <c r="R33" i="171"/>
  <c r="Q33" i="171"/>
  <c r="J33" i="171"/>
  <c r="AK32" i="171"/>
  <c r="AJ32" i="171"/>
  <c r="AI32" i="171"/>
  <c r="AH32" i="171"/>
  <c r="AG32" i="171"/>
  <c r="AF32" i="171"/>
  <c r="AE32" i="171"/>
  <c r="AD32" i="171"/>
  <c r="Z32" i="171"/>
  <c r="Y32" i="171"/>
  <c r="X32" i="171"/>
  <c r="W32" i="171"/>
  <c r="V32" i="171"/>
  <c r="U32" i="171"/>
  <c r="T32" i="171"/>
  <c r="S32" i="171"/>
  <c r="R32" i="171"/>
  <c r="Q32" i="171"/>
  <c r="J32" i="171"/>
  <c r="AK31" i="171"/>
  <c r="AJ31" i="171"/>
  <c r="AI31" i="171"/>
  <c r="AH31" i="171"/>
  <c r="AG31" i="171"/>
  <c r="AF31" i="171"/>
  <c r="AE31" i="171"/>
  <c r="AD31" i="171"/>
  <c r="Z31" i="171"/>
  <c r="Y31" i="171"/>
  <c r="X31" i="171"/>
  <c r="W31" i="171"/>
  <c r="V31" i="171"/>
  <c r="U31" i="171"/>
  <c r="T31" i="171"/>
  <c r="S31" i="171"/>
  <c r="R31" i="171"/>
  <c r="Q31" i="171"/>
  <c r="J31" i="171"/>
  <c r="AK30" i="171"/>
  <c r="AJ30" i="171"/>
  <c r="AI30" i="171"/>
  <c r="AH30" i="171"/>
  <c r="AG30" i="171"/>
  <c r="AF30" i="171"/>
  <c r="AE30" i="171"/>
  <c r="AD30" i="171"/>
  <c r="Z30" i="171"/>
  <c r="Y30" i="171"/>
  <c r="X30" i="171"/>
  <c r="W30" i="171"/>
  <c r="V30" i="171"/>
  <c r="U30" i="171"/>
  <c r="R30" i="171"/>
  <c r="Q30" i="171"/>
  <c r="J30" i="171"/>
  <c r="AK29" i="171"/>
  <c r="AJ29" i="171"/>
  <c r="AI29" i="171"/>
  <c r="AH29" i="171"/>
  <c r="AG29" i="171"/>
  <c r="AF29" i="171"/>
  <c r="AE29" i="171"/>
  <c r="AD29" i="171"/>
  <c r="Z29" i="171"/>
  <c r="Y29" i="171"/>
  <c r="X29" i="171"/>
  <c r="W29" i="171"/>
  <c r="V29" i="171"/>
  <c r="U29" i="171"/>
  <c r="R29" i="171"/>
  <c r="Q29" i="171"/>
  <c r="J29" i="171"/>
  <c r="AK28" i="171"/>
  <c r="AJ28" i="171"/>
  <c r="AI28" i="171"/>
  <c r="AH28" i="171"/>
  <c r="AG28" i="171"/>
  <c r="AF28" i="171"/>
  <c r="AE28" i="171"/>
  <c r="AD28" i="171"/>
  <c r="Z28" i="171"/>
  <c r="Y28" i="171"/>
  <c r="X28" i="171"/>
  <c r="W28" i="171"/>
  <c r="V28" i="171"/>
  <c r="U28" i="171"/>
  <c r="R28" i="171"/>
  <c r="Q28" i="171"/>
  <c r="J28" i="171"/>
  <c r="AK27" i="171"/>
  <c r="AJ27" i="171"/>
  <c r="AI27" i="171"/>
  <c r="AH27" i="171"/>
  <c r="AG27" i="171"/>
  <c r="AF27" i="171"/>
  <c r="AE27" i="171"/>
  <c r="AD27" i="171"/>
  <c r="Z27" i="171"/>
  <c r="Y27" i="171"/>
  <c r="X27" i="171"/>
  <c r="W27" i="171"/>
  <c r="V27" i="171"/>
  <c r="U27" i="171"/>
  <c r="T27" i="171"/>
  <c r="S27" i="171"/>
  <c r="R27" i="171"/>
  <c r="Q27" i="171"/>
  <c r="J27" i="171"/>
  <c r="AK26" i="171"/>
  <c r="AJ26" i="171"/>
  <c r="AI26" i="171"/>
  <c r="AH26" i="171"/>
  <c r="AG26" i="171"/>
  <c r="AF26" i="171"/>
  <c r="AE26" i="171"/>
  <c r="AD26" i="171"/>
  <c r="Z26" i="171"/>
  <c r="Y26" i="171"/>
  <c r="X26" i="171"/>
  <c r="W26" i="171"/>
  <c r="V26" i="171"/>
  <c r="U26" i="171"/>
  <c r="T26" i="171"/>
  <c r="S26" i="171"/>
  <c r="R26" i="171"/>
  <c r="Q26" i="171"/>
  <c r="J26" i="171"/>
  <c r="AK25" i="171"/>
  <c r="AJ25" i="171"/>
  <c r="AI25" i="171"/>
  <c r="AH25" i="171"/>
  <c r="AG25" i="171"/>
  <c r="AF25" i="171"/>
  <c r="AE25" i="171"/>
  <c r="AD25" i="171"/>
  <c r="Z25" i="171"/>
  <c r="Y25" i="171"/>
  <c r="X25" i="171"/>
  <c r="W25" i="171"/>
  <c r="V25" i="171"/>
  <c r="U25" i="171"/>
  <c r="T25" i="171"/>
  <c r="S25" i="171"/>
  <c r="R25" i="171"/>
  <c r="Q25" i="171"/>
  <c r="J25" i="171"/>
  <c r="AK24" i="171"/>
  <c r="AJ24" i="171"/>
  <c r="AI24" i="171"/>
  <c r="AH24" i="171"/>
  <c r="AG24" i="171"/>
  <c r="AF24" i="171"/>
  <c r="AE24" i="171"/>
  <c r="AD24" i="171"/>
  <c r="Z24" i="171"/>
  <c r="Y24" i="171"/>
  <c r="X24" i="171"/>
  <c r="W24" i="171"/>
  <c r="V24" i="171"/>
  <c r="U24" i="171"/>
  <c r="T24" i="171"/>
  <c r="S24" i="171"/>
  <c r="R24" i="171"/>
  <c r="Q24" i="171"/>
  <c r="J24" i="171"/>
  <c r="AK23" i="171"/>
  <c r="AJ23" i="171"/>
  <c r="AI23" i="171"/>
  <c r="AH23" i="171"/>
  <c r="AG23" i="171"/>
  <c r="AF23" i="171"/>
  <c r="AE23" i="171"/>
  <c r="AD23" i="171"/>
  <c r="Z23" i="171"/>
  <c r="Y23" i="171"/>
  <c r="X23" i="171"/>
  <c r="W23" i="171"/>
  <c r="V23" i="171"/>
  <c r="U23" i="171"/>
  <c r="T23" i="171"/>
  <c r="S23" i="171"/>
  <c r="R23" i="171"/>
  <c r="Q23" i="171"/>
  <c r="J23" i="171"/>
  <c r="AK22" i="171"/>
  <c r="AJ22" i="171"/>
  <c r="AI22" i="171"/>
  <c r="AH22" i="171"/>
  <c r="AG22" i="171"/>
  <c r="AF22" i="171"/>
  <c r="AE22" i="171"/>
  <c r="AD22" i="171"/>
  <c r="Z22" i="171"/>
  <c r="Y22" i="171"/>
  <c r="X22" i="171"/>
  <c r="W22" i="171"/>
  <c r="V22" i="171"/>
  <c r="U22" i="171"/>
  <c r="T22" i="171"/>
  <c r="S22" i="171"/>
  <c r="R22" i="171"/>
  <c r="Q22" i="171"/>
  <c r="J22" i="171"/>
  <c r="AK21" i="171"/>
  <c r="AJ21" i="171"/>
  <c r="AI21" i="171"/>
  <c r="AH21" i="171"/>
  <c r="AG21" i="171"/>
  <c r="AF21" i="171"/>
  <c r="AE21" i="171"/>
  <c r="AD21" i="171"/>
  <c r="Z21" i="171"/>
  <c r="Y21" i="171"/>
  <c r="X21" i="171"/>
  <c r="W21" i="171"/>
  <c r="V21" i="171"/>
  <c r="U21" i="171"/>
  <c r="T21" i="171"/>
  <c r="S21" i="171"/>
  <c r="R21" i="171"/>
  <c r="Q21" i="171"/>
  <c r="J21" i="171"/>
  <c r="AK19" i="171"/>
  <c r="AJ19" i="171"/>
  <c r="AI19" i="171"/>
  <c r="AH19" i="171"/>
  <c r="AG19" i="171"/>
  <c r="AF19" i="171"/>
  <c r="AE19" i="171"/>
  <c r="AD19" i="171"/>
  <c r="Z19" i="171"/>
  <c r="Y19" i="171"/>
  <c r="X19" i="171"/>
  <c r="W19" i="171"/>
  <c r="V19" i="171"/>
  <c r="U19" i="171"/>
  <c r="T19" i="171"/>
  <c r="S19" i="171"/>
  <c r="R19" i="171"/>
  <c r="Q19" i="171"/>
  <c r="J19" i="171"/>
  <c r="AK18" i="171"/>
  <c r="AJ18" i="171"/>
  <c r="AI18" i="171"/>
  <c r="AH18" i="171"/>
  <c r="AG18" i="171"/>
  <c r="AF18" i="171"/>
  <c r="AE18" i="171"/>
  <c r="AD18" i="171"/>
  <c r="Z18" i="171"/>
  <c r="Y18" i="171"/>
  <c r="X18" i="171"/>
  <c r="W18" i="171"/>
  <c r="V18" i="171"/>
  <c r="U18" i="171"/>
  <c r="T18" i="171"/>
  <c r="S18" i="171"/>
  <c r="R18" i="171"/>
  <c r="Q18" i="171"/>
  <c r="J18" i="171"/>
  <c r="AK17" i="171"/>
  <c r="AJ17" i="171"/>
  <c r="AI17" i="171"/>
  <c r="AH17" i="171"/>
  <c r="AG17" i="171"/>
  <c r="AF17" i="171"/>
  <c r="AE17" i="171"/>
  <c r="AD17" i="171"/>
  <c r="Z17" i="171"/>
  <c r="Y17" i="171"/>
  <c r="X17" i="171"/>
  <c r="W17" i="171"/>
  <c r="V17" i="171"/>
  <c r="U17" i="171"/>
  <c r="T17" i="171"/>
  <c r="S17" i="171"/>
  <c r="R17" i="171"/>
  <c r="Q17" i="171"/>
  <c r="J17" i="171"/>
  <c r="AK16" i="171"/>
  <c r="AJ16" i="171"/>
  <c r="AI16" i="171"/>
  <c r="AH16" i="171"/>
  <c r="AG16" i="171"/>
  <c r="AF16" i="171"/>
  <c r="AE16" i="171"/>
  <c r="AD16" i="171"/>
  <c r="Z16" i="171"/>
  <c r="Y16" i="171"/>
  <c r="X16" i="171"/>
  <c r="W16" i="171"/>
  <c r="V16" i="171"/>
  <c r="U16" i="171"/>
  <c r="S16" i="171"/>
  <c r="R16" i="171"/>
  <c r="Q16" i="171"/>
  <c r="J16" i="171"/>
  <c r="AK15" i="171"/>
  <c r="AJ15" i="171"/>
  <c r="AI15" i="171"/>
  <c r="AH15" i="171"/>
  <c r="AG15" i="171"/>
  <c r="AF15" i="171"/>
  <c r="AE15" i="171"/>
  <c r="AD15" i="171"/>
  <c r="Z15" i="171"/>
  <c r="Y15" i="171"/>
  <c r="X15" i="171"/>
  <c r="W15" i="171"/>
  <c r="V15" i="171"/>
  <c r="U15" i="171"/>
  <c r="T15" i="171"/>
  <c r="S15" i="171"/>
  <c r="R15" i="171"/>
  <c r="Q15" i="171"/>
  <c r="J15" i="171"/>
  <c r="AK14" i="171"/>
  <c r="AJ14" i="171"/>
  <c r="AI14" i="171"/>
  <c r="AH14" i="171"/>
  <c r="AG14" i="171"/>
  <c r="AF14" i="171"/>
  <c r="AE14" i="171"/>
  <c r="AD14" i="171"/>
  <c r="Z14" i="171"/>
  <c r="Y14" i="171"/>
  <c r="X14" i="171"/>
  <c r="W14" i="171"/>
  <c r="V14" i="171"/>
  <c r="U14" i="171"/>
  <c r="T14" i="171"/>
  <c r="S14" i="171"/>
  <c r="R14" i="171"/>
  <c r="Q14" i="171"/>
  <c r="J14" i="171"/>
  <c r="AK13" i="171"/>
  <c r="AJ13" i="171"/>
  <c r="AI13" i="171"/>
  <c r="AH13" i="171"/>
  <c r="AG13" i="171"/>
  <c r="AF13" i="171"/>
  <c r="AE13" i="171"/>
  <c r="AD13" i="171"/>
  <c r="Z13" i="171"/>
  <c r="Y13" i="171"/>
  <c r="X13" i="171"/>
  <c r="W13" i="171"/>
  <c r="V13" i="171"/>
  <c r="U13" i="171"/>
  <c r="T13" i="171"/>
  <c r="S13" i="171"/>
  <c r="R13" i="171"/>
  <c r="Q13" i="171"/>
  <c r="J13" i="171"/>
  <c r="AK12" i="171"/>
  <c r="AJ12" i="171"/>
  <c r="AI12" i="171"/>
  <c r="AH12" i="171"/>
  <c r="AG12" i="171"/>
  <c r="AF12" i="171"/>
  <c r="AE12" i="171"/>
  <c r="AD12" i="171"/>
  <c r="Z12" i="171"/>
  <c r="Y12" i="171"/>
  <c r="X12" i="171"/>
  <c r="W12" i="171"/>
  <c r="V12" i="171"/>
  <c r="U12" i="171"/>
  <c r="T12" i="171"/>
  <c r="R12" i="171"/>
  <c r="Q12" i="171"/>
  <c r="J12" i="171"/>
  <c r="AK11" i="171"/>
  <c r="AJ11" i="171"/>
  <c r="AI11" i="171"/>
  <c r="AH11" i="171"/>
  <c r="AG11" i="171"/>
  <c r="AF11" i="171"/>
  <c r="AE11" i="171"/>
  <c r="AD11" i="171"/>
  <c r="Z11" i="171"/>
  <c r="Y11" i="171"/>
  <c r="X11" i="171"/>
  <c r="W11" i="171"/>
  <c r="V11" i="171"/>
  <c r="U11" i="171"/>
  <c r="R11" i="171"/>
  <c r="Q11" i="171"/>
  <c r="J11" i="171"/>
  <c r="AK10" i="171"/>
  <c r="AJ10" i="171"/>
  <c r="AI10" i="171"/>
  <c r="AH10" i="171"/>
  <c r="AG10" i="171"/>
  <c r="AF10" i="171"/>
  <c r="AE10" i="171"/>
  <c r="AD10" i="171"/>
  <c r="Z10" i="171"/>
  <c r="Y10" i="171"/>
  <c r="X10" i="171"/>
  <c r="W10" i="171"/>
  <c r="V10" i="171"/>
  <c r="U10" i="171"/>
  <c r="T10" i="171"/>
  <c r="S10" i="171"/>
  <c r="R10" i="171"/>
  <c r="Q10" i="171"/>
  <c r="J10" i="171"/>
  <c r="AK9" i="171"/>
  <c r="AJ9" i="171"/>
  <c r="AI9" i="171"/>
  <c r="AH9" i="171"/>
  <c r="AG9" i="171"/>
  <c r="AF9" i="171"/>
  <c r="AE9" i="171"/>
  <c r="AD9" i="171"/>
  <c r="Z9" i="171"/>
  <c r="Y9" i="171"/>
  <c r="X9" i="171"/>
  <c r="W9" i="171"/>
  <c r="V9" i="171"/>
  <c r="U9" i="171"/>
  <c r="T9" i="171"/>
  <c r="S9" i="171"/>
  <c r="R9" i="171"/>
  <c r="Q9" i="171"/>
  <c r="J9" i="171"/>
  <c r="AK8" i="171"/>
  <c r="AJ8" i="171"/>
  <c r="AI8" i="171"/>
  <c r="AH8" i="171"/>
  <c r="AG8" i="171"/>
  <c r="AF8" i="171"/>
  <c r="AE8" i="171"/>
  <c r="AD8" i="171"/>
  <c r="Z8" i="171"/>
  <c r="Y8" i="171"/>
  <c r="X8" i="171"/>
  <c r="W8" i="171"/>
  <c r="V8" i="171"/>
  <c r="U8" i="171"/>
  <c r="T8" i="171"/>
  <c r="S8" i="171"/>
  <c r="R8" i="171"/>
  <c r="Q8" i="171"/>
  <c r="J8" i="171"/>
  <c r="AK7" i="171"/>
  <c r="AJ7" i="171"/>
  <c r="AI7" i="171"/>
  <c r="AH7" i="171"/>
  <c r="AG7" i="171"/>
  <c r="AF7" i="171"/>
  <c r="AE7" i="171"/>
  <c r="AD7" i="171"/>
  <c r="Z7" i="171"/>
  <c r="Y7" i="171"/>
  <c r="X7" i="171"/>
  <c r="W7" i="171"/>
  <c r="V7" i="171"/>
  <c r="U7" i="171"/>
  <c r="T7" i="171"/>
  <c r="S7" i="171"/>
  <c r="R7" i="171"/>
  <c r="Q7" i="171"/>
  <c r="J7" i="171"/>
  <c r="AL6" i="171"/>
  <c r="AK6" i="171"/>
  <c r="AJ6" i="171"/>
  <c r="AI6" i="171"/>
  <c r="AH6" i="171"/>
  <c r="AG6" i="171"/>
  <c r="AF6" i="171"/>
  <c r="AE6" i="171"/>
  <c r="AD6" i="171"/>
  <c r="Z6" i="171"/>
  <c r="Y6" i="171"/>
  <c r="X6" i="171"/>
  <c r="W6" i="171"/>
  <c r="V6" i="171"/>
  <c r="U6" i="171"/>
  <c r="T6" i="171"/>
  <c r="S6" i="171"/>
  <c r="R6" i="171"/>
  <c r="Q6" i="171"/>
  <c r="K6" i="171"/>
  <c r="J6" i="171"/>
  <c r="E8" i="171"/>
  <c r="E9" i="171"/>
  <c r="E10" i="171"/>
  <c r="E11" i="171"/>
  <c r="E12" i="171"/>
  <c r="E13" i="171"/>
  <c r="E14" i="171"/>
  <c r="E15" i="171"/>
  <c r="E16" i="171"/>
  <c r="E17" i="171"/>
  <c r="E18" i="171"/>
  <c r="E19" i="171"/>
  <c r="E21" i="171"/>
  <c r="E22" i="171"/>
  <c r="E23" i="171"/>
  <c r="E24" i="171"/>
  <c r="E25" i="171"/>
  <c r="E26" i="171"/>
  <c r="E27" i="171"/>
  <c r="E28" i="171"/>
  <c r="E29" i="171"/>
  <c r="E30" i="171"/>
  <c r="E31" i="171"/>
  <c r="E32" i="171"/>
  <c r="E33" i="171"/>
  <c r="E34" i="171"/>
  <c r="E35" i="171"/>
  <c r="E36" i="171"/>
  <c r="E37" i="171"/>
  <c r="E38" i="171"/>
  <c r="E39" i="171"/>
  <c r="E40" i="171"/>
  <c r="E41" i="171"/>
  <c r="E42" i="171"/>
  <c r="E7" i="171"/>
  <c r="AA44" i="171"/>
  <c r="D44" i="171"/>
  <c r="C44" i="171"/>
  <c r="B42" i="171"/>
  <c r="B41" i="171"/>
  <c r="B40" i="171"/>
  <c r="B39" i="171"/>
  <c r="B38" i="171"/>
  <c r="B37" i="171"/>
  <c r="B36" i="171"/>
  <c r="B35" i="171"/>
  <c r="B34" i="171"/>
  <c r="B33" i="171"/>
  <c r="B32" i="171"/>
  <c r="B31" i="171"/>
  <c r="B30" i="171"/>
  <c r="B29" i="171"/>
  <c r="B28" i="171"/>
  <c r="B27" i="171"/>
  <c r="B26" i="171"/>
  <c r="B25" i="171"/>
  <c r="B24" i="171"/>
  <c r="B23" i="171"/>
  <c r="B22" i="171"/>
  <c r="B21" i="171"/>
  <c r="B19" i="171"/>
  <c r="B18" i="171"/>
  <c r="B17" i="171"/>
  <c r="B16" i="171"/>
  <c r="B15" i="171"/>
  <c r="B14" i="171"/>
  <c r="B13" i="171"/>
  <c r="B12" i="171"/>
  <c r="B11" i="171"/>
  <c r="B10" i="171"/>
  <c r="B9" i="171"/>
  <c r="B8" i="171"/>
  <c r="B7" i="171"/>
  <c r="B6" i="171"/>
  <c r="AK42" i="170"/>
  <c r="AJ42" i="170"/>
  <c r="AI42" i="170"/>
  <c r="AH42" i="170"/>
  <c r="AG42" i="170"/>
  <c r="AF42" i="170"/>
  <c r="AE42" i="170"/>
  <c r="AD42" i="170"/>
  <c r="Z42" i="170"/>
  <c r="Y42" i="170"/>
  <c r="X42" i="170"/>
  <c r="W42" i="170"/>
  <c r="V42" i="170"/>
  <c r="U42" i="170"/>
  <c r="T42" i="170"/>
  <c r="S42" i="170"/>
  <c r="R42" i="170"/>
  <c r="Q42" i="170"/>
  <c r="J42" i="170"/>
  <c r="AK41" i="170"/>
  <c r="AJ41" i="170"/>
  <c r="AI41" i="170"/>
  <c r="AH41" i="170"/>
  <c r="AG41" i="170"/>
  <c r="AF41" i="170"/>
  <c r="AE41" i="170"/>
  <c r="AD41" i="170"/>
  <c r="Z41" i="170"/>
  <c r="Y41" i="170"/>
  <c r="X41" i="170"/>
  <c r="W41" i="170"/>
  <c r="V41" i="170"/>
  <c r="U41" i="170"/>
  <c r="T41" i="170"/>
  <c r="S41" i="170"/>
  <c r="R41" i="170"/>
  <c r="Q41" i="170"/>
  <c r="J41" i="170"/>
  <c r="AK40" i="170"/>
  <c r="AJ40" i="170"/>
  <c r="AI40" i="170"/>
  <c r="AH40" i="170"/>
  <c r="AG40" i="170"/>
  <c r="AF40" i="170"/>
  <c r="AE40" i="170"/>
  <c r="AD40" i="170"/>
  <c r="Z40" i="170"/>
  <c r="Y40" i="170"/>
  <c r="X40" i="170"/>
  <c r="W40" i="170"/>
  <c r="V40" i="170"/>
  <c r="U40" i="170"/>
  <c r="T40" i="170"/>
  <c r="S40" i="170"/>
  <c r="R40" i="170"/>
  <c r="Q40" i="170"/>
  <c r="J40" i="170"/>
  <c r="AK39" i="170"/>
  <c r="AJ39" i="170"/>
  <c r="AI39" i="170"/>
  <c r="AH39" i="170"/>
  <c r="AG39" i="170"/>
  <c r="AF39" i="170"/>
  <c r="AE39" i="170"/>
  <c r="AD39" i="170"/>
  <c r="Z39" i="170"/>
  <c r="Y39" i="170"/>
  <c r="X39" i="170"/>
  <c r="W39" i="170"/>
  <c r="V39" i="170"/>
  <c r="U39" i="170"/>
  <c r="T39" i="170"/>
  <c r="S39" i="170"/>
  <c r="R39" i="170"/>
  <c r="Q39" i="170"/>
  <c r="J39" i="170"/>
  <c r="AK38" i="170"/>
  <c r="AJ38" i="170"/>
  <c r="AI38" i="170"/>
  <c r="AH38" i="170"/>
  <c r="AG38" i="170"/>
  <c r="AF38" i="170"/>
  <c r="AE38" i="170"/>
  <c r="AD38" i="170"/>
  <c r="Z38" i="170"/>
  <c r="Y38" i="170"/>
  <c r="X38" i="170"/>
  <c r="W38" i="170"/>
  <c r="V38" i="170"/>
  <c r="U38" i="170"/>
  <c r="T38" i="170"/>
  <c r="S38" i="170"/>
  <c r="R38" i="170"/>
  <c r="Q38" i="170"/>
  <c r="J38" i="170"/>
  <c r="AK37" i="170"/>
  <c r="AJ37" i="170"/>
  <c r="AI37" i="170"/>
  <c r="AH37" i="170"/>
  <c r="AG37" i="170"/>
  <c r="AF37" i="170"/>
  <c r="AE37" i="170"/>
  <c r="AD37" i="170"/>
  <c r="Z37" i="170"/>
  <c r="Y37" i="170"/>
  <c r="X37" i="170"/>
  <c r="W37" i="170"/>
  <c r="V37" i="170"/>
  <c r="U37" i="170"/>
  <c r="T37" i="170"/>
  <c r="S37" i="170"/>
  <c r="R37" i="170"/>
  <c r="Q37" i="170"/>
  <c r="J37" i="170"/>
  <c r="AK36" i="170"/>
  <c r="AJ36" i="170"/>
  <c r="AI36" i="170"/>
  <c r="AH36" i="170"/>
  <c r="AG36" i="170"/>
  <c r="AF36" i="170"/>
  <c r="AE36" i="170"/>
  <c r="AD36" i="170"/>
  <c r="Z36" i="170"/>
  <c r="Y36" i="170"/>
  <c r="X36" i="170"/>
  <c r="W36" i="170"/>
  <c r="V36" i="170"/>
  <c r="U36" i="170"/>
  <c r="T36" i="170"/>
  <c r="S36" i="170"/>
  <c r="R36" i="170"/>
  <c r="Q36" i="170"/>
  <c r="J36" i="170"/>
  <c r="AK35" i="170"/>
  <c r="AJ35" i="170"/>
  <c r="AI35" i="170"/>
  <c r="AH35" i="170"/>
  <c r="AG35" i="170"/>
  <c r="AF35" i="170"/>
  <c r="AE35" i="170"/>
  <c r="AD35" i="170"/>
  <c r="Z35" i="170"/>
  <c r="Y35" i="170"/>
  <c r="X35" i="170"/>
  <c r="W35" i="170"/>
  <c r="V35" i="170"/>
  <c r="U35" i="170"/>
  <c r="T35" i="170"/>
  <c r="S35" i="170"/>
  <c r="R35" i="170"/>
  <c r="Q35" i="170"/>
  <c r="J35" i="170"/>
  <c r="AK34" i="170"/>
  <c r="AJ34" i="170"/>
  <c r="AI34" i="170"/>
  <c r="AH34" i="170"/>
  <c r="AG34" i="170"/>
  <c r="AF34" i="170"/>
  <c r="AE34" i="170"/>
  <c r="AD34" i="170"/>
  <c r="Z34" i="170"/>
  <c r="Y34" i="170"/>
  <c r="X34" i="170"/>
  <c r="W34" i="170"/>
  <c r="V34" i="170"/>
  <c r="U34" i="170"/>
  <c r="T34" i="170"/>
  <c r="S34" i="170"/>
  <c r="R34" i="170"/>
  <c r="Q34" i="170"/>
  <c r="J34" i="170"/>
  <c r="AK33" i="170"/>
  <c r="AJ33" i="170"/>
  <c r="AI33" i="170"/>
  <c r="AH33" i="170"/>
  <c r="AG33" i="170"/>
  <c r="AF33" i="170"/>
  <c r="AE33" i="170"/>
  <c r="AD33" i="170"/>
  <c r="Z33" i="170"/>
  <c r="Y33" i="170"/>
  <c r="X33" i="170"/>
  <c r="W33" i="170"/>
  <c r="V33" i="170"/>
  <c r="U33" i="170"/>
  <c r="T33" i="170"/>
  <c r="S33" i="170"/>
  <c r="R33" i="170"/>
  <c r="Q33" i="170"/>
  <c r="J33" i="170"/>
  <c r="AK32" i="170"/>
  <c r="AJ32" i="170"/>
  <c r="AI32" i="170"/>
  <c r="AH32" i="170"/>
  <c r="AG32" i="170"/>
  <c r="AF32" i="170"/>
  <c r="AE32" i="170"/>
  <c r="AD32" i="170"/>
  <c r="Z32" i="170"/>
  <c r="Y32" i="170"/>
  <c r="X32" i="170"/>
  <c r="W32" i="170"/>
  <c r="V32" i="170"/>
  <c r="U32" i="170"/>
  <c r="T32" i="170"/>
  <c r="S32" i="170"/>
  <c r="R32" i="170"/>
  <c r="Q32" i="170"/>
  <c r="J32" i="170"/>
  <c r="AK31" i="170"/>
  <c r="AJ31" i="170"/>
  <c r="AI31" i="170"/>
  <c r="AH31" i="170"/>
  <c r="AG31" i="170"/>
  <c r="AF31" i="170"/>
  <c r="AE31" i="170"/>
  <c r="AD31" i="170"/>
  <c r="Z31" i="170"/>
  <c r="Y31" i="170"/>
  <c r="X31" i="170"/>
  <c r="W31" i="170"/>
  <c r="V31" i="170"/>
  <c r="U31" i="170"/>
  <c r="T31" i="170"/>
  <c r="S31" i="170"/>
  <c r="R31" i="170"/>
  <c r="Q31" i="170"/>
  <c r="J31" i="170"/>
  <c r="AK30" i="170"/>
  <c r="AJ30" i="170"/>
  <c r="AI30" i="170"/>
  <c r="AH30" i="170"/>
  <c r="AG30" i="170"/>
  <c r="AF30" i="170"/>
  <c r="AE30" i="170"/>
  <c r="AD30" i="170"/>
  <c r="Z30" i="170"/>
  <c r="Y30" i="170"/>
  <c r="X30" i="170"/>
  <c r="W30" i="170"/>
  <c r="V30" i="170"/>
  <c r="U30" i="170"/>
  <c r="T30" i="170"/>
  <c r="S30" i="170"/>
  <c r="R30" i="170"/>
  <c r="Q30" i="170"/>
  <c r="J30" i="170"/>
  <c r="AK29" i="170"/>
  <c r="AJ29" i="170"/>
  <c r="AI29" i="170"/>
  <c r="AH29" i="170"/>
  <c r="AG29" i="170"/>
  <c r="AF29" i="170"/>
  <c r="AE29" i="170"/>
  <c r="AD29" i="170"/>
  <c r="Z29" i="170"/>
  <c r="Y29" i="170"/>
  <c r="X29" i="170"/>
  <c r="W29" i="170"/>
  <c r="V29" i="170"/>
  <c r="U29" i="170"/>
  <c r="T29" i="170"/>
  <c r="S29" i="170"/>
  <c r="R29" i="170"/>
  <c r="Q29" i="170"/>
  <c r="J29" i="170"/>
  <c r="AK28" i="170"/>
  <c r="AJ28" i="170"/>
  <c r="AI28" i="170"/>
  <c r="AH28" i="170"/>
  <c r="AG28" i="170"/>
  <c r="AF28" i="170"/>
  <c r="AE28" i="170"/>
  <c r="AD28" i="170"/>
  <c r="Z28" i="170"/>
  <c r="Y28" i="170"/>
  <c r="X28" i="170"/>
  <c r="W28" i="170"/>
  <c r="V28" i="170"/>
  <c r="U28" i="170"/>
  <c r="T28" i="170"/>
  <c r="S28" i="170"/>
  <c r="R28" i="170"/>
  <c r="Q28" i="170"/>
  <c r="J28" i="170"/>
  <c r="AK27" i="170"/>
  <c r="AJ27" i="170"/>
  <c r="AI27" i="170"/>
  <c r="AH27" i="170"/>
  <c r="AG27" i="170"/>
  <c r="AF27" i="170"/>
  <c r="AE27" i="170"/>
  <c r="AD27" i="170"/>
  <c r="Z27" i="170"/>
  <c r="Y27" i="170"/>
  <c r="X27" i="170"/>
  <c r="W27" i="170"/>
  <c r="V27" i="170"/>
  <c r="U27" i="170"/>
  <c r="T27" i="170"/>
  <c r="S27" i="170"/>
  <c r="R27" i="170"/>
  <c r="Q27" i="170"/>
  <c r="J27" i="170"/>
  <c r="AK26" i="170"/>
  <c r="AJ26" i="170"/>
  <c r="AI26" i="170"/>
  <c r="AH26" i="170"/>
  <c r="AG26" i="170"/>
  <c r="AF26" i="170"/>
  <c r="AE26" i="170"/>
  <c r="AD26" i="170"/>
  <c r="Z26" i="170"/>
  <c r="Y26" i="170"/>
  <c r="X26" i="170"/>
  <c r="W26" i="170"/>
  <c r="V26" i="170"/>
  <c r="U26" i="170"/>
  <c r="T26" i="170"/>
  <c r="S26" i="170"/>
  <c r="R26" i="170"/>
  <c r="Q26" i="170"/>
  <c r="J26" i="170"/>
  <c r="AK25" i="170"/>
  <c r="AJ25" i="170"/>
  <c r="AI25" i="170"/>
  <c r="AH25" i="170"/>
  <c r="AG25" i="170"/>
  <c r="AF25" i="170"/>
  <c r="AE25" i="170"/>
  <c r="AD25" i="170"/>
  <c r="Z25" i="170"/>
  <c r="Y25" i="170"/>
  <c r="X25" i="170"/>
  <c r="W25" i="170"/>
  <c r="V25" i="170"/>
  <c r="U25" i="170"/>
  <c r="T25" i="170"/>
  <c r="S25" i="170"/>
  <c r="R25" i="170"/>
  <c r="Q25" i="170"/>
  <c r="J25" i="170"/>
  <c r="AK24" i="170"/>
  <c r="AJ24" i="170"/>
  <c r="AI24" i="170"/>
  <c r="AH24" i="170"/>
  <c r="AG24" i="170"/>
  <c r="AF24" i="170"/>
  <c r="AE24" i="170"/>
  <c r="AD24" i="170"/>
  <c r="Z24" i="170"/>
  <c r="Y24" i="170"/>
  <c r="X24" i="170"/>
  <c r="W24" i="170"/>
  <c r="V24" i="170"/>
  <c r="U24" i="170"/>
  <c r="T24" i="170"/>
  <c r="S24" i="170"/>
  <c r="R24" i="170"/>
  <c r="Q24" i="170"/>
  <c r="J24" i="170"/>
  <c r="AK23" i="170"/>
  <c r="AJ23" i="170"/>
  <c r="AI23" i="170"/>
  <c r="AH23" i="170"/>
  <c r="AG23" i="170"/>
  <c r="AF23" i="170"/>
  <c r="AE23" i="170"/>
  <c r="AD23" i="170"/>
  <c r="Z23" i="170"/>
  <c r="Y23" i="170"/>
  <c r="X23" i="170"/>
  <c r="W23" i="170"/>
  <c r="V23" i="170"/>
  <c r="U23" i="170"/>
  <c r="T23" i="170"/>
  <c r="S23" i="170"/>
  <c r="R23" i="170"/>
  <c r="Q23" i="170"/>
  <c r="J23" i="170"/>
  <c r="AK22" i="170"/>
  <c r="AJ22" i="170"/>
  <c r="AI22" i="170"/>
  <c r="AH22" i="170"/>
  <c r="AG22" i="170"/>
  <c r="AF22" i="170"/>
  <c r="AE22" i="170"/>
  <c r="AD22" i="170"/>
  <c r="Z22" i="170"/>
  <c r="Y22" i="170"/>
  <c r="X22" i="170"/>
  <c r="W22" i="170"/>
  <c r="V22" i="170"/>
  <c r="U22" i="170"/>
  <c r="T22" i="170"/>
  <c r="S22" i="170"/>
  <c r="R22" i="170"/>
  <c r="Q22" i="170"/>
  <c r="J22" i="170"/>
  <c r="AK21" i="170"/>
  <c r="AJ21" i="170"/>
  <c r="AI21" i="170"/>
  <c r="AH21" i="170"/>
  <c r="AG21" i="170"/>
  <c r="AF21" i="170"/>
  <c r="AE21" i="170"/>
  <c r="AD21" i="170"/>
  <c r="Z21" i="170"/>
  <c r="Y21" i="170"/>
  <c r="X21" i="170"/>
  <c r="W21" i="170"/>
  <c r="V21" i="170"/>
  <c r="U21" i="170"/>
  <c r="T21" i="170"/>
  <c r="S21" i="170"/>
  <c r="R21" i="170"/>
  <c r="Q21" i="170"/>
  <c r="J21" i="170"/>
  <c r="AK19" i="170"/>
  <c r="AJ19" i="170"/>
  <c r="AI19" i="170"/>
  <c r="AH19" i="170"/>
  <c r="AG19" i="170"/>
  <c r="AF19" i="170"/>
  <c r="AE19" i="170"/>
  <c r="AD19" i="170"/>
  <c r="Z19" i="170"/>
  <c r="Y19" i="170"/>
  <c r="X19" i="170"/>
  <c r="W19" i="170"/>
  <c r="V19" i="170"/>
  <c r="U19" i="170"/>
  <c r="T19" i="170"/>
  <c r="S19" i="170"/>
  <c r="R19" i="170"/>
  <c r="Q19" i="170"/>
  <c r="J19" i="170"/>
  <c r="AK18" i="170"/>
  <c r="AJ18" i="170"/>
  <c r="AI18" i="170"/>
  <c r="AH18" i="170"/>
  <c r="AG18" i="170"/>
  <c r="AF18" i="170"/>
  <c r="AE18" i="170"/>
  <c r="AD18" i="170"/>
  <c r="Z18" i="170"/>
  <c r="Y18" i="170"/>
  <c r="X18" i="170"/>
  <c r="W18" i="170"/>
  <c r="V18" i="170"/>
  <c r="U18" i="170"/>
  <c r="T18" i="170"/>
  <c r="S18" i="170"/>
  <c r="R18" i="170"/>
  <c r="Q18" i="170"/>
  <c r="J18" i="170"/>
  <c r="AK17" i="170"/>
  <c r="AJ17" i="170"/>
  <c r="AI17" i="170"/>
  <c r="AH17" i="170"/>
  <c r="AG17" i="170"/>
  <c r="AF17" i="170"/>
  <c r="AE17" i="170"/>
  <c r="AD17" i="170"/>
  <c r="Z17" i="170"/>
  <c r="Y17" i="170"/>
  <c r="X17" i="170"/>
  <c r="W17" i="170"/>
  <c r="V17" i="170"/>
  <c r="U17" i="170"/>
  <c r="T17" i="170"/>
  <c r="S17" i="170"/>
  <c r="R17" i="170"/>
  <c r="Q17" i="170"/>
  <c r="J17" i="170"/>
  <c r="AK16" i="170"/>
  <c r="AJ16" i="170"/>
  <c r="AI16" i="170"/>
  <c r="AH16" i="170"/>
  <c r="AG16" i="170"/>
  <c r="AF16" i="170"/>
  <c r="AE16" i="170"/>
  <c r="AD16" i="170"/>
  <c r="Z16" i="170"/>
  <c r="Y16" i="170"/>
  <c r="X16" i="170"/>
  <c r="W16" i="170"/>
  <c r="V16" i="170"/>
  <c r="U16" i="170"/>
  <c r="T16" i="170"/>
  <c r="S16" i="170"/>
  <c r="R16" i="170"/>
  <c r="Q16" i="170"/>
  <c r="J16" i="170"/>
  <c r="AK15" i="170"/>
  <c r="AJ15" i="170"/>
  <c r="AI15" i="170"/>
  <c r="AH15" i="170"/>
  <c r="AG15" i="170"/>
  <c r="AF15" i="170"/>
  <c r="AE15" i="170"/>
  <c r="AD15" i="170"/>
  <c r="Z15" i="170"/>
  <c r="Y15" i="170"/>
  <c r="X15" i="170"/>
  <c r="W15" i="170"/>
  <c r="V15" i="170"/>
  <c r="U15" i="170"/>
  <c r="T15" i="170"/>
  <c r="S15" i="170"/>
  <c r="R15" i="170"/>
  <c r="Q15" i="170"/>
  <c r="J15" i="170"/>
  <c r="AK14" i="170"/>
  <c r="AJ14" i="170"/>
  <c r="AI14" i="170"/>
  <c r="AH14" i="170"/>
  <c r="AG14" i="170"/>
  <c r="AF14" i="170"/>
  <c r="AE14" i="170"/>
  <c r="AD14" i="170"/>
  <c r="Z14" i="170"/>
  <c r="Y14" i="170"/>
  <c r="X14" i="170"/>
  <c r="W14" i="170"/>
  <c r="V14" i="170"/>
  <c r="U14" i="170"/>
  <c r="T14" i="170"/>
  <c r="S14" i="170"/>
  <c r="R14" i="170"/>
  <c r="Q14" i="170"/>
  <c r="J14" i="170"/>
  <c r="AK13" i="170"/>
  <c r="AJ13" i="170"/>
  <c r="AI13" i="170"/>
  <c r="AH13" i="170"/>
  <c r="AG13" i="170"/>
  <c r="AF13" i="170"/>
  <c r="AE13" i="170"/>
  <c r="AD13" i="170"/>
  <c r="Z13" i="170"/>
  <c r="Y13" i="170"/>
  <c r="X13" i="170"/>
  <c r="W13" i="170"/>
  <c r="V13" i="170"/>
  <c r="U13" i="170"/>
  <c r="T13" i="170"/>
  <c r="S13" i="170"/>
  <c r="R13" i="170"/>
  <c r="Q13" i="170"/>
  <c r="J13" i="170"/>
  <c r="AK12" i="170"/>
  <c r="AJ12" i="170"/>
  <c r="AI12" i="170"/>
  <c r="AH12" i="170"/>
  <c r="AG12" i="170"/>
  <c r="AF12" i="170"/>
  <c r="AE12" i="170"/>
  <c r="AD12" i="170"/>
  <c r="Z12" i="170"/>
  <c r="Y12" i="170"/>
  <c r="X12" i="170"/>
  <c r="W12" i="170"/>
  <c r="V12" i="170"/>
  <c r="U12" i="170"/>
  <c r="T12" i="170"/>
  <c r="S12" i="170"/>
  <c r="R12" i="170"/>
  <c r="Q12" i="170"/>
  <c r="J12" i="170"/>
  <c r="AK11" i="170"/>
  <c r="AJ11" i="170"/>
  <c r="AI11" i="170"/>
  <c r="AH11" i="170"/>
  <c r="AG11" i="170"/>
  <c r="AF11" i="170"/>
  <c r="AE11" i="170"/>
  <c r="AD11" i="170"/>
  <c r="Z11" i="170"/>
  <c r="Y11" i="170"/>
  <c r="X11" i="170"/>
  <c r="W11" i="170"/>
  <c r="V11" i="170"/>
  <c r="U11" i="170"/>
  <c r="T11" i="170"/>
  <c r="S11" i="170"/>
  <c r="R11" i="170"/>
  <c r="Q11" i="170"/>
  <c r="J11" i="170"/>
  <c r="AK10" i="170"/>
  <c r="AJ10" i="170"/>
  <c r="AI10" i="170"/>
  <c r="AH10" i="170"/>
  <c r="AG10" i="170"/>
  <c r="AF10" i="170"/>
  <c r="AE10" i="170"/>
  <c r="AD10" i="170"/>
  <c r="Z10" i="170"/>
  <c r="Y10" i="170"/>
  <c r="X10" i="170"/>
  <c r="W10" i="170"/>
  <c r="V10" i="170"/>
  <c r="U10" i="170"/>
  <c r="T10" i="170"/>
  <c r="S10" i="170"/>
  <c r="R10" i="170"/>
  <c r="Q10" i="170"/>
  <c r="J10" i="170"/>
  <c r="AK9" i="170"/>
  <c r="AJ9" i="170"/>
  <c r="AI9" i="170"/>
  <c r="AH9" i="170"/>
  <c r="AG9" i="170"/>
  <c r="AF9" i="170"/>
  <c r="AE9" i="170"/>
  <c r="AD9" i="170"/>
  <c r="Z9" i="170"/>
  <c r="Y9" i="170"/>
  <c r="X9" i="170"/>
  <c r="W9" i="170"/>
  <c r="V9" i="170"/>
  <c r="U9" i="170"/>
  <c r="T9" i="170"/>
  <c r="S9" i="170"/>
  <c r="R9" i="170"/>
  <c r="Q9" i="170"/>
  <c r="J9" i="170"/>
  <c r="AK8" i="170"/>
  <c r="AJ8" i="170"/>
  <c r="AI8" i="170"/>
  <c r="AH8" i="170"/>
  <c r="AG8" i="170"/>
  <c r="AF8" i="170"/>
  <c r="AE8" i="170"/>
  <c r="AD8" i="170"/>
  <c r="Z8" i="170"/>
  <c r="Y8" i="170"/>
  <c r="X8" i="170"/>
  <c r="W8" i="170"/>
  <c r="V8" i="170"/>
  <c r="U8" i="170"/>
  <c r="T8" i="170"/>
  <c r="S8" i="170"/>
  <c r="R8" i="170"/>
  <c r="Q8" i="170"/>
  <c r="J8" i="170"/>
  <c r="AK7" i="170"/>
  <c r="AJ7" i="170"/>
  <c r="AI7" i="170"/>
  <c r="AH7" i="170"/>
  <c r="AG7" i="170"/>
  <c r="AF7" i="170"/>
  <c r="AE7" i="170"/>
  <c r="AD7" i="170"/>
  <c r="Z7" i="170"/>
  <c r="Y7" i="170"/>
  <c r="X7" i="170"/>
  <c r="W7" i="170"/>
  <c r="V7" i="170"/>
  <c r="U7" i="170"/>
  <c r="T7" i="170"/>
  <c r="S7" i="170"/>
  <c r="R7" i="170"/>
  <c r="Q7" i="170"/>
  <c r="J7" i="170"/>
  <c r="AL6" i="170"/>
  <c r="AL44" i="170" s="1"/>
  <c r="AK6" i="170"/>
  <c r="AJ6" i="170"/>
  <c r="AI6" i="170"/>
  <c r="AH6" i="170"/>
  <c r="AG6" i="170"/>
  <c r="AF6" i="170"/>
  <c r="AE6" i="170"/>
  <c r="AD6" i="170"/>
  <c r="Z6" i="170"/>
  <c r="Y6" i="170"/>
  <c r="X6" i="170"/>
  <c r="W6" i="170"/>
  <c r="V6" i="170"/>
  <c r="U6" i="170"/>
  <c r="T6" i="170"/>
  <c r="S6" i="170"/>
  <c r="R6" i="170"/>
  <c r="Q6" i="170"/>
  <c r="K6" i="170"/>
  <c r="J6" i="170"/>
  <c r="E15" i="166"/>
  <c r="E15" i="170"/>
  <c r="E16" i="170"/>
  <c r="E17" i="170"/>
  <c r="E18" i="170"/>
  <c r="E19" i="170"/>
  <c r="E21" i="170"/>
  <c r="E22" i="170"/>
  <c r="E23" i="170"/>
  <c r="E24" i="170"/>
  <c r="E25" i="170"/>
  <c r="E26" i="170"/>
  <c r="E27" i="170"/>
  <c r="E28" i="170"/>
  <c r="E29" i="170"/>
  <c r="E30" i="170"/>
  <c r="E31" i="170"/>
  <c r="E32" i="170"/>
  <c r="E33" i="170"/>
  <c r="E34" i="170"/>
  <c r="E35" i="170"/>
  <c r="E36" i="170"/>
  <c r="E37" i="170"/>
  <c r="E38" i="170"/>
  <c r="E39" i="170"/>
  <c r="E40" i="170"/>
  <c r="E41" i="170"/>
  <c r="E42" i="170"/>
  <c r="E12" i="170"/>
  <c r="E13" i="170"/>
  <c r="E14" i="170"/>
  <c r="E8" i="170"/>
  <c r="E9" i="170"/>
  <c r="E10" i="170"/>
  <c r="E11" i="170"/>
  <c r="E7" i="170"/>
  <c r="AA44" i="170"/>
  <c r="D44" i="170"/>
  <c r="C44" i="170"/>
  <c r="B42" i="170"/>
  <c r="B41" i="170"/>
  <c r="B40" i="170"/>
  <c r="B39" i="170"/>
  <c r="B38" i="170"/>
  <c r="B37" i="170"/>
  <c r="B36" i="170"/>
  <c r="B35" i="170"/>
  <c r="B34" i="170"/>
  <c r="B33" i="170"/>
  <c r="B32" i="170"/>
  <c r="B31" i="170"/>
  <c r="B30" i="170"/>
  <c r="B29" i="170"/>
  <c r="B28" i="170"/>
  <c r="B27" i="170"/>
  <c r="B26" i="170"/>
  <c r="B25" i="170"/>
  <c r="B24" i="170"/>
  <c r="B23" i="170"/>
  <c r="B22" i="170"/>
  <c r="B21" i="170"/>
  <c r="B19" i="170"/>
  <c r="B18" i="170"/>
  <c r="B17" i="170"/>
  <c r="B16" i="170"/>
  <c r="B15" i="170"/>
  <c r="B14" i="170"/>
  <c r="B13" i="170"/>
  <c r="B12" i="170"/>
  <c r="B11" i="170"/>
  <c r="B10" i="170"/>
  <c r="B9" i="170"/>
  <c r="B8" i="170"/>
  <c r="B7" i="170"/>
  <c r="B6" i="170"/>
  <c r="B15" i="168"/>
  <c r="E15" i="186" l="1"/>
  <c r="T18" i="186"/>
  <c r="T18" i="185"/>
  <c r="E15" i="185"/>
  <c r="O6" i="171"/>
  <c r="AL44" i="171"/>
  <c r="U44" i="171"/>
  <c r="AD44" i="171"/>
  <c r="AE44" i="171"/>
  <c r="X44" i="171"/>
  <c r="Q44" i="171"/>
  <c r="Y44" i="171"/>
  <c r="AH44" i="171"/>
  <c r="R44" i="171"/>
  <c r="AI44" i="171"/>
  <c r="AK44" i="171"/>
  <c r="V44" i="171"/>
  <c r="AF44" i="171"/>
  <c r="AG44" i="171"/>
  <c r="Z44" i="171"/>
  <c r="S44" i="171"/>
  <c r="AJ44" i="171"/>
  <c r="T44" i="171"/>
  <c r="J44" i="171"/>
  <c r="E44" i="171"/>
  <c r="N6" i="171"/>
  <c r="L6" i="171"/>
  <c r="M6" i="171"/>
  <c r="T44" i="170"/>
  <c r="AE44" i="170"/>
  <c r="AF44" i="170"/>
  <c r="AG44" i="170"/>
  <c r="X44" i="170"/>
  <c r="Q44" i="170"/>
  <c r="Y44" i="170"/>
  <c r="AH44" i="170"/>
  <c r="Z44" i="170"/>
  <c r="AI44" i="170"/>
  <c r="S44" i="170"/>
  <c r="AJ44" i="170"/>
  <c r="AK44" i="170"/>
  <c r="U44" i="170"/>
  <c r="AD44" i="170"/>
  <c r="V44" i="170"/>
  <c r="R44" i="170"/>
  <c r="J44" i="170"/>
  <c r="E44" i="170"/>
  <c r="M6" i="170"/>
  <c r="L6" i="170"/>
  <c r="N6" i="170"/>
  <c r="O6" i="170"/>
  <c r="B7" i="166" l="1"/>
  <c r="B8" i="166"/>
  <c r="B9" i="166"/>
  <c r="B10" i="166"/>
  <c r="B11" i="166"/>
  <c r="B12" i="166"/>
  <c r="B13" i="166"/>
  <c r="B14" i="166"/>
  <c r="B15" i="166"/>
  <c r="B16" i="166"/>
  <c r="B17" i="166"/>
  <c r="B18" i="166"/>
  <c r="B19" i="166"/>
  <c r="B21" i="166"/>
  <c r="B22" i="166"/>
  <c r="B23" i="166"/>
  <c r="B24" i="166"/>
  <c r="B25" i="166"/>
  <c r="B26" i="166"/>
  <c r="B27" i="166"/>
  <c r="B28" i="166"/>
  <c r="B29" i="166"/>
  <c r="B30" i="166"/>
  <c r="B31" i="166"/>
  <c r="B32" i="166"/>
  <c r="B33" i="166"/>
  <c r="B34" i="166"/>
  <c r="B35" i="166"/>
  <c r="B36" i="166"/>
  <c r="B37" i="166"/>
  <c r="B38" i="166"/>
  <c r="B39" i="166"/>
  <c r="B40" i="166"/>
  <c r="B41" i="166"/>
  <c r="B42" i="166"/>
  <c r="B6" i="166"/>
  <c r="AL16" i="168"/>
  <c r="AK16" i="168"/>
  <c r="AJ16" i="168"/>
  <c r="AI16" i="168"/>
  <c r="AH16" i="168"/>
  <c r="AG16" i="168"/>
  <c r="AF16" i="168"/>
  <c r="AE16" i="168"/>
  <c r="AD16" i="168"/>
  <c r="AC16" i="168"/>
  <c r="AB16" i="168"/>
  <c r="Z16" i="168"/>
  <c r="Y16" i="168"/>
  <c r="X16" i="168"/>
  <c r="W16" i="168"/>
  <c r="V16" i="168"/>
  <c r="U16" i="168"/>
  <c r="R16" i="168"/>
  <c r="Q16" i="168"/>
  <c r="P16" i="168"/>
  <c r="K16" i="168"/>
  <c r="M16" i="168" s="1"/>
  <c r="D16" i="185"/>
  <c r="B16" i="168"/>
  <c r="AK15" i="166"/>
  <c r="AJ15" i="166"/>
  <c r="AI15" i="166"/>
  <c r="AH15" i="166"/>
  <c r="AG15" i="166"/>
  <c r="AF15" i="166"/>
  <c r="AE15" i="166"/>
  <c r="AD15" i="166"/>
  <c r="Z15" i="166"/>
  <c r="Y15" i="166"/>
  <c r="X15" i="166"/>
  <c r="W15" i="166"/>
  <c r="V15" i="166"/>
  <c r="U15" i="166"/>
  <c r="T15" i="166"/>
  <c r="S15" i="166"/>
  <c r="R15" i="166"/>
  <c r="Q15" i="166"/>
  <c r="P15" i="166"/>
  <c r="J15" i="166"/>
  <c r="AI15" i="185" l="1"/>
  <c r="AI15" i="186"/>
  <c r="Q15" i="185"/>
  <c r="Q15" i="186"/>
  <c r="Y15" i="185"/>
  <c r="Y15" i="186"/>
  <c r="AJ15" i="185"/>
  <c r="AJ15" i="186"/>
  <c r="V15" i="186"/>
  <c r="AH15" i="185"/>
  <c r="AH15" i="186"/>
  <c r="AK15" i="185"/>
  <c r="AK15" i="186"/>
  <c r="J15" i="185"/>
  <c r="J15" i="186"/>
  <c r="Z15" i="185"/>
  <c r="Z15" i="186"/>
  <c r="S15" i="185"/>
  <c r="S15" i="186"/>
  <c r="W15" i="186" s="1"/>
  <c r="AD15" i="185"/>
  <c r="AD15" i="186"/>
  <c r="R15" i="185"/>
  <c r="R15" i="186"/>
  <c r="T15" i="186"/>
  <c r="AE15" i="185"/>
  <c r="AE15" i="186"/>
  <c r="AG15" i="185"/>
  <c r="AG15" i="186"/>
  <c r="U15" i="186"/>
  <c r="AF15" i="185"/>
  <c r="AF15" i="186"/>
  <c r="T15" i="185"/>
  <c r="U15" i="185"/>
  <c r="V15" i="185"/>
  <c r="N16" i="168"/>
  <c r="O16" i="168"/>
  <c r="W15" i="185" l="1"/>
  <c r="L16" i="168"/>
  <c r="W7" i="166" l="1"/>
  <c r="W8" i="166"/>
  <c r="W9" i="166"/>
  <c r="W10" i="166"/>
  <c r="W11" i="166"/>
  <c r="W12" i="166"/>
  <c r="W13" i="166"/>
  <c r="W14" i="166"/>
  <c r="W16" i="166"/>
  <c r="W17" i="166"/>
  <c r="W18" i="166"/>
  <c r="W19" i="166"/>
  <c r="W21" i="166"/>
  <c r="W22" i="166"/>
  <c r="W23" i="166"/>
  <c r="W24" i="166"/>
  <c r="W25" i="166"/>
  <c r="W26" i="166"/>
  <c r="W27" i="166"/>
  <c r="W28" i="166"/>
  <c r="W29" i="166"/>
  <c r="W30" i="166"/>
  <c r="W31" i="166"/>
  <c r="W32" i="166"/>
  <c r="W33" i="166"/>
  <c r="W34" i="166"/>
  <c r="W35" i="166"/>
  <c r="W36" i="166"/>
  <c r="W37" i="166"/>
  <c r="W38" i="166"/>
  <c r="W39" i="166"/>
  <c r="W40" i="166"/>
  <c r="W41" i="166"/>
  <c r="W42" i="166"/>
  <c r="W6" i="166"/>
  <c r="S7" i="168"/>
  <c r="K8" i="168"/>
  <c r="M8" i="168" s="1"/>
  <c r="K9" i="168"/>
  <c r="K10" i="168"/>
  <c r="M10" i="168" s="1"/>
  <c r="K11" i="168"/>
  <c r="K12" i="168"/>
  <c r="M12" i="168" s="1"/>
  <c r="K13" i="168"/>
  <c r="M13" i="168" s="1"/>
  <c r="K14" i="168"/>
  <c r="M14" i="168" s="1"/>
  <c r="K17" i="168"/>
  <c r="M17" i="168" s="1"/>
  <c r="K18" i="168"/>
  <c r="K19" i="168"/>
  <c r="M19" i="168" s="1"/>
  <c r="K7" i="168"/>
  <c r="L21" i="168"/>
  <c r="L22" i="168"/>
  <c r="L36" i="168"/>
  <c r="L38" i="168"/>
  <c r="E7" i="168"/>
  <c r="E6" i="168"/>
  <c r="D31" i="185"/>
  <c r="D38" i="185"/>
  <c r="D8" i="185"/>
  <c r="D9" i="185"/>
  <c r="D10" i="185"/>
  <c r="D11" i="185"/>
  <c r="D12" i="185"/>
  <c r="D13" i="185"/>
  <c r="D14" i="185"/>
  <c r="D17" i="185"/>
  <c r="D18" i="185"/>
  <c r="D19" i="185"/>
  <c r="D21" i="185"/>
  <c r="D22" i="185"/>
  <c r="D23" i="185"/>
  <c r="D24" i="185"/>
  <c r="D25" i="185"/>
  <c r="D26" i="185"/>
  <c r="D27" i="185"/>
  <c r="D28" i="185"/>
  <c r="D29" i="185"/>
  <c r="D30" i="185"/>
  <c r="D32" i="185"/>
  <c r="D34" i="185"/>
  <c r="D35" i="185"/>
  <c r="D36" i="185"/>
  <c r="D37" i="185"/>
  <c r="D39" i="185"/>
  <c r="D40" i="185"/>
  <c r="D42" i="185"/>
  <c r="D41" i="185"/>
  <c r="D7" i="185"/>
  <c r="D6" i="168"/>
  <c r="B42" i="168"/>
  <c r="B41" i="168"/>
  <c r="B40" i="168"/>
  <c r="B39" i="168"/>
  <c r="B38" i="168"/>
  <c r="B37" i="168"/>
  <c r="B36" i="168"/>
  <c r="B35" i="168"/>
  <c r="B34" i="168"/>
  <c r="B33" i="168"/>
  <c r="B32" i="168"/>
  <c r="B31" i="168"/>
  <c r="B30" i="168"/>
  <c r="B29" i="168"/>
  <c r="B28" i="168"/>
  <c r="B27" i="168"/>
  <c r="B26" i="168"/>
  <c r="B25" i="168"/>
  <c r="B24" i="168"/>
  <c r="B23" i="168"/>
  <c r="B22" i="168"/>
  <c r="B21" i="168"/>
  <c r="B19" i="168"/>
  <c r="B18" i="168"/>
  <c r="B17" i="168"/>
  <c r="B14" i="168"/>
  <c r="B13" i="168"/>
  <c r="B12" i="168"/>
  <c r="B11" i="168"/>
  <c r="B10" i="168"/>
  <c r="B9" i="168"/>
  <c r="B8" i="168"/>
  <c r="B7" i="168"/>
  <c r="B6" i="168"/>
  <c r="AA44" i="168"/>
  <c r="AL39" i="168"/>
  <c r="AK39" i="168"/>
  <c r="AJ39" i="168"/>
  <c r="AI39" i="168"/>
  <c r="AH39" i="168"/>
  <c r="AG39" i="168"/>
  <c r="AF39" i="168"/>
  <c r="AE39" i="168"/>
  <c r="AD39" i="168"/>
  <c r="AC39" i="168"/>
  <c r="AB39" i="168"/>
  <c r="Z39" i="168"/>
  <c r="Y39" i="168"/>
  <c r="X39" i="168"/>
  <c r="W39" i="168"/>
  <c r="V39" i="168"/>
  <c r="U39" i="168"/>
  <c r="R39" i="168"/>
  <c r="Q39" i="168"/>
  <c r="P39" i="168"/>
  <c r="K39" i="168"/>
  <c r="AK37" i="168"/>
  <c r="AJ37" i="168"/>
  <c r="AI37" i="168"/>
  <c r="AH37" i="168"/>
  <c r="AG37" i="168"/>
  <c r="AF37" i="168"/>
  <c r="AE37" i="168"/>
  <c r="AD37" i="168"/>
  <c r="AC37" i="168"/>
  <c r="AB37" i="168"/>
  <c r="Z37" i="168"/>
  <c r="Y37" i="168"/>
  <c r="X37" i="168"/>
  <c r="W37" i="168"/>
  <c r="V37" i="168"/>
  <c r="U37" i="168"/>
  <c r="R37" i="168"/>
  <c r="Q37" i="168"/>
  <c r="P37" i="168"/>
  <c r="K37" i="168"/>
  <c r="M37" i="168" s="1"/>
  <c r="AL35" i="168"/>
  <c r="AK35" i="168"/>
  <c r="AJ35" i="168"/>
  <c r="AI35" i="168"/>
  <c r="AH35" i="168"/>
  <c r="AG35" i="168"/>
  <c r="AF35" i="168"/>
  <c r="AE35" i="168"/>
  <c r="AD35" i="168"/>
  <c r="AC35" i="168"/>
  <c r="AB35" i="168"/>
  <c r="Z35" i="168"/>
  <c r="Y35" i="168"/>
  <c r="X35" i="168"/>
  <c r="W35" i="168"/>
  <c r="V35" i="168"/>
  <c r="U35" i="168"/>
  <c r="R35" i="168"/>
  <c r="Q35" i="168"/>
  <c r="P35" i="168"/>
  <c r="K35" i="168"/>
  <c r="AL34" i="168"/>
  <c r="AK34" i="168"/>
  <c r="AJ34" i="168"/>
  <c r="AI34" i="168"/>
  <c r="AH34" i="168"/>
  <c r="AG34" i="168"/>
  <c r="AF34" i="168"/>
  <c r="AE34" i="168"/>
  <c r="AD34" i="168"/>
  <c r="AC34" i="168"/>
  <c r="AB34" i="168"/>
  <c r="Z34" i="168"/>
  <c r="Y34" i="168"/>
  <c r="X34" i="168"/>
  <c r="W34" i="168"/>
  <c r="V34" i="168"/>
  <c r="U34" i="168"/>
  <c r="R34" i="168"/>
  <c r="Q34" i="168"/>
  <c r="P34" i="168"/>
  <c r="K34" i="168"/>
  <c r="AL32" i="168"/>
  <c r="AK32" i="168"/>
  <c r="AJ32" i="168"/>
  <c r="AI32" i="168"/>
  <c r="AH32" i="168"/>
  <c r="AG32" i="168"/>
  <c r="AF32" i="168"/>
  <c r="AE32" i="168"/>
  <c r="AD32" i="168"/>
  <c r="AC32" i="168"/>
  <c r="AB32" i="168"/>
  <c r="Z32" i="168"/>
  <c r="Y32" i="168"/>
  <c r="X32" i="168"/>
  <c r="W32" i="168"/>
  <c r="V32" i="168"/>
  <c r="U32" i="168"/>
  <c r="R32" i="168"/>
  <c r="Q32" i="168"/>
  <c r="P32" i="168"/>
  <c r="K32" i="168"/>
  <c r="AK31" i="168"/>
  <c r="AJ31" i="168"/>
  <c r="AI31" i="168"/>
  <c r="AH31" i="168"/>
  <c r="AG31" i="168"/>
  <c r="AF31" i="168"/>
  <c r="AE31" i="168"/>
  <c r="AD31" i="168"/>
  <c r="AC31" i="168"/>
  <c r="AB31" i="168"/>
  <c r="Z31" i="168"/>
  <c r="Y31" i="168"/>
  <c r="X31" i="168"/>
  <c r="W31" i="168"/>
  <c r="V31" i="168"/>
  <c r="U31" i="168"/>
  <c r="R31" i="168"/>
  <c r="Q31" i="168"/>
  <c r="P31" i="168"/>
  <c r="K31" i="168"/>
  <c r="AL30" i="168"/>
  <c r="AK30" i="168"/>
  <c r="AJ30" i="168"/>
  <c r="AI30" i="168"/>
  <c r="AH30" i="168"/>
  <c r="AG30" i="168"/>
  <c r="AF30" i="168"/>
  <c r="AE30" i="168"/>
  <c r="AD30" i="168"/>
  <c r="AC30" i="168"/>
  <c r="AB30" i="168"/>
  <c r="Z30" i="168"/>
  <c r="Y30" i="168"/>
  <c r="X30" i="168"/>
  <c r="W30" i="168"/>
  <c r="V30" i="168"/>
  <c r="U30" i="168"/>
  <c r="R30" i="168"/>
  <c r="Q30" i="168"/>
  <c r="P30" i="168"/>
  <c r="K30" i="168"/>
  <c r="AL29" i="168"/>
  <c r="AK29" i="168"/>
  <c r="AJ29" i="168"/>
  <c r="AI29" i="168"/>
  <c r="AH29" i="168"/>
  <c r="AG29" i="168"/>
  <c r="AF29" i="168"/>
  <c r="AE29" i="168"/>
  <c r="AD29" i="168"/>
  <c r="AC29" i="168"/>
  <c r="AB29" i="168"/>
  <c r="Z29" i="168"/>
  <c r="Y29" i="168"/>
  <c r="X29" i="168"/>
  <c r="W29" i="168"/>
  <c r="V29" i="168"/>
  <c r="U29" i="168"/>
  <c r="R29" i="168"/>
  <c r="Q29" i="168"/>
  <c r="P29" i="168"/>
  <c r="K29" i="168"/>
  <c r="AL28" i="168"/>
  <c r="AK28" i="168"/>
  <c r="AJ28" i="168"/>
  <c r="AI28" i="168"/>
  <c r="AH28" i="168"/>
  <c r="AG28" i="168"/>
  <c r="AF28" i="168"/>
  <c r="AE28" i="168"/>
  <c r="AD28" i="168"/>
  <c r="AC28" i="168"/>
  <c r="AB28" i="168"/>
  <c r="Z28" i="168"/>
  <c r="Y28" i="168"/>
  <c r="X28" i="168"/>
  <c r="W28" i="168"/>
  <c r="V28" i="168"/>
  <c r="U28" i="168"/>
  <c r="R28" i="168"/>
  <c r="Q28" i="168"/>
  <c r="P28" i="168"/>
  <c r="K28" i="168"/>
  <c r="AL27" i="168"/>
  <c r="AK27" i="168"/>
  <c r="AJ27" i="168"/>
  <c r="AI27" i="168"/>
  <c r="AH27" i="168"/>
  <c r="AG27" i="168"/>
  <c r="AF27" i="168"/>
  <c r="AE27" i="168"/>
  <c r="AD27" i="168"/>
  <c r="AC27" i="168"/>
  <c r="AB27" i="168"/>
  <c r="Z27" i="168"/>
  <c r="Y27" i="168"/>
  <c r="X27" i="168"/>
  <c r="W27" i="168"/>
  <c r="V27" i="168"/>
  <c r="U27" i="168"/>
  <c r="R27" i="168"/>
  <c r="Q27" i="168"/>
  <c r="P27" i="168"/>
  <c r="K27" i="168"/>
  <c r="M27" i="168" s="1"/>
  <c r="AL26" i="168"/>
  <c r="AK26" i="168"/>
  <c r="AJ26" i="168"/>
  <c r="AI26" i="168"/>
  <c r="AH26" i="168"/>
  <c r="AG26" i="168"/>
  <c r="AF26" i="168"/>
  <c r="AE26" i="168"/>
  <c r="AD26" i="168"/>
  <c r="AC26" i="168"/>
  <c r="AB26" i="168"/>
  <c r="Z26" i="168"/>
  <c r="Y26" i="168"/>
  <c r="X26" i="168"/>
  <c r="W26" i="168"/>
  <c r="V26" i="168"/>
  <c r="U26" i="168"/>
  <c r="R26" i="168"/>
  <c r="Q26" i="168"/>
  <c r="P26" i="168"/>
  <c r="K26" i="168"/>
  <c r="AL25" i="168"/>
  <c r="AK25" i="168"/>
  <c r="AJ25" i="168"/>
  <c r="AI25" i="168"/>
  <c r="AH25" i="168"/>
  <c r="AG25" i="168"/>
  <c r="AF25" i="168"/>
  <c r="AE25" i="168"/>
  <c r="AD25" i="168"/>
  <c r="AC25" i="168"/>
  <c r="AB25" i="168"/>
  <c r="Z25" i="168"/>
  <c r="Y25" i="168"/>
  <c r="X25" i="168"/>
  <c r="W25" i="168"/>
  <c r="V25" i="168"/>
  <c r="U25" i="168"/>
  <c r="R25" i="168"/>
  <c r="Q25" i="168"/>
  <c r="P25" i="168"/>
  <c r="K25" i="168"/>
  <c r="AL24" i="168"/>
  <c r="AK24" i="168"/>
  <c r="AJ24" i="168"/>
  <c r="AI24" i="168"/>
  <c r="AH24" i="168"/>
  <c r="AG24" i="168"/>
  <c r="AF24" i="168"/>
  <c r="AE24" i="168"/>
  <c r="AD24" i="168"/>
  <c r="AC24" i="168"/>
  <c r="AB24" i="168"/>
  <c r="Z24" i="168"/>
  <c r="Y24" i="168"/>
  <c r="X24" i="168"/>
  <c r="W24" i="168"/>
  <c r="V24" i="168"/>
  <c r="U24" i="168"/>
  <c r="R24" i="168"/>
  <c r="Q24" i="168"/>
  <c r="P24" i="168"/>
  <c r="K24" i="168"/>
  <c r="M24" i="168" s="1"/>
  <c r="AL23" i="168"/>
  <c r="AK23" i="168"/>
  <c r="AJ23" i="168"/>
  <c r="AI23" i="168"/>
  <c r="AH23" i="168"/>
  <c r="AG23" i="168"/>
  <c r="AF23" i="168"/>
  <c r="AE23" i="168"/>
  <c r="AD23" i="168"/>
  <c r="AC23" i="168"/>
  <c r="AB23" i="168"/>
  <c r="Z23" i="168"/>
  <c r="Y23" i="168"/>
  <c r="X23" i="168"/>
  <c r="W23" i="168"/>
  <c r="V23" i="168"/>
  <c r="U23" i="168"/>
  <c r="R23" i="168"/>
  <c r="Q23" i="168"/>
  <c r="P23" i="168"/>
  <c r="K23" i="168"/>
  <c r="AL19" i="168"/>
  <c r="AK19" i="168"/>
  <c r="AJ19" i="168"/>
  <c r="AI19" i="168"/>
  <c r="AH19" i="168"/>
  <c r="AG19" i="168"/>
  <c r="AF19" i="168"/>
  <c r="AE19" i="168"/>
  <c r="AD19" i="168"/>
  <c r="AC19" i="168"/>
  <c r="AB19" i="168"/>
  <c r="Z19" i="168"/>
  <c r="Y19" i="168"/>
  <c r="X19" i="168"/>
  <c r="W19" i="168"/>
  <c r="V19" i="168"/>
  <c r="U19" i="168"/>
  <c r="R19" i="168"/>
  <c r="Q19" i="168"/>
  <c r="P19" i="168"/>
  <c r="AL18" i="168"/>
  <c r="AK18" i="168"/>
  <c r="AJ18" i="168"/>
  <c r="AI18" i="168"/>
  <c r="AH18" i="168"/>
  <c r="AG18" i="168"/>
  <c r="AF18" i="168"/>
  <c r="AE18" i="168"/>
  <c r="AD18" i="168"/>
  <c r="AC18" i="168"/>
  <c r="AB18" i="168"/>
  <c r="Z18" i="168"/>
  <c r="Y18" i="168"/>
  <c r="X18" i="168"/>
  <c r="W18" i="168"/>
  <c r="V18" i="168"/>
  <c r="U18" i="168"/>
  <c r="R18" i="168"/>
  <c r="Q18" i="168"/>
  <c r="P18" i="168"/>
  <c r="AL17" i="168"/>
  <c r="AK17" i="168"/>
  <c r="AJ17" i="168"/>
  <c r="AI17" i="168"/>
  <c r="AH17" i="168"/>
  <c r="AG17" i="168"/>
  <c r="AF17" i="168"/>
  <c r="AE17" i="168"/>
  <c r="AD17" i="168"/>
  <c r="AC17" i="168"/>
  <c r="AB17" i="168"/>
  <c r="Z17" i="168"/>
  <c r="Y17" i="168"/>
  <c r="X17" i="168"/>
  <c r="W17" i="168"/>
  <c r="V17" i="168"/>
  <c r="U17" i="168"/>
  <c r="R17" i="168"/>
  <c r="Q17" i="168"/>
  <c r="P17" i="168"/>
  <c r="O17" i="168"/>
  <c r="N17" i="168"/>
  <c r="AL14" i="168"/>
  <c r="AK14" i="168"/>
  <c r="AJ14" i="168"/>
  <c r="AI14" i="168"/>
  <c r="AH14" i="168"/>
  <c r="AG14" i="168"/>
  <c r="AF14" i="168"/>
  <c r="AE14" i="168"/>
  <c r="AD14" i="168"/>
  <c r="AC14" i="168"/>
  <c r="AB14" i="168"/>
  <c r="Z14" i="168"/>
  <c r="Y14" i="168"/>
  <c r="X14" i="168"/>
  <c r="W14" i="168"/>
  <c r="V14" i="168"/>
  <c r="U14" i="168"/>
  <c r="R14" i="168"/>
  <c r="Q14" i="168"/>
  <c r="P14" i="168"/>
  <c r="O14" i="168"/>
  <c r="AL13" i="168"/>
  <c r="AK13" i="168"/>
  <c r="AJ13" i="168"/>
  <c r="AI13" i="168"/>
  <c r="AH13" i="168"/>
  <c r="AG13" i="168"/>
  <c r="AF13" i="168"/>
  <c r="AE13" i="168"/>
  <c r="AD13" i="168"/>
  <c r="AC13" i="168"/>
  <c r="AB13" i="168"/>
  <c r="Z13" i="168"/>
  <c r="Y13" i="168"/>
  <c r="X13" i="168"/>
  <c r="W13" i="168"/>
  <c r="V13" i="168"/>
  <c r="U13" i="168"/>
  <c r="R13" i="168"/>
  <c r="Q13" i="168"/>
  <c r="P13" i="168"/>
  <c r="AL12" i="168"/>
  <c r="AK12" i="168"/>
  <c r="AJ12" i="168"/>
  <c r="AI12" i="168"/>
  <c r="AH12" i="168"/>
  <c r="AG12" i="168"/>
  <c r="AF12" i="168"/>
  <c r="AE12" i="168"/>
  <c r="AD12" i="168"/>
  <c r="AC12" i="168"/>
  <c r="AB12" i="168"/>
  <c r="Z12" i="168"/>
  <c r="Y12" i="168"/>
  <c r="X12" i="168"/>
  <c r="W12" i="168"/>
  <c r="V12" i="168"/>
  <c r="U12" i="168"/>
  <c r="R12" i="168"/>
  <c r="Q12" i="168"/>
  <c r="P12" i="168"/>
  <c r="AL11" i="168"/>
  <c r="AK11" i="168"/>
  <c r="AJ11" i="168"/>
  <c r="AI11" i="168"/>
  <c r="AH11" i="168"/>
  <c r="AG11" i="168"/>
  <c r="AF11" i="168"/>
  <c r="AE11" i="168"/>
  <c r="AD11" i="168"/>
  <c r="AC11" i="168"/>
  <c r="AB11" i="168"/>
  <c r="Z11" i="168"/>
  <c r="Y11" i="168"/>
  <c r="X11" i="168"/>
  <c r="W11" i="168"/>
  <c r="V11" i="168"/>
  <c r="U11" i="168"/>
  <c r="R11" i="168"/>
  <c r="Q11" i="168"/>
  <c r="P11" i="168"/>
  <c r="AL10" i="168"/>
  <c r="AK10" i="168"/>
  <c r="AJ10" i="168"/>
  <c r="AI10" i="168"/>
  <c r="AH10" i="168"/>
  <c r="AG10" i="168"/>
  <c r="AF10" i="168"/>
  <c r="AE10" i="168"/>
  <c r="AD10" i="168"/>
  <c r="AC10" i="168"/>
  <c r="AB10" i="168"/>
  <c r="Z10" i="168"/>
  <c r="Y10" i="168"/>
  <c r="X10" i="168"/>
  <c r="W10" i="168"/>
  <c r="V10" i="168"/>
  <c r="U10" i="168"/>
  <c r="R10" i="168"/>
  <c r="Q10" i="168"/>
  <c r="P10" i="168"/>
  <c r="O10" i="168"/>
  <c r="N10" i="168"/>
  <c r="AL9" i="168"/>
  <c r="AK9" i="168"/>
  <c r="AJ9" i="168"/>
  <c r="AI9" i="168"/>
  <c r="AH9" i="168"/>
  <c r="AG9" i="168"/>
  <c r="AF9" i="168"/>
  <c r="AE9" i="168"/>
  <c r="AD9" i="168"/>
  <c r="AC9" i="168"/>
  <c r="AB9" i="168"/>
  <c r="Z9" i="168"/>
  <c r="Y9" i="168"/>
  <c r="X9" i="168"/>
  <c r="W9" i="168"/>
  <c r="V9" i="168"/>
  <c r="U9" i="168"/>
  <c r="R9" i="168"/>
  <c r="Q9" i="168"/>
  <c r="P9" i="168"/>
  <c r="AL8" i="168"/>
  <c r="AK8" i="168"/>
  <c r="AJ8" i="168"/>
  <c r="AI8" i="168"/>
  <c r="AH8" i="168"/>
  <c r="AG8" i="168"/>
  <c r="AF8" i="168"/>
  <c r="AE8" i="168"/>
  <c r="AD8" i="168"/>
  <c r="AC8" i="168"/>
  <c r="AB8" i="168"/>
  <c r="Z8" i="168"/>
  <c r="Y8" i="168"/>
  <c r="X8" i="168"/>
  <c r="W8" i="168"/>
  <c r="V8" i="168"/>
  <c r="U8" i="168"/>
  <c r="R8" i="168"/>
  <c r="Q8" i="168"/>
  <c r="P8" i="168"/>
  <c r="AL7" i="168"/>
  <c r="AK7" i="168"/>
  <c r="AJ7" i="168"/>
  <c r="AI7" i="168"/>
  <c r="AH7" i="168"/>
  <c r="AG7" i="168"/>
  <c r="AF7" i="168"/>
  <c r="AE7" i="168"/>
  <c r="AD7" i="168"/>
  <c r="AC7" i="168"/>
  <c r="AB7" i="168"/>
  <c r="Z7" i="168"/>
  <c r="Y7" i="168"/>
  <c r="X7" i="168"/>
  <c r="W7" i="168"/>
  <c r="V7" i="168"/>
  <c r="U7" i="168"/>
  <c r="R7" i="168"/>
  <c r="Q7" i="168"/>
  <c r="P7" i="168"/>
  <c r="AK6" i="168"/>
  <c r="AJ6" i="168"/>
  <c r="AI6" i="168"/>
  <c r="AH6" i="168"/>
  <c r="AG6" i="168"/>
  <c r="AF6" i="168"/>
  <c r="I2" i="168"/>
  <c r="D6" i="186" l="1"/>
  <c r="D44" i="186" s="1"/>
  <c r="D6" i="185"/>
  <c r="O29" i="168"/>
  <c r="M29" i="168"/>
  <c r="N35" i="168"/>
  <c r="M35" i="168"/>
  <c r="N11" i="168"/>
  <c r="M11" i="168"/>
  <c r="O26" i="168"/>
  <c r="M26" i="168"/>
  <c r="O39" i="168"/>
  <c r="M39" i="168"/>
  <c r="N23" i="168"/>
  <c r="M23" i="168"/>
  <c r="O31" i="168"/>
  <c r="M31" i="168"/>
  <c r="N9" i="168"/>
  <c r="M9" i="168"/>
  <c r="O28" i="168"/>
  <c r="M28" i="168"/>
  <c r="O34" i="168"/>
  <c r="M34" i="168"/>
  <c r="O18" i="168"/>
  <c r="M18" i="168"/>
  <c r="O25" i="168"/>
  <c r="M25" i="168"/>
  <c r="N30" i="168"/>
  <c r="M30" i="168"/>
  <c r="O12" i="168"/>
  <c r="O32" i="168"/>
  <c r="M32" i="168"/>
  <c r="AL44" i="168"/>
  <c r="N18" i="168"/>
  <c r="L10" i="168"/>
  <c r="N24" i="168"/>
  <c r="N37" i="168"/>
  <c r="N32" i="168"/>
  <c r="E44" i="168"/>
  <c r="F6" i="168"/>
  <c r="N29" i="168"/>
  <c r="O37" i="168"/>
  <c r="AB44" i="168"/>
  <c r="S44" i="168"/>
  <c r="O23" i="168"/>
  <c r="O35" i="168"/>
  <c r="J44" i="168"/>
  <c r="O30" i="168"/>
  <c r="N8" i="168"/>
  <c r="AF44" i="168"/>
  <c r="AE44" i="168"/>
  <c r="O24" i="168"/>
  <c r="K44" i="168"/>
  <c r="O8" i="168"/>
  <c r="AD44" i="168"/>
  <c r="T44" i="168"/>
  <c r="T47" i="168" s="1"/>
  <c r="U44" i="168"/>
  <c r="AH44" i="168"/>
  <c r="N7" i="168"/>
  <c r="L17" i="168"/>
  <c r="N19" i="168"/>
  <c r="AC44" i="168"/>
  <c r="AG44" i="168"/>
  <c r="M7" i="168"/>
  <c r="V44" i="168"/>
  <c r="AI44" i="168"/>
  <c r="O7" i="168"/>
  <c r="W44" i="168"/>
  <c r="O9" i="168"/>
  <c r="O19" i="168"/>
  <c r="X44" i="168"/>
  <c r="AJ44" i="168"/>
  <c r="AK44" i="168"/>
  <c r="Y44" i="168"/>
  <c r="P44" i="168"/>
  <c r="D44" i="168"/>
  <c r="D47" i="168" s="1"/>
  <c r="Q44" i="168"/>
  <c r="R44" i="168"/>
  <c r="Z44" i="168"/>
  <c r="N12" i="168"/>
  <c r="N26" i="168"/>
  <c r="N27" i="168"/>
  <c r="N13" i="168"/>
  <c r="O13" i="168"/>
  <c r="O27" i="168"/>
  <c r="N25" i="168"/>
  <c r="N31" i="168"/>
  <c r="O11" i="168"/>
  <c r="N14" i="168"/>
  <c r="N28" i="168"/>
  <c r="N34" i="168"/>
  <c r="N39" i="168"/>
  <c r="L39" i="168" s="1"/>
  <c r="E8" i="166"/>
  <c r="E9" i="166"/>
  <c r="E10" i="166"/>
  <c r="E11" i="166"/>
  <c r="E12" i="166"/>
  <c r="E13" i="166"/>
  <c r="E14" i="166"/>
  <c r="E16" i="166"/>
  <c r="E17" i="166"/>
  <c r="E18" i="166"/>
  <c r="E19" i="166"/>
  <c r="E21" i="166"/>
  <c r="E22" i="166"/>
  <c r="E23" i="166"/>
  <c r="E24" i="166"/>
  <c r="E25" i="166"/>
  <c r="E26" i="166"/>
  <c r="E27" i="166"/>
  <c r="E28" i="166"/>
  <c r="E29" i="166"/>
  <c r="E30" i="166"/>
  <c r="E31" i="166"/>
  <c r="E32" i="166"/>
  <c r="E33" i="166"/>
  <c r="E34" i="166"/>
  <c r="E35" i="166"/>
  <c r="E36" i="166"/>
  <c r="E37" i="166"/>
  <c r="E38" i="166"/>
  <c r="E39" i="166"/>
  <c r="E40" i="166"/>
  <c r="E41" i="166"/>
  <c r="E42" i="166"/>
  <c r="E7" i="166"/>
  <c r="E42" i="185" l="1"/>
  <c r="E42" i="186"/>
  <c r="E34" i="185"/>
  <c r="E34" i="186"/>
  <c r="E26" i="185"/>
  <c r="E26" i="186"/>
  <c r="E17" i="185"/>
  <c r="E17" i="186"/>
  <c r="E8" i="185"/>
  <c r="E8" i="186"/>
  <c r="E7" i="185"/>
  <c r="E7" i="186"/>
  <c r="E41" i="185"/>
  <c r="E41" i="186"/>
  <c r="E33" i="185"/>
  <c r="E33" i="186"/>
  <c r="E25" i="185"/>
  <c r="E25" i="186"/>
  <c r="E16" i="185"/>
  <c r="E16" i="186"/>
  <c r="E40" i="185"/>
  <c r="E40" i="186"/>
  <c r="E32" i="185"/>
  <c r="E32" i="186"/>
  <c r="E24" i="185"/>
  <c r="E24" i="186"/>
  <c r="E14" i="185"/>
  <c r="E14" i="186"/>
  <c r="E9" i="185"/>
  <c r="E9" i="186"/>
  <c r="E39" i="185"/>
  <c r="E39" i="186"/>
  <c r="E31" i="185"/>
  <c r="E31" i="186"/>
  <c r="E23" i="185"/>
  <c r="E23" i="186"/>
  <c r="E13" i="185"/>
  <c r="E13" i="186"/>
  <c r="E35" i="185"/>
  <c r="E35" i="186"/>
  <c r="E38" i="185"/>
  <c r="E38" i="186"/>
  <c r="E30" i="185"/>
  <c r="E30" i="186"/>
  <c r="E22" i="185"/>
  <c r="E22" i="186"/>
  <c r="E12" i="185"/>
  <c r="E12" i="186"/>
  <c r="E18" i="185"/>
  <c r="E18" i="186"/>
  <c r="E37" i="185"/>
  <c r="E37" i="186"/>
  <c r="E29" i="185"/>
  <c r="E29" i="186"/>
  <c r="E21" i="185"/>
  <c r="E21" i="186"/>
  <c r="E11" i="185"/>
  <c r="E11" i="186"/>
  <c r="E27" i="185"/>
  <c r="E27" i="186"/>
  <c r="E36" i="185"/>
  <c r="E36" i="186"/>
  <c r="E28" i="185"/>
  <c r="E28" i="186"/>
  <c r="E19" i="185"/>
  <c r="E19" i="186"/>
  <c r="E10" i="185"/>
  <c r="E10" i="186"/>
  <c r="D44" i="185"/>
  <c r="L25" i="168"/>
  <c r="L23" i="168"/>
  <c r="L18" i="168"/>
  <c r="L37" i="168"/>
  <c r="L29" i="168"/>
  <c r="L35" i="168"/>
  <c r="L26" i="168"/>
  <c r="L24" i="168"/>
  <c r="L32" i="168"/>
  <c r="L27" i="168"/>
  <c r="L28" i="168"/>
  <c r="L13" i="168"/>
  <c r="L34" i="168"/>
  <c r="L30" i="168"/>
  <c r="L31" i="168"/>
  <c r="L9" i="168"/>
  <c r="L19" i="168"/>
  <c r="L7" i="168"/>
  <c r="L8" i="168"/>
  <c r="L12" i="168"/>
  <c r="L14" i="168"/>
  <c r="L11" i="168"/>
  <c r="N44" i="168"/>
  <c r="O44" i="168"/>
  <c r="M44" i="168"/>
  <c r="E44" i="185" l="1"/>
  <c r="E44" i="186"/>
  <c r="L44" i="168"/>
  <c r="AL6" i="166"/>
  <c r="AK7" i="166"/>
  <c r="AK8" i="166"/>
  <c r="AK9" i="166"/>
  <c r="AK10" i="166"/>
  <c r="AK11" i="166"/>
  <c r="AK12" i="166"/>
  <c r="AK13" i="166"/>
  <c r="AK14" i="166"/>
  <c r="AK16" i="166"/>
  <c r="AK17" i="166"/>
  <c r="AK18" i="166"/>
  <c r="AK19" i="166"/>
  <c r="AK21" i="166"/>
  <c r="AK22" i="166"/>
  <c r="AK23" i="166"/>
  <c r="AK24" i="166"/>
  <c r="AK25" i="166"/>
  <c r="AK26" i="166"/>
  <c r="AK27" i="166"/>
  <c r="AK28" i="166"/>
  <c r="AK29" i="166"/>
  <c r="AK30" i="166"/>
  <c r="AK31" i="166"/>
  <c r="AK32" i="166"/>
  <c r="AK33" i="166"/>
  <c r="AK34" i="166"/>
  <c r="AK35" i="166"/>
  <c r="AK36" i="166"/>
  <c r="AK37" i="166"/>
  <c r="AK38" i="166"/>
  <c r="AK39" i="166"/>
  <c r="AK40" i="166"/>
  <c r="AK41" i="166"/>
  <c r="AK42" i="166"/>
  <c r="AK6" i="166"/>
  <c r="AJ7" i="166"/>
  <c r="AJ8" i="166"/>
  <c r="AJ9" i="166"/>
  <c r="AJ10" i="166"/>
  <c r="AJ11" i="166"/>
  <c r="AJ12" i="166"/>
  <c r="AJ13" i="166"/>
  <c r="AJ14" i="166"/>
  <c r="AJ16" i="166"/>
  <c r="AJ17" i="166"/>
  <c r="AJ18" i="166"/>
  <c r="AJ19" i="166"/>
  <c r="AJ21" i="166"/>
  <c r="AJ22" i="166"/>
  <c r="AJ23" i="166"/>
  <c r="AJ24" i="166"/>
  <c r="AJ25" i="166"/>
  <c r="AJ26" i="166"/>
  <c r="AJ27" i="166"/>
  <c r="AJ28" i="166"/>
  <c r="AJ29" i="166"/>
  <c r="AJ30" i="166"/>
  <c r="AJ31" i="166"/>
  <c r="AJ32" i="166"/>
  <c r="AJ33" i="166"/>
  <c r="AJ34" i="166"/>
  <c r="AJ35" i="166"/>
  <c r="AJ36" i="166"/>
  <c r="AJ37" i="166"/>
  <c r="AJ38" i="166"/>
  <c r="AJ39" i="166"/>
  <c r="AJ40" i="166"/>
  <c r="AJ41" i="166"/>
  <c r="AJ42" i="166"/>
  <c r="AJ6" i="166"/>
  <c r="AI7" i="166"/>
  <c r="AI8" i="166"/>
  <c r="AI9" i="166"/>
  <c r="AI10" i="166"/>
  <c r="AI11" i="166"/>
  <c r="AI12" i="166"/>
  <c r="AI13" i="166"/>
  <c r="AI14" i="166"/>
  <c r="AI16" i="166"/>
  <c r="AI17" i="166"/>
  <c r="AI18" i="166"/>
  <c r="AI19" i="166"/>
  <c r="AI21" i="166"/>
  <c r="AI22" i="166"/>
  <c r="AI23" i="166"/>
  <c r="AI24" i="166"/>
  <c r="AI25" i="166"/>
  <c r="AI26" i="166"/>
  <c r="AI27" i="166"/>
  <c r="AI28" i="166"/>
  <c r="AI29" i="166"/>
  <c r="AI30" i="166"/>
  <c r="AI31" i="166"/>
  <c r="AI32" i="166"/>
  <c r="AI33" i="166"/>
  <c r="AI34" i="166"/>
  <c r="AI35" i="166"/>
  <c r="AI36" i="166"/>
  <c r="AI37" i="166"/>
  <c r="AI38" i="166"/>
  <c r="AI39" i="166"/>
  <c r="AI40" i="166"/>
  <c r="AI41" i="166"/>
  <c r="AI42" i="166"/>
  <c r="AI6" i="166"/>
  <c r="AH7" i="166"/>
  <c r="AH8" i="166"/>
  <c r="AH9" i="166"/>
  <c r="AH10" i="166"/>
  <c r="AH11" i="166"/>
  <c r="AH12" i="166"/>
  <c r="AH13" i="166"/>
  <c r="AH14" i="166"/>
  <c r="AH16" i="166"/>
  <c r="AH17" i="166"/>
  <c r="AH18" i="166"/>
  <c r="AH19" i="166"/>
  <c r="AH21" i="166"/>
  <c r="AH22" i="166"/>
  <c r="AH23" i="166"/>
  <c r="AH24" i="166"/>
  <c r="AH25" i="166"/>
  <c r="AH26" i="166"/>
  <c r="AH27" i="166"/>
  <c r="AH28" i="166"/>
  <c r="AH29" i="166"/>
  <c r="AH30" i="166"/>
  <c r="AH31" i="166"/>
  <c r="AH32" i="166"/>
  <c r="AH33" i="166"/>
  <c r="AH34" i="166"/>
  <c r="AH35" i="166"/>
  <c r="AH36" i="166"/>
  <c r="AH37" i="166"/>
  <c r="AH38" i="166"/>
  <c r="AH39" i="166"/>
  <c r="AH40" i="166"/>
  <c r="AH41" i="166"/>
  <c r="AH42" i="166"/>
  <c r="AH6" i="166"/>
  <c r="AG7" i="166"/>
  <c r="AG8" i="166"/>
  <c r="AG9" i="166"/>
  <c r="AG10" i="166"/>
  <c r="AG11" i="166"/>
  <c r="AG12" i="166"/>
  <c r="AG13" i="166"/>
  <c r="AG14" i="166"/>
  <c r="AG16" i="166"/>
  <c r="AG17" i="166"/>
  <c r="AG18" i="166"/>
  <c r="AG19" i="166"/>
  <c r="AG21" i="166"/>
  <c r="AG22" i="166"/>
  <c r="AG23" i="166"/>
  <c r="AG24" i="166"/>
  <c r="AG25" i="166"/>
  <c r="AG26" i="166"/>
  <c r="AG27" i="166"/>
  <c r="AG28" i="166"/>
  <c r="AG29" i="166"/>
  <c r="AG30" i="166"/>
  <c r="AG31" i="166"/>
  <c r="AG32" i="166"/>
  <c r="AG33" i="166"/>
  <c r="AG34" i="166"/>
  <c r="AG35" i="166"/>
  <c r="AG36" i="166"/>
  <c r="AG37" i="166"/>
  <c r="AG38" i="166"/>
  <c r="AG39" i="166"/>
  <c r="AG40" i="166"/>
  <c r="AG41" i="166"/>
  <c r="AG42" i="166"/>
  <c r="AG6" i="166"/>
  <c r="AF7" i="166"/>
  <c r="AF8" i="166"/>
  <c r="AF9" i="166"/>
  <c r="AF10" i="166"/>
  <c r="AF11" i="166"/>
  <c r="AF12" i="166"/>
  <c r="AF13" i="166"/>
  <c r="AF14" i="166"/>
  <c r="AF16" i="166"/>
  <c r="AF17" i="166"/>
  <c r="AF18" i="166"/>
  <c r="AF19" i="166"/>
  <c r="AF21" i="166"/>
  <c r="AF22" i="166"/>
  <c r="AF23" i="166"/>
  <c r="AF24" i="166"/>
  <c r="AF25" i="166"/>
  <c r="AF26" i="166"/>
  <c r="AF27" i="166"/>
  <c r="AF28" i="166"/>
  <c r="AF29" i="166"/>
  <c r="AF30" i="166"/>
  <c r="AF31" i="166"/>
  <c r="AF32" i="166"/>
  <c r="AF33" i="166"/>
  <c r="AF34" i="166"/>
  <c r="AF35" i="166"/>
  <c r="AF36" i="166"/>
  <c r="AF37" i="166"/>
  <c r="AF38" i="166"/>
  <c r="AF39" i="166"/>
  <c r="AF40" i="166"/>
  <c r="AF41" i="166"/>
  <c r="AF42" i="166"/>
  <c r="AF6" i="166"/>
  <c r="AE7" i="166"/>
  <c r="AE8" i="166"/>
  <c r="AE9" i="166"/>
  <c r="AE10" i="166"/>
  <c r="AE11" i="166"/>
  <c r="AE12" i="166"/>
  <c r="AE13" i="166"/>
  <c r="AE14" i="166"/>
  <c r="AE16" i="166"/>
  <c r="AE17" i="166"/>
  <c r="AE18" i="166"/>
  <c r="AE19" i="166"/>
  <c r="AE21" i="166"/>
  <c r="AE22" i="166"/>
  <c r="AE23" i="166"/>
  <c r="AE24" i="166"/>
  <c r="AE25" i="166"/>
  <c r="AE26" i="166"/>
  <c r="AE27" i="166"/>
  <c r="AE28" i="166"/>
  <c r="AE29" i="166"/>
  <c r="AE30" i="166"/>
  <c r="AE31" i="166"/>
  <c r="AE32" i="166"/>
  <c r="AE33" i="166"/>
  <c r="AE34" i="166"/>
  <c r="AE35" i="166"/>
  <c r="AE36" i="166"/>
  <c r="AE37" i="166"/>
  <c r="AE38" i="166"/>
  <c r="AE39" i="166"/>
  <c r="AE40" i="166"/>
  <c r="AE41" i="166"/>
  <c r="AE42" i="166"/>
  <c r="AE6" i="166"/>
  <c r="AD7" i="166"/>
  <c r="AD8" i="166"/>
  <c r="AD9" i="166"/>
  <c r="AD10" i="166"/>
  <c r="AD11" i="166"/>
  <c r="AD12" i="166"/>
  <c r="AD13" i="166"/>
  <c r="AD14" i="166"/>
  <c r="AD16" i="166"/>
  <c r="AD17" i="166"/>
  <c r="AD18" i="166"/>
  <c r="AD19" i="166"/>
  <c r="AD21" i="166"/>
  <c r="AD22" i="166"/>
  <c r="AD23" i="166"/>
  <c r="AD24" i="166"/>
  <c r="AD25" i="166"/>
  <c r="AD26" i="166"/>
  <c r="AD27" i="166"/>
  <c r="AD28" i="166"/>
  <c r="AD29" i="166"/>
  <c r="AD30" i="166"/>
  <c r="AD31" i="166"/>
  <c r="AD32" i="166"/>
  <c r="AD33" i="166"/>
  <c r="AD34" i="166"/>
  <c r="AD35" i="166"/>
  <c r="AD36" i="166"/>
  <c r="AD37" i="166"/>
  <c r="AD38" i="166"/>
  <c r="AD39" i="166"/>
  <c r="AD40" i="166"/>
  <c r="AD41" i="166"/>
  <c r="AD42" i="166"/>
  <c r="AD6" i="166"/>
  <c r="Z7" i="166"/>
  <c r="Z8" i="166"/>
  <c r="Z9" i="166"/>
  <c r="Z10" i="166"/>
  <c r="Z11" i="166"/>
  <c r="Z12" i="166"/>
  <c r="Z13" i="166"/>
  <c r="Z14" i="166"/>
  <c r="Z16" i="166"/>
  <c r="Z17" i="166"/>
  <c r="Z18" i="166"/>
  <c r="Z19" i="166"/>
  <c r="Z21" i="166"/>
  <c r="Z22" i="166"/>
  <c r="Z23" i="166"/>
  <c r="Z24" i="166"/>
  <c r="Z25" i="166"/>
  <c r="Z26" i="166"/>
  <c r="Z27" i="166"/>
  <c r="Z28" i="166"/>
  <c r="Z29" i="166"/>
  <c r="Z30" i="166"/>
  <c r="Z31" i="166"/>
  <c r="Z32" i="166"/>
  <c r="Z33" i="166"/>
  <c r="Z34" i="166"/>
  <c r="Z35" i="166"/>
  <c r="Z36" i="166"/>
  <c r="Z37" i="166"/>
  <c r="Z38" i="166"/>
  <c r="Z39" i="166"/>
  <c r="Z40" i="166"/>
  <c r="Z41" i="166"/>
  <c r="Z42" i="166"/>
  <c r="Z6" i="166"/>
  <c r="Y7" i="166"/>
  <c r="Y8" i="166"/>
  <c r="Y9" i="166"/>
  <c r="Y10" i="166"/>
  <c r="Y11" i="166"/>
  <c r="Y12" i="166"/>
  <c r="Y13" i="166"/>
  <c r="Y14" i="166"/>
  <c r="Y16" i="166"/>
  <c r="Y17" i="166"/>
  <c r="Y18" i="166"/>
  <c r="Y19" i="166"/>
  <c r="Y21" i="166"/>
  <c r="Y22" i="166"/>
  <c r="Y23" i="166"/>
  <c r="Y24" i="166"/>
  <c r="Y25" i="166"/>
  <c r="Y26" i="166"/>
  <c r="Y27" i="166"/>
  <c r="Y28" i="166"/>
  <c r="Y29" i="166"/>
  <c r="Y30" i="166"/>
  <c r="Y31" i="166"/>
  <c r="Y32" i="166"/>
  <c r="Y33" i="166"/>
  <c r="Y34" i="166"/>
  <c r="Y35" i="166"/>
  <c r="Y36" i="166"/>
  <c r="Y37" i="166"/>
  <c r="Y38" i="166"/>
  <c r="Y39" i="166"/>
  <c r="Y40" i="166"/>
  <c r="Y41" i="166"/>
  <c r="Y42" i="166"/>
  <c r="Y6" i="166"/>
  <c r="X7" i="166"/>
  <c r="X8" i="166"/>
  <c r="X9" i="166"/>
  <c r="X10" i="166"/>
  <c r="X11" i="166"/>
  <c r="X12" i="166"/>
  <c r="X13" i="166"/>
  <c r="X14" i="166"/>
  <c r="X16" i="166"/>
  <c r="X17" i="166"/>
  <c r="X18" i="166"/>
  <c r="X19" i="166"/>
  <c r="X21" i="166"/>
  <c r="X22" i="166"/>
  <c r="X23" i="166"/>
  <c r="X24" i="166"/>
  <c r="X25" i="166"/>
  <c r="X26" i="166"/>
  <c r="X27" i="166"/>
  <c r="X28" i="166"/>
  <c r="X29" i="166"/>
  <c r="X30" i="166"/>
  <c r="X31" i="166"/>
  <c r="X32" i="166"/>
  <c r="X33" i="166"/>
  <c r="X34" i="166"/>
  <c r="X35" i="166"/>
  <c r="X36" i="166"/>
  <c r="X37" i="166"/>
  <c r="X38" i="166"/>
  <c r="X39" i="166"/>
  <c r="X40" i="166"/>
  <c r="X41" i="166"/>
  <c r="X42" i="166"/>
  <c r="X6" i="166"/>
  <c r="U7" i="166"/>
  <c r="U8" i="166"/>
  <c r="U9" i="166"/>
  <c r="U10" i="166"/>
  <c r="U11" i="166"/>
  <c r="U12" i="166"/>
  <c r="U13" i="166"/>
  <c r="U14" i="166"/>
  <c r="U16" i="166"/>
  <c r="U17" i="166"/>
  <c r="U18" i="166"/>
  <c r="U19" i="166"/>
  <c r="U21" i="166"/>
  <c r="U22" i="166"/>
  <c r="U23" i="166"/>
  <c r="U24" i="166"/>
  <c r="U25" i="166"/>
  <c r="U26" i="166"/>
  <c r="U27" i="166"/>
  <c r="U28" i="166"/>
  <c r="U29" i="166"/>
  <c r="U30" i="166"/>
  <c r="U31" i="166"/>
  <c r="U32" i="166"/>
  <c r="U33" i="166"/>
  <c r="U34" i="166"/>
  <c r="U35" i="166"/>
  <c r="U36" i="166"/>
  <c r="U37" i="166"/>
  <c r="U38" i="166"/>
  <c r="U39" i="166"/>
  <c r="U40" i="166"/>
  <c r="U41" i="166"/>
  <c r="U42" i="166"/>
  <c r="U6" i="166"/>
  <c r="V7" i="166"/>
  <c r="V8" i="166"/>
  <c r="V9" i="166"/>
  <c r="V10" i="166"/>
  <c r="V11" i="166"/>
  <c r="V12" i="166"/>
  <c r="V13" i="166"/>
  <c r="V14" i="166"/>
  <c r="V16" i="166"/>
  <c r="V17" i="166"/>
  <c r="V18" i="166"/>
  <c r="V19" i="166"/>
  <c r="V21" i="166"/>
  <c r="V22" i="166"/>
  <c r="V23" i="166"/>
  <c r="V24" i="166"/>
  <c r="V25" i="166"/>
  <c r="V26" i="166"/>
  <c r="V27" i="166"/>
  <c r="V28" i="166"/>
  <c r="V29" i="166"/>
  <c r="V30" i="166"/>
  <c r="V31" i="166"/>
  <c r="V32" i="166"/>
  <c r="V33" i="166"/>
  <c r="V34" i="166"/>
  <c r="V35" i="166"/>
  <c r="V36" i="166"/>
  <c r="V37" i="166"/>
  <c r="V38" i="166"/>
  <c r="V39" i="166"/>
  <c r="V40" i="166"/>
  <c r="V41" i="166"/>
  <c r="V42" i="166"/>
  <c r="V6" i="166"/>
  <c r="T7" i="166"/>
  <c r="T8" i="166"/>
  <c r="T9" i="166"/>
  <c r="T10" i="166"/>
  <c r="T11" i="166"/>
  <c r="T12" i="166"/>
  <c r="T13" i="166"/>
  <c r="T14" i="166"/>
  <c r="T16" i="166"/>
  <c r="T17" i="166"/>
  <c r="T19" i="166"/>
  <c r="T21" i="166"/>
  <c r="T22" i="166"/>
  <c r="T23" i="166"/>
  <c r="T24" i="166"/>
  <c r="T25" i="166"/>
  <c r="T26" i="166"/>
  <c r="T27" i="166"/>
  <c r="T28" i="166"/>
  <c r="T29" i="166"/>
  <c r="T30" i="166"/>
  <c r="T31" i="166"/>
  <c r="T32" i="166"/>
  <c r="T33" i="166"/>
  <c r="T34" i="166"/>
  <c r="T35" i="166"/>
  <c r="T36" i="166"/>
  <c r="T37" i="166"/>
  <c r="T38" i="166"/>
  <c r="T39" i="166"/>
  <c r="T40" i="166"/>
  <c r="T41" i="166"/>
  <c r="T42" i="166"/>
  <c r="T6" i="166"/>
  <c r="S7" i="166"/>
  <c r="S8" i="166"/>
  <c r="S9" i="166"/>
  <c r="S10" i="166"/>
  <c r="S11" i="166"/>
  <c r="S12" i="166"/>
  <c r="S13" i="166"/>
  <c r="S14" i="166"/>
  <c r="S16" i="166"/>
  <c r="S17" i="166"/>
  <c r="S18" i="166"/>
  <c r="S19" i="166"/>
  <c r="S21" i="166"/>
  <c r="S22" i="166"/>
  <c r="S23" i="166"/>
  <c r="S24" i="166"/>
  <c r="S25" i="166"/>
  <c r="S26" i="166"/>
  <c r="S27" i="166"/>
  <c r="S28" i="166"/>
  <c r="S29" i="166"/>
  <c r="S30" i="166"/>
  <c r="S31" i="166"/>
  <c r="S32" i="166"/>
  <c r="S33" i="166"/>
  <c r="S34" i="166"/>
  <c r="S35" i="166"/>
  <c r="S36" i="166"/>
  <c r="S37" i="166"/>
  <c r="S38" i="166"/>
  <c r="S39" i="166"/>
  <c r="S40" i="166"/>
  <c r="S41" i="166"/>
  <c r="S42" i="166"/>
  <c r="S6" i="166"/>
  <c r="R7" i="166"/>
  <c r="R8" i="166"/>
  <c r="R9" i="166"/>
  <c r="R10" i="166"/>
  <c r="R11" i="166"/>
  <c r="R12" i="166"/>
  <c r="R13" i="166"/>
  <c r="R14" i="166"/>
  <c r="R16" i="166"/>
  <c r="R17" i="166"/>
  <c r="R18" i="166"/>
  <c r="R19" i="166"/>
  <c r="R21" i="166"/>
  <c r="R22" i="166"/>
  <c r="R23" i="166"/>
  <c r="R24" i="166"/>
  <c r="R25" i="166"/>
  <c r="R26" i="166"/>
  <c r="R27" i="166"/>
  <c r="R28" i="166"/>
  <c r="R29" i="166"/>
  <c r="R30" i="166"/>
  <c r="R31" i="166"/>
  <c r="R32" i="166"/>
  <c r="R33" i="166"/>
  <c r="R34" i="166"/>
  <c r="R35" i="166"/>
  <c r="R36" i="166"/>
  <c r="R37" i="166"/>
  <c r="R38" i="166"/>
  <c r="R39" i="166"/>
  <c r="R40" i="166"/>
  <c r="R41" i="166"/>
  <c r="R42" i="166"/>
  <c r="R6" i="166"/>
  <c r="J7" i="166"/>
  <c r="J8" i="166"/>
  <c r="J9" i="166"/>
  <c r="J10" i="166"/>
  <c r="J11" i="166"/>
  <c r="J12" i="166"/>
  <c r="J13" i="166"/>
  <c r="J14" i="166"/>
  <c r="J16" i="166"/>
  <c r="J17" i="166"/>
  <c r="J18" i="166"/>
  <c r="J19" i="166"/>
  <c r="J21" i="166"/>
  <c r="J22" i="166"/>
  <c r="J23" i="166"/>
  <c r="J24" i="166"/>
  <c r="J25" i="166"/>
  <c r="J26" i="166"/>
  <c r="J27" i="166"/>
  <c r="J28" i="166"/>
  <c r="J29" i="166"/>
  <c r="J30" i="166"/>
  <c r="J31" i="166"/>
  <c r="J32" i="166"/>
  <c r="J33" i="166"/>
  <c r="J34" i="166"/>
  <c r="J35" i="166"/>
  <c r="J36" i="166"/>
  <c r="J37" i="166"/>
  <c r="J38" i="166"/>
  <c r="J39" i="166"/>
  <c r="J40" i="166"/>
  <c r="J41" i="166"/>
  <c r="J42" i="166"/>
  <c r="J6" i="166"/>
  <c r="Q7" i="166"/>
  <c r="Q8" i="166"/>
  <c r="Q9" i="166"/>
  <c r="Q10" i="166"/>
  <c r="Q11" i="166"/>
  <c r="Q12" i="166"/>
  <c r="Q13" i="166"/>
  <c r="Q14" i="166"/>
  <c r="Q16" i="166"/>
  <c r="Q17" i="166"/>
  <c r="Q18" i="166"/>
  <c r="Q19" i="166"/>
  <c r="Q21" i="166"/>
  <c r="Q22" i="166"/>
  <c r="Q23" i="166"/>
  <c r="Q24" i="166"/>
  <c r="Q25" i="166"/>
  <c r="Q26" i="166"/>
  <c r="Q27" i="166"/>
  <c r="Q28" i="166"/>
  <c r="Q29" i="166"/>
  <c r="Q30" i="166"/>
  <c r="Q31" i="166"/>
  <c r="Q32" i="166"/>
  <c r="Q33" i="166"/>
  <c r="Q34" i="166"/>
  <c r="Q35" i="166"/>
  <c r="Q36" i="166"/>
  <c r="Q37" i="166"/>
  <c r="Q38" i="166"/>
  <c r="Q39" i="166"/>
  <c r="Q40" i="166"/>
  <c r="Q41" i="166"/>
  <c r="Q42" i="166"/>
  <c r="Q6" i="166"/>
  <c r="P7" i="166"/>
  <c r="P10" i="166"/>
  <c r="P14" i="166"/>
  <c r="P38" i="166"/>
  <c r="K6" i="166"/>
  <c r="S8" i="185" l="1"/>
  <c r="S7" i="185"/>
  <c r="S9" i="185"/>
  <c r="S12" i="185"/>
  <c r="V18" i="185"/>
  <c r="S6" i="185"/>
  <c r="S11" i="185"/>
  <c r="S10" i="185"/>
  <c r="Q35" i="185"/>
  <c r="Q35" i="186"/>
  <c r="R33" i="185"/>
  <c r="R33" i="186"/>
  <c r="T31" i="186"/>
  <c r="U28" i="186"/>
  <c r="U10" i="186"/>
  <c r="Y17" i="185"/>
  <c r="Y17" i="186"/>
  <c r="AD24" i="185"/>
  <c r="AD24" i="186"/>
  <c r="AF30" i="185"/>
  <c r="AF30" i="186"/>
  <c r="AI39" i="185"/>
  <c r="AI39" i="186"/>
  <c r="AI23" i="185"/>
  <c r="AI23" i="186"/>
  <c r="AI13" i="185"/>
  <c r="AI13" i="186"/>
  <c r="AJ26" i="185"/>
  <c r="AJ26" i="186"/>
  <c r="AK29" i="185"/>
  <c r="AK29" i="186"/>
  <c r="AK11" i="185"/>
  <c r="AK11" i="186"/>
  <c r="Q26" i="185"/>
  <c r="Q26" i="186"/>
  <c r="Q8" i="185"/>
  <c r="Q8" i="186"/>
  <c r="J37" i="185"/>
  <c r="J37" i="186"/>
  <c r="J29" i="185"/>
  <c r="J29" i="186"/>
  <c r="J21" i="185"/>
  <c r="J21" i="186"/>
  <c r="J11" i="185"/>
  <c r="J11" i="186"/>
  <c r="R40" i="185"/>
  <c r="R40" i="186"/>
  <c r="R32" i="185"/>
  <c r="R32" i="186"/>
  <c r="R24" i="185"/>
  <c r="R24" i="186"/>
  <c r="R14" i="185"/>
  <c r="R14" i="186"/>
  <c r="S6" i="186"/>
  <c r="S35" i="185"/>
  <c r="S35" i="186"/>
  <c r="S27" i="185"/>
  <c r="S27" i="186"/>
  <c r="S18" i="185"/>
  <c r="S18" i="186"/>
  <c r="S9" i="186"/>
  <c r="T38" i="186"/>
  <c r="T30" i="186"/>
  <c r="T22" i="186"/>
  <c r="T11" i="186"/>
  <c r="V40" i="186"/>
  <c r="V32" i="186"/>
  <c r="V24" i="186"/>
  <c r="V14" i="186"/>
  <c r="U6" i="186"/>
  <c r="U35" i="186"/>
  <c r="U27" i="186"/>
  <c r="U18" i="186"/>
  <c r="U9" i="186"/>
  <c r="Y41" i="185"/>
  <c r="Y41" i="186"/>
  <c r="Y33" i="185"/>
  <c r="Y33" i="186"/>
  <c r="Y25" i="185"/>
  <c r="Y25" i="186"/>
  <c r="Y16" i="185"/>
  <c r="Y16" i="186"/>
  <c r="Y7" i="185"/>
  <c r="Y7" i="186"/>
  <c r="Z36" i="185"/>
  <c r="Z36" i="186"/>
  <c r="Z28" i="185"/>
  <c r="Z28" i="186"/>
  <c r="Z19" i="185"/>
  <c r="Z19" i="186"/>
  <c r="Z10" i="185"/>
  <c r="Z10" i="186"/>
  <c r="AD39" i="185"/>
  <c r="AD39" i="186"/>
  <c r="AD31" i="185"/>
  <c r="AD31" i="186"/>
  <c r="AD23" i="185"/>
  <c r="AD23" i="186"/>
  <c r="AD13" i="185"/>
  <c r="AD13" i="186"/>
  <c r="AE42" i="185"/>
  <c r="AE42" i="186"/>
  <c r="AE34" i="185"/>
  <c r="AE34" i="186"/>
  <c r="AE26" i="185"/>
  <c r="AE26" i="186"/>
  <c r="AE17" i="185"/>
  <c r="AE17" i="186"/>
  <c r="AE8" i="185"/>
  <c r="AE8" i="186"/>
  <c r="AF37" i="185"/>
  <c r="AF37" i="186"/>
  <c r="AF29" i="185"/>
  <c r="AF29" i="186"/>
  <c r="AF21" i="185"/>
  <c r="AF21" i="186"/>
  <c r="AF11" i="185"/>
  <c r="AF11" i="186"/>
  <c r="AG40" i="185"/>
  <c r="AG40" i="186"/>
  <c r="AG32" i="185"/>
  <c r="AG32" i="186"/>
  <c r="AG24" i="185"/>
  <c r="AG24" i="186"/>
  <c r="AG14" i="185"/>
  <c r="AG14" i="186"/>
  <c r="AH35" i="185"/>
  <c r="AH35" i="186"/>
  <c r="AH27" i="185"/>
  <c r="AH27" i="186"/>
  <c r="AH18" i="185"/>
  <c r="AH18" i="186"/>
  <c r="AH9" i="185"/>
  <c r="AH9" i="186"/>
  <c r="AI38" i="185"/>
  <c r="AI38" i="186"/>
  <c r="AI30" i="185"/>
  <c r="AI30" i="186"/>
  <c r="AI22" i="185"/>
  <c r="AI22" i="186"/>
  <c r="AI12" i="185"/>
  <c r="AI12" i="186"/>
  <c r="AJ41" i="185"/>
  <c r="AJ41" i="186"/>
  <c r="AJ33" i="185"/>
  <c r="AJ33" i="186"/>
  <c r="AJ25" i="185"/>
  <c r="AJ25" i="186"/>
  <c r="AJ16" i="185"/>
  <c r="AJ16" i="186"/>
  <c r="AJ7" i="185"/>
  <c r="AJ7" i="186"/>
  <c r="AK36" i="185"/>
  <c r="AK36" i="186"/>
  <c r="AK28" i="185"/>
  <c r="AK28" i="186"/>
  <c r="AK19" i="185"/>
  <c r="AK19" i="186"/>
  <c r="AK10" i="185"/>
  <c r="AK10" i="186"/>
  <c r="R41" i="185"/>
  <c r="R41" i="186"/>
  <c r="S19" i="185"/>
  <c r="S19" i="186"/>
  <c r="U36" i="186"/>
  <c r="Y34" i="185"/>
  <c r="Y34" i="186"/>
  <c r="Z21" i="185"/>
  <c r="Z21" i="186"/>
  <c r="AE27" i="185"/>
  <c r="AE27" i="186"/>
  <c r="AE9" i="185"/>
  <c r="AE9" i="186"/>
  <c r="AH36" i="185"/>
  <c r="AH36" i="186"/>
  <c r="AJ42" i="185"/>
  <c r="AJ42" i="186"/>
  <c r="AK37" i="185"/>
  <c r="AK37" i="186"/>
  <c r="Q42" i="185"/>
  <c r="Q42" i="186"/>
  <c r="Q17" i="185"/>
  <c r="Q17" i="186"/>
  <c r="Q33" i="185"/>
  <c r="Q33" i="186"/>
  <c r="Q16" i="185"/>
  <c r="Q16" i="186"/>
  <c r="Q7" i="185"/>
  <c r="Q7" i="186"/>
  <c r="J28" i="185"/>
  <c r="J28" i="186"/>
  <c r="R39" i="185"/>
  <c r="R39" i="186"/>
  <c r="R31" i="185"/>
  <c r="R31" i="186"/>
  <c r="R23" i="185"/>
  <c r="R23" i="186"/>
  <c r="R13" i="185"/>
  <c r="R13" i="186"/>
  <c r="S42" i="185"/>
  <c r="S42" i="186"/>
  <c r="S34" i="185"/>
  <c r="S34" i="186"/>
  <c r="S26" i="185"/>
  <c r="S26" i="186"/>
  <c r="S17" i="185"/>
  <c r="S17" i="186"/>
  <c r="S8" i="186"/>
  <c r="T37" i="186"/>
  <c r="T29" i="186"/>
  <c r="T21" i="186"/>
  <c r="T10" i="186"/>
  <c r="V39" i="186"/>
  <c r="V31" i="186"/>
  <c r="V23" i="186"/>
  <c r="V13" i="186"/>
  <c r="U42" i="186"/>
  <c r="U34" i="186"/>
  <c r="U26" i="186"/>
  <c r="U17" i="186"/>
  <c r="U8" i="186"/>
  <c r="Y40" i="185"/>
  <c r="Y40" i="186"/>
  <c r="Y32" i="185"/>
  <c r="Y32" i="186"/>
  <c r="Y24" i="185"/>
  <c r="Y24" i="186"/>
  <c r="Y14" i="185"/>
  <c r="Y14" i="186"/>
  <c r="Z6" i="185"/>
  <c r="Z6" i="186"/>
  <c r="Z35" i="185"/>
  <c r="Z35" i="186"/>
  <c r="Z27" i="185"/>
  <c r="Z27" i="186"/>
  <c r="Z18" i="185"/>
  <c r="Z18" i="186"/>
  <c r="Z9" i="185"/>
  <c r="Z9" i="186"/>
  <c r="AD38" i="185"/>
  <c r="AD38" i="186"/>
  <c r="AD30" i="185"/>
  <c r="AD30" i="186"/>
  <c r="AD22" i="185"/>
  <c r="AD22" i="186"/>
  <c r="AD12" i="185"/>
  <c r="AD12" i="186"/>
  <c r="AE41" i="185"/>
  <c r="AE41" i="186"/>
  <c r="AE33" i="185"/>
  <c r="AE33" i="186"/>
  <c r="AE25" i="185"/>
  <c r="AE25" i="186"/>
  <c r="AE16" i="185"/>
  <c r="AE16" i="186"/>
  <c r="AE7" i="185"/>
  <c r="AE7" i="186"/>
  <c r="AF36" i="185"/>
  <c r="AF36" i="186"/>
  <c r="AF28" i="185"/>
  <c r="AF28" i="186"/>
  <c r="AF19" i="185"/>
  <c r="AF19" i="186"/>
  <c r="AF10" i="185"/>
  <c r="AF10" i="186"/>
  <c r="AG39" i="185"/>
  <c r="AG39" i="186"/>
  <c r="AG31" i="185"/>
  <c r="AG31" i="186"/>
  <c r="AG23" i="185"/>
  <c r="AG23" i="186"/>
  <c r="AG13" i="185"/>
  <c r="AG13" i="186"/>
  <c r="AH42" i="185"/>
  <c r="AH42" i="186"/>
  <c r="AH34" i="185"/>
  <c r="AH34" i="186"/>
  <c r="AH26" i="185"/>
  <c r="AH26" i="186"/>
  <c r="AH17" i="185"/>
  <c r="AH17" i="186"/>
  <c r="AH8" i="185"/>
  <c r="AH8" i="186"/>
  <c r="AI37" i="185"/>
  <c r="AI37" i="186"/>
  <c r="AI29" i="185"/>
  <c r="AI29" i="186"/>
  <c r="AI21" i="185"/>
  <c r="AI21" i="186"/>
  <c r="AI11" i="185"/>
  <c r="AI11" i="186"/>
  <c r="AJ40" i="185"/>
  <c r="AJ40" i="186"/>
  <c r="AJ32" i="185"/>
  <c r="AJ32" i="186"/>
  <c r="AJ24" i="185"/>
  <c r="AJ24" i="186"/>
  <c r="AJ14" i="185"/>
  <c r="AJ14" i="186"/>
  <c r="AK6" i="185"/>
  <c r="AK6" i="186"/>
  <c r="AK35" i="185"/>
  <c r="AK35" i="186"/>
  <c r="AK27" i="185"/>
  <c r="AK27" i="186"/>
  <c r="AK18" i="185"/>
  <c r="AK18" i="186"/>
  <c r="AK9" i="185"/>
  <c r="AK9" i="186"/>
  <c r="J30" i="185"/>
  <c r="J30" i="186"/>
  <c r="S36" i="185"/>
  <c r="S36" i="186"/>
  <c r="V41" i="186"/>
  <c r="V16" i="186"/>
  <c r="Z37" i="185"/>
  <c r="Z37" i="186"/>
  <c r="Z11" i="185"/>
  <c r="Z11" i="186"/>
  <c r="AD14" i="185"/>
  <c r="AD14" i="186"/>
  <c r="AE6" i="185"/>
  <c r="AE6" i="186"/>
  <c r="AE18" i="185"/>
  <c r="AE18" i="186"/>
  <c r="AG33" i="185"/>
  <c r="AG33" i="186"/>
  <c r="AH19" i="185"/>
  <c r="AH19" i="186"/>
  <c r="AI31" i="185"/>
  <c r="AI31" i="186"/>
  <c r="AJ34" i="185"/>
  <c r="AJ34" i="186"/>
  <c r="AJ17" i="185"/>
  <c r="AJ17" i="186"/>
  <c r="AJ8" i="185"/>
  <c r="AJ8" i="186"/>
  <c r="AK21" i="185"/>
  <c r="AK21" i="186"/>
  <c r="Q34" i="185"/>
  <c r="Q34" i="186"/>
  <c r="Q41" i="185"/>
  <c r="Q41" i="186"/>
  <c r="Q25" i="185"/>
  <c r="Q25" i="186"/>
  <c r="J36" i="185"/>
  <c r="J36" i="186"/>
  <c r="J19" i="185"/>
  <c r="J19" i="186"/>
  <c r="J10" i="185"/>
  <c r="J10" i="186"/>
  <c r="K6" i="185"/>
  <c r="K6" i="186"/>
  <c r="Q40" i="185"/>
  <c r="Q40" i="186"/>
  <c r="Q32" i="185"/>
  <c r="Q32" i="186"/>
  <c r="Q24" i="185"/>
  <c r="Q24" i="186"/>
  <c r="Q14" i="185"/>
  <c r="Q14" i="186"/>
  <c r="J6" i="185"/>
  <c r="J6" i="186"/>
  <c r="J35" i="185"/>
  <c r="J35" i="186"/>
  <c r="J27" i="185"/>
  <c r="J27" i="186"/>
  <c r="J18" i="185"/>
  <c r="J18" i="186"/>
  <c r="J9" i="185"/>
  <c r="J9" i="186"/>
  <c r="R38" i="185"/>
  <c r="R38" i="186"/>
  <c r="R30" i="185"/>
  <c r="R30" i="186"/>
  <c r="R22" i="185"/>
  <c r="R22" i="186"/>
  <c r="R12" i="185"/>
  <c r="R12" i="186"/>
  <c r="S41" i="185"/>
  <c r="S41" i="186"/>
  <c r="S33" i="185"/>
  <c r="S33" i="186"/>
  <c r="S25" i="185"/>
  <c r="S25" i="186"/>
  <c r="S16" i="185"/>
  <c r="S16" i="186"/>
  <c r="S7" i="186"/>
  <c r="T36" i="186"/>
  <c r="T28" i="186"/>
  <c r="T19" i="186"/>
  <c r="T9" i="186"/>
  <c r="V38" i="186"/>
  <c r="V30" i="186"/>
  <c r="V22" i="186"/>
  <c r="V12" i="186"/>
  <c r="U41" i="186"/>
  <c r="U33" i="186"/>
  <c r="U25" i="186"/>
  <c r="U16" i="186"/>
  <c r="U7" i="186"/>
  <c r="Y39" i="185"/>
  <c r="Y39" i="186"/>
  <c r="Y31" i="185"/>
  <c r="Y31" i="186"/>
  <c r="Y23" i="185"/>
  <c r="Y23" i="186"/>
  <c r="Y13" i="185"/>
  <c r="Y13" i="186"/>
  <c r="Z42" i="185"/>
  <c r="Z42" i="186"/>
  <c r="Z34" i="185"/>
  <c r="Z34" i="186"/>
  <c r="Z26" i="185"/>
  <c r="Z26" i="186"/>
  <c r="Z17" i="185"/>
  <c r="Z17" i="186"/>
  <c r="Z8" i="185"/>
  <c r="Z8" i="186"/>
  <c r="AD37" i="185"/>
  <c r="AD37" i="186"/>
  <c r="AD29" i="185"/>
  <c r="AD29" i="186"/>
  <c r="AD21" i="185"/>
  <c r="AD21" i="186"/>
  <c r="AD11" i="185"/>
  <c r="AD11" i="186"/>
  <c r="AE40" i="185"/>
  <c r="AE40" i="186"/>
  <c r="AE32" i="185"/>
  <c r="AE32" i="186"/>
  <c r="AE24" i="185"/>
  <c r="AE24" i="186"/>
  <c r="AE14" i="185"/>
  <c r="AE14" i="186"/>
  <c r="AF35" i="185"/>
  <c r="AF35" i="186"/>
  <c r="AF27" i="185"/>
  <c r="AF27" i="186"/>
  <c r="AF18" i="185"/>
  <c r="AF18" i="186"/>
  <c r="AF9" i="185"/>
  <c r="AF9" i="186"/>
  <c r="AG38" i="185"/>
  <c r="AG38" i="186"/>
  <c r="AG30" i="185"/>
  <c r="AG30" i="186"/>
  <c r="AG22" i="185"/>
  <c r="AG22" i="186"/>
  <c r="AG12" i="185"/>
  <c r="AG12" i="186"/>
  <c r="AH41" i="185"/>
  <c r="AH41" i="186"/>
  <c r="AH33" i="185"/>
  <c r="AH33" i="186"/>
  <c r="AH25" i="185"/>
  <c r="AH25" i="186"/>
  <c r="AH16" i="185"/>
  <c r="AH16" i="186"/>
  <c r="AH7" i="185"/>
  <c r="AH7" i="186"/>
  <c r="AI36" i="185"/>
  <c r="AI36" i="186"/>
  <c r="AI28" i="185"/>
  <c r="AI28" i="186"/>
  <c r="AI19" i="185"/>
  <c r="AI19" i="186"/>
  <c r="AI10" i="185"/>
  <c r="AI10" i="186"/>
  <c r="AJ39" i="185"/>
  <c r="AJ39" i="186"/>
  <c r="AJ31" i="185"/>
  <c r="AJ31" i="186"/>
  <c r="AJ23" i="185"/>
  <c r="AJ23" i="186"/>
  <c r="AJ13" i="185"/>
  <c r="AJ13" i="186"/>
  <c r="AK42" i="185"/>
  <c r="AK42" i="186"/>
  <c r="AK34" i="185"/>
  <c r="AK34" i="186"/>
  <c r="AK26" i="185"/>
  <c r="AK26" i="186"/>
  <c r="AK17" i="185"/>
  <c r="AK17" i="186"/>
  <c r="AK8" i="185"/>
  <c r="AK8" i="186"/>
  <c r="Q27" i="185"/>
  <c r="Q27" i="186"/>
  <c r="Q9" i="185"/>
  <c r="Q9" i="186"/>
  <c r="T39" i="186"/>
  <c r="V25" i="186"/>
  <c r="V7" i="186"/>
  <c r="Z29" i="185"/>
  <c r="Z29" i="186"/>
  <c r="AF38" i="185"/>
  <c r="AF38" i="186"/>
  <c r="AF12" i="185"/>
  <c r="AF12" i="186"/>
  <c r="AG16" i="185"/>
  <c r="AG16" i="186"/>
  <c r="Q39" i="185"/>
  <c r="Q39" i="186"/>
  <c r="Q31" i="185"/>
  <c r="Q31" i="186"/>
  <c r="Q23" i="185"/>
  <c r="Q23" i="186"/>
  <c r="Q13" i="185"/>
  <c r="Q13" i="186"/>
  <c r="J42" i="185"/>
  <c r="J42" i="186"/>
  <c r="J34" i="185"/>
  <c r="J34" i="186"/>
  <c r="J26" i="185"/>
  <c r="J26" i="186"/>
  <c r="J17" i="185"/>
  <c r="J17" i="186"/>
  <c r="J8" i="185"/>
  <c r="J8" i="186"/>
  <c r="R37" i="185"/>
  <c r="R37" i="186"/>
  <c r="R29" i="185"/>
  <c r="R29" i="186"/>
  <c r="R21" i="185"/>
  <c r="R21" i="186"/>
  <c r="R11" i="185"/>
  <c r="R11" i="186"/>
  <c r="S40" i="185"/>
  <c r="S40" i="186"/>
  <c r="S32" i="185"/>
  <c r="S32" i="186"/>
  <c r="S24" i="185"/>
  <c r="S24" i="186"/>
  <c r="S14" i="185"/>
  <c r="S14" i="186"/>
  <c r="T6" i="186"/>
  <c r="T35" i="186"/>
  <c r="T27" i="186"/>
  <c r="T17" i="186"/>
  <c r="T8" i="186"/>
  <c r="V37" i="186"/>
  <c r="V29" i="186"/>
  <c r="V21" i="186"/>
  <c r="V11" i="186"/>
  <c r="U40" i="186"/>
  <c r="U32" i="186"/>
  <c r="U24" i="186"/>
  <c r="U14" i="186"/>
  <c r="Y38" i="185"/>
  <c r="Y38" i="186"/>
  <c r="Y30" i="185"/>
  <c r="Y30" i="186"/>
  <c r="Y22" i="185"/>
  <c r="Y22" i="186"/>
  <c r="Y12" i="185"/>
  <c r="Y12" i="186"/>
  <c r="Z41" i="185"/>
  <c r="Z41" i="186"/>
  <c r="Z33" i="185"/>
  <c r="Z33" i="186"/>
  <c r="Z25" i="185"/>
  <c r="Z25" i="186"/>
  <c r="Z16" i="185"/>
  <c r="Z16" i="186"/>
  <c r="Z7" i="185"/>
  <c r="Z7" i="186"/>
  <c r="AD36" i="185"/>
  <c r="AD36" i="186"/>
  <c r="AD28" i="185"/>
  <c r="AD28" i="186"/>
  <c r="AD19" i="185"/>
  <c r="AD19" i="186"/>
  <c r="AD10" i="185"/>
  <c r="AD10" i="186"/>
  <c r="AE39" i="185"/>
  <c r="AE39" i="186"/>
  <c r="AE31" i="185"/>
  <c r="AE31" i="186"/>
  <c r="AE23" i="185"/>
  <c r="AE23" i="186"/>
  <c r="AE13" i="185"/>
  <c r="AE13" i="186"/>
  <c r="AF42" i="185"/>
  <c r="AF42" i="186"/>
  <c r="AF34" i="185"/>
  <c r="AF34" i="186"/>
  <c r="AF26" i="185"/>
  <c r="AF26" i="186"/>
  <c r="AF17" i="185"/>
  <c r="AF17" i="186"/>
  <c r="AF8" i="185"/>
  <c r="AF8" i="186"/>
  <c r="AG37" i="185"/>
  <c r="AG37" i="186"/>
  <c r="AG29" i="185"/>
  <c r="AG29" i="186"/>
  <c r="AG21" i="185"/>
  <c r="AG21" i="186"/>
  <c r="AG11" i="185"/>
  <c r="AG11" i="186"/>
  <c r="AH40" i="185"/>
  <c r="AH40" i="186"/>
  <c r="AH32" i="185"/>
  <c r="AH32" i="186"/>
  <c r="AH24" i="185"/>
  <c r="AH24" i="186"/>
  <c r="AH14" i="185"/>
  <c r="AH14" i="186"/>
  <c r="AI6" i="185"/>
  <c r="AI6" i="186"/>
  <c r="AI35" i="185"/>
  <c r="AI35" i="186"/>
  <c r="AI27" i="185"/>
  <c r="AI27" i="186"/>
  <c r="AI18" i="185"/>
  <c r="AI18" i="186"/>
  <c r="AI9" i="185"/>
  <c r="AI9" i="186"/>
  <c r="AJ38" i="185"/>
  <c r="AJ38" i="186"/>
  <c r="AJ30" i="185"/>
  <c r="AJ30" i="186"/>
  <c r="AJ22" i="185"/>
  <c r="AJ22" i="186"/>
  <c r="AJ12" i="185"/>
  <c r="AJ12" i="186"/>
  <c r="AK41" i="185"/>
  <c r="AK41" i="186"/>
  <c r="AK33" i="185"/>
  <c r="AK33" i="186"/>
  <c r="AK25" i="185"/>
  <c r="AK25" i="186"/>
  <c r="AK16" i="185"/>
  <c r="AK16" i="186"/>
  <c r="AK7" i="185"/>
  <c r="AK7" i="186"/>
  <c r="Q6" i="185"/>
  <c r="Q6" i="186"/>
  <c r="J22" i="185"/>
  <c r="J22" i="186"/>
  <c r="S28" i="185"/>
  <c r="S28" i="186"/>
  <c r="S10" i="186"/>
  <c r="AD40" i="185"/>
  <c r="AD40" i="186"/>
  <c r="AG41" i="185"/>
  <c r="AG41" i="186"/>
  <c r="AG25" i="185"/>
  <c r="AG25" i="186"/>
  <c r="AG7" i="185"/>
  <c r="AG7" i="186"/>
  <c r="AH10" i="185"/>
  <c r="AH10" i="186"/>
  <c r="Q38" i="185"/>
  <c r="Q38" i="186"/>
  <c r="Q30" i="185"/>
  <c r="Q30" i="186"/>
  <c r="Q22" i="185"/>
  <c r="Q22" i="186"/>
  <c r="Q12" i="185"/>
  <c r="Q12" i="186"/>
  <c r="J41" i="185"/>
  <c r="J41" i="186"/>
  <c r="J33" i="185"/>
  <c r="J33" i="186"/>
  <c r="J25" i="185"/>
  <c r="J25" i="186"/>
  <c r="J16" i="185"/>
  <c r="J16" i="186"/>
  <c r="J7" i="185"/>
  <c r="J7" i="186"/>
  <c r="R36" i="185"/>
  <c r="R36" i="186"/>
  <c r="R28" i="185"/>
  <c r="R28" i="186"/>
  <c r="R19" i="185"/>
  <c r="R19" i="186"/>
  <c r="R10" i="185"/>
  <c r="R10" i="186"/>
  <c r="S39" i="185"/>
  <c r="S39" i="186"/>
  <c r="S31" i="185"/>
  <c r="S31" i="186"/>
  <c r="S23" i="185"/>
  <c r="S23" i="186"/>
  <c r="S13" i="185"/>
  <c r="S13" i="186"/>
  <c r="T42" i="186"/>
  <c r="T34" i="186"/>
  <c r="T26" i="186"/>
  <c r="T16" i="186"/>
  <c r="T7" i="186"/>
  <c r="V36" i="186"/>
  <c r="V28" i="186"/>
  <c r="V19" i="186"/>
  <c r="V10" i="186"/>
  <c r="U39" i="186"/>
  <c r="U31" i="186"/>
  <c r="U23" i="186"/>
  <c r="U13" i="186"/>
  <c r="Y37" i="185"/>
  <c r="Y37" i="186"/>
  <c r="Y29" i="185"/>
  <c r="Y29" i="186"/>
  <c r="Y21" i="185"/>
  <c r="Y21" i="186"/>
  <c r="Y11" i="185"/>
  <c r="Y11" i="186"/>
  <c r="Z40" i="185"/>
  <c r="Z40" i="186"/>
  <c r="Z32" i="185"/>
  <c r="Z32" i="186"/>
  <c r="Z24" i="185"/>
  <c r="Z24" i="186"/>
  <c r="Z14" i="185"/>
  <c r="Z14" i="186"/>
  <c r="AD6" i="185"/>
  <c r="AD6" i="186"/>
  <c r="AD35" i="185"/>
  <c r="AD35" i="186"/>
  <c r="AD27" i="185"/>
  <c r="AD27" i="186"/>
  <c r="AD18" i="185"/>
  <c r="AD18" i="186"/>
  <c r="AD9" i="185"/>
  <c r="AD9" i="186"/>
  <c r="AE38" i="185"/>
  <c r="AE38" i="186"/>
  <c r="AE30" i="185"/>
  <c r="AE30" i="186"/>
  <c r="AE22" i="185"/>
  <c r="AE22" i="186"/>
  <c r="AE12" i="185"/>
  <c r="AE12" i="186"/>
  <c r="AF41" i="185"/>
  <c r="AF41" i="186"/>
  <c r="AF33" i="185"/>
  <c r="AF33" i="186"/>
  <c r="AF25" i="185"/>
  <c r="AF25" i="186"/>
  <c r="AF16" i="185"/>
  <c r="AF16" i="186"/>
  <c r="AF7" i="185"/>
  <c r="AF7" i="186"/>
  <c r="AG36" i="185"/>
  <c r="AG36" i="186"/>
  <c r="AG28" i="185"/>
  <c r="AG28" i="186"/>
  <c r="AG19" i="185"/>
  <c r="AG19" i="186"/>
  <c r="AG10" i="185"/>
  <c r="AG10" i="186"/>
  <c r="AH39" i="185"/>
  <c r="AH39" i="186"/>
  <c r="AH31" i="185"/>
  <c r="AH31" i="186"/>
  <c r="AH23" i="185"/>
  <c r="AH23" i="186"/>
  <c r="AH13" i="185"/>
  <c r="AH13" i="186"/>
  <c r="AI42" i="185"/>
  <c r="AI42" i="186"/>
  <c r="AI34" i="185"/>
  <c r="AI34" i="186"/>
  <c r="AI26" i="185"/>
  <c r="AI26" i="186"/>
  <c r="AI17" i="185"/>
  <c r="AI17" i="186"/>
  <c r="AI8" i="185"/>
  <c r="AI8" i="186"/>
  <c r="AJ37" i="185"/>
  <c r="AJ37" i="186"/>
  <c r="AJ29" i="185"/>
  <c r="AJ29" i="186"/>
  <c r="AJ21" i="185"/>
  <c r="AJ21" i="186"/>
  <c r="AJ11" i="185"/>
  <c r="AJ11" i="186"/>
  <c r="AK40" i="185"/>
  <c r="AK40" i="186"/>
  <c r="AK32" i="185"/>
  <c r="AK32" i="186"/>
  <c r="AK24" i="185"/>
  <c r="AK24" i="186"/>
  <c r="AK14" i="185"/>
  <c r="AK14" i="186"/>
  <c r="AL6" i="185"/>
  <c r="AL44" i="185" s="1"/>
  <c r="AL6" i="186"/>
  <c r="AL44" i="186" s="1"/>
  <c r="J38" i="185"/>
  <c r="J38" i="186"/>
  <c r="J12" i="185"/>
  <c r="J12" i="186"/>
  <c r="R16" i="185"/>
  <c r="R16" i="186"/>
  <c r="T23" i="186"/>
  <c r="Y42" i="185"/>
  <c r="Y42" i="186"/>
  <c r="AD32" i="185"/>
  <c r="AD32" i="186"/>
  <c r="Q37" i="185"/>
  <c r="Q37" i="186"/>
  <c r="Q29" i="185"/>
  <c r="Q29" i="186"/>
  <c r="Q21" i="185"/>
  <c r="Q21" i="186"/>
  <c r="Q11" i="185"/>
  <c r="Q11" i="186"/>
  <c r="J40" i="185"/>
  <c r="J40" i="186"/>
  <c r="J32" i="185"/>
  <c r="J32" i="186"/>
  <c r="J24" i="185"/>
  <c r="J24" i="186"/>
  <c r="J14" i="185"/>
  <c r="J14" i="186"/>
  <c r="R6" i="185"/>
  <c r="R6" i="186"/>
  <c r="R35" i="185"/>
  <c r="R35" i="186"/>
  <c r="R27" i="185"/>
  <c r="R27" i="186"/>
  <c r="R18" i="185"/>
  <c r="R18" i="186"/>
  <c r="R9" i="185"/>
  <c r="R9" i="186"/>
  <c r="S38" i="185"/>
  <c r="S38" i="186"/>
  <c r="S30" i="185"/>
  <c r="S30" i="186"/>
  <c r="W30" i="186" s="1"/>
  <c r="S22" i="185"/>
  <c r="S22" i="186"/>
  <c r="S12" i="186"/>
  <c r="T41" i="186"/>
  <c r="T33" i="186"/>
  <c r="T25" i="186"/>
  <c r="T14" i="186"/>
  <c r="V6" i="186"/>
  <c r="V35" i="186"/>
  <c r="V27" i="186"/>
  <c r="V18" i="186"/>
  <c r="V9" i="186"/>
  <c r="U38" i="186"/>
  <c r="U30" i="186"/>
  <c r="U22" i="186"/>
  <c r="U12" i="186"/>
  <c r="Y36" i="185"/>
  <c r="Y36" i="186"/>
  <c r="Y28" i="185"/>
  <c r="Y28" i="186"/>
  <c r="Y19" i="185"/>
  <c r="Y19" i="186"/>
  <c r="Y10" i="185"/>
  <c r="Y10" i="186"/>
  <c r="Z39" i="185"/>
  <c r="Z39" i="186"/>
  <c r="Z31" i="185"/>
  <c r="Z31" i="186"/>
  <c r="Z23" i="185"/>
  <c r="Z23" i="186"/>
  <c r="Z13" i="185"/>
  <c r="Z13" i="186"/>
  <c r="AD42" i="185"/>
  <c r="AD42" i="186"/>
  <c r="AD34" i="185"/>
  <c r="AD34" i="186"/>
  <c r="AD26" i="185"/>
  <c r="AD26" i="186"/>
  <c r="AD17" i="185"/>
  <c r="AD17" i="186"/>
  <c r="AD8" i="185"/>
  <c r="AD8" i="186"/>
  <c r="AE37" i="185"/>
  <c r="AE37" i="186"/>
  <c r="AE29" i="185"/>
  <c r="AE29" i="186"/>
  <c r="AE21" i="185"/>
  <c r="AE21" i="186"/>
  <c r="AE11" i="185"/>
  <c r="AE11" i="186"/>
  <c r="AF40" i="185"/>
  <c r="AF40" i="186"/>
  <c r="AF32" i="185"/>
  <c r="AF32" i="186"/>
  <c r="AF24" i="185"/>
  <c r="AF24" i="186"/>
  <c r="AF14" i="185"/>
  <c r="AF14" i="186"/>
  <c r="AG6" i="185"/>
  <c r="AG6" i="186"/>
  <c r="AG35" i="185"/>
  <c r="AG35" i="186"/>
  <c r="AG27" i="185"/>
  <c r="AG27" i="186"/>
  <c r="AG18" i="185"/>
  <c r="AG18" i="186"/>
  <c r="AG9" i="185"/>
  <c r="AG9" i="186"/>
  <c r="AH38" i="185"/>
  <c r="AH38" i="186"/>
  <c r="AH30" i="185"/>
  <c r="AH30" i="186"/>
  <c r="AH22" i="185"/>
  <c r="AH22" i="186"/>
  <c r="AH12" i="185"/>
  <c r="AH12" i="186"/>
  <c r="AI41" i="185"/>
  <c r="AI41" i="186"/>
  <c r="AI33" i="185"/>
  <c r="AI33" i="186"/>
  <c r="AI25" i="185"/>
  <c r="AI25" i="186"/>
  <c r="AI16" i="185"/>
  <c r="AI16" i="186"/>
  <c r="AI7" i="185"/>
  <c r="AI7" i="186"/>
  <c r="AJ36" i="185"/>
  <c r="AJ36" i="186"/>
  <c r="AJ28" i="185"/>
  <c r="AJ28" i="186"/>
  <c r="AJ19" i="185"/>
  <c r="AJ19" i="186"/>
  <c r="AJ10" i="185"/>
  <c r="AJ10" i="186"/>
  <c r="AK39" i="185"/>
  <c r="AK39" i="186"/>
  <c r="AK31" i="185"/>
  <c r="AK31" i="186"/>
  <c r="AK23" i="185"/>
  <c r="AK23" i="186"/>
  <c r="AK13" i="185"/>
  <c r="AK13" i="186"/>
  <c r="Q18" i="185"/>
  <c r="Q18" i="186"/>
  <c r="R25" i="185"/>
  <c r="R25" i="186"/>
  <c r="R7" i="185"/>
  <c r="R7" i="186"/>
  <c r="V33" i="186"/>
  <c r="U19" i="186"/>
  <c r="Y26" i="185"/>
  <c r="Y26" i="186"/>
  <c r="Y8" i="185"/>
  <c r="Y8" i="186"/>
  <c r="AE35" i="185"/>
  <c r="AE35" i="186"/>
  <c r="AF22" i="185"/>
  <c r="AF22" i="186"/>
  <c r="AH28" i="185"/>
  <c r="AH28" i="186"/>
  <c r="Q36" i="185"/>
  <c r="Q36" i="186"/>
  <c r="Q28" i="185"/>
  <c r="Q28" i="186"/>
  <c r="Q19" i="185"/>
  <c r="Q19" i="186"/>
  <c r="Q10" i="185"/>
  <c r="Q10" i="186"/>
  <c r="J39" i="185"/>
  <c r="J39" i="186"/>
  <c r="J31" i="185"/>
  <c r="J31" i="186"/>
  <c r="J23" i="185"/>
  <c r="J23" i="186"/>
  <c r="J13" i="185"/>
  <c r="J13" i="186"/>
  <c r="R42" i="185"/>
  <c r="R42" i="186"/>
  <c r="R34" i="185"/>
  <c r="R34" i="186"/>
  <c r="R26" i="185"/>
  <c r="R26" i="186"/>
  <c r="R17" i="185"/>
  <c r="R17" i="186"/>
  <c r="R8" i="185"/>
  <c r="R8" i="186"/>
  <c r="S37" i="185"/>
  <c r="S37" i="186"/>
  <c r="W37" i="186" s="1"/>
  <c r="S29" i="185"/>
  <c r="S29" i="186"/>
  <c r="S21" i="185"/>
  <c r="S21" i="186"/>
  <c r="S11" i="186"/>
  <c r="T40" i="186"/>
  <c r="T32" i="186"/>
  <c r="T24" i="186"/>
  <c r="T13" i="186"/>
  <c r="V42" i="186"/>
  <c r="V34" i="186"/>
  <c r="V26" i="186"/>
  <c r="V17" i="186"/>
  <c r="V8" i="186"/>
  <c r="U37" i="186"/>
  <c r="U29" i="186"/>
  <c r="U21" i="186"/>
  <c r="U11" i="186"/>
  <c r="Y6" i="185"/>
  <c r="Y6" i="186"/>
  <c r="Y35" i="185"/>
  <c r="Y35" i="186"/>
  <c r="Y27" i="185"/>
  <c r="Y27" i="186"/>
  <c r="Y18" i="185"/>
  <c r="Y18" i="186"/>
  <c r="Y9" i="185"/>
  <c r="Y9" i="186"/>
  <c r="Z38" i="185"/>
  <c r="Z38" i="186"/>
  <c r="Z30" i="185"/>
  <c r="Z30" i="186"/>
  <c r="Z22" i="185"/>
  <c r="Z22" i="186"/>
  <c r="Z12" i="185"/>
  <c r="Z12" i="186"/>
  <c r="AD41" i="185"/>
  <c r="AD41" i="186"/>
  <c r="AD33" i="185"/>
  <c r="AD33" i="186"/>
  <c r="AD25" i="185"/>
  <c r="AD25" i="186"/>
  <c r="AD16" i="185"/>
  <c r="AD16" i="186"/>
  <c r="AD7" i="185"/>
  <c r="AD7" i="186"/>
  <c r="AE36" i="185"/>
  <c r="AE36" i="186"/>
  <c r="AE28" i="185"/>
  <c r="AE28" i="186"/>
  <c r="AE19" i="185"/>
  <c r="AE19" i="186"/>
  <c r="AE10" i="185"/>
  <c r="AE10" i="186"/>
  <c r="AF39" i="185"/>
  <c r="AF39" i="186"/>
  <c r="AF31" i="185"/>
  <c r="AF31" i="186"/>
  <c r="AF23" i="185"/>
  <c r="AF23" i="186"/>
  <c r="AF13" i="185"/>
  <c r="AF13" i="186"/>
  <c r="AG42" i="185"/>
  <c r="AG42" i="186"/>
  <c r="AG34" i="185"/>
  <c r="AG34" i="186"/>
  <c r="AG26" i="185"/>
  <c r="AG26" i="186"/>
  <c r="AG17" i="185"/>
  <c r="AG17" i="186"/>
  <c r="AG8" i="185"/>
  <c r="AG8" i="186"/>
  <c r="AH37" i="185"/>
  <c r="AH37" i="186"/>
  <c r="AH29" i="185"/>
  <c r="AH29" i="186"/>
  <c r="AH21" i="185"/>
  <c r="AH21" i="186"/>
  <c r="AH11" i="185"/>
  <c r="AH11" i="186"/>
  <c r="AI40" i="185"/>
  <c r="AI40" i="186"/>
  <c r="AI32" i="185"/>
  <c r="AI32" i="186"/>
  <c r="AI24" i="185"/>
  <c r="AI24" i="186"/>
  <c r="AI14" i="185"/>
  <c r="AI14" i="186"/>
  <c r="AJ6" i="185"/>
  <c r="AJ6" i="186"/>
  <c r="AJ35" i="185"/>
  <c r="AJ35" i="186"/>
  <c r="AJ27" i="185"/>
  <c r="AJ27" i="186"/>
  <c r="AJ18" i="185"/>
  <c r="AJ18" i="186"/>
  <c r="AJ9" i="185"/>
  <c r="AJ9" i="186"/>
  <c r="AK38" i="185"/>
  <c r="AK38" i="186"/>
  <c r="AK30" i="185"/>
  <c r="AK30" i="186"/>
  <c r="AK22" i="185"/>
  <c r="AK22" i="186"/>
  <c r="AK12" i="185"/>
  <c r="AK12" i="186"/>
  <c r="T32" i="185"/>
  <c r="T13" i="185"/>
  <c r="T24" i="185"/>
  <c r="T39" i="185"/>
  <c r="T31" i="185"/>
  <c r="T23" i="185"/>
  <c r="T40" i="185"/>
  <c r="T38" i="185"/>
  <c r="T30" i="185"/>
  <c r="T22" i="185"/>
  <c r="T11" i="185"/>
  <c r="U6" i="185"/>
  <c r="T37" i="185"/>
  <c r="T29" i="185"/>
  <c r="T21" i="185"/>
  <c r="T10" i="185"/>
  <c r="T36" i="185"/>
  <c r="T28" i="185"/>
  <c r="T19" i="185"/>
  <c r="T9" i="185"/>
  <c r="T6" i="185"/>
  <c r="T35" i="185"/>
  <c r="T27" i="185"/>
  <c r="T17" i="185"/>
  <c r="T8" i="185"/>
  <c r="T42" i="185"/>
  <c r="T34" i="185"/>
  <c r="T26" i="185"/>
  <c r="T16" i="185"/>
  <c r="T7" i="185"/>
  <c r="T41" i="185"/>
  <c r="T33" i="185"/>
  <c r="T25" i="185"/>
  <c r="T14" i="185"/>
  <c r="V6" i="185"/>
  <c r="V42" i="185"/>
  <c r="V34" i="185"/>
  <c r="V26" i="185"/>
  <c r="V17" i="185"/>
  <c r="V8" i="185"/>
  <c r="U37" i="185"/>
  <c r="U29" i="185"/>
  <c r="U21" i="185"/>
  <c r="U11" i="185"/>
  <c r="V24" i="185"/>
  <c r="U18" i="185"/>
  <c r="V41" i="185"/>
  <c r="V33" i="185"/>
  <c r="V25" i="185"/>
  <c r="V16" i="185"/>
  <c r="V7" i="185"/>
  <c r="W7" i="185" s="1"/>
  <c r="U36" i="185"/>
  <c r="U28" i="185"/>
  <c r="U19" i="185"/>
  <c r="U10" i="185"/>
  <c r="U27" i="185"/>
  <c r="U9" i="185"/>
  <c r="V39" i="185"/>
  <c r="V31" i="185"/>
  <c r="V23" i="185"/>
  <c r="V13" i="185"/>
  <c r="U42" i="185"/>
  <c r="U34" i="185"/>
  <c r="U26" i="185"/>
  <c r="U17" i="185"/>
  <c r="U8" i="185"/>
  <c r="V40" i="185"/>
  <c r="V38" i="185"/>
  <c r="V30" i="185"/>
  <c r="V22" i="185"/>
  <c r="V12" i="185"/>
  <c r="U41" i="185"/>
  <c r="U33" i="185"/>
  <c r="U25" i="185"/>
  <c r="U16" i="185"/>
  <c r="U7" i="185"/>
  <c r="U35" i="185"/>
  <c r="V37" i="185"/>
  <c r="V29" i="185"/>
  <c r="V21" i="185"/>
  <c r="V11" i="185"/>
  <c r="U40" i="185"/>
  <c r="U32" i="185"/>
  <c r="U24" i="185"/>
  <c r="U14" i="185"/>
  <c r="V14" i="185"/>
  <c r="V36" i="185"/>
  <c r="V28" i="185"/>
  <c r="V19" i="185"/>
  <c r="V10" i="185"/>
  <c r="U39" i="185"/>
  <c r="U31" i="185"/>
  <c r="U23" i="185"/>
  <c r="U13" i="185"/>
  <c r="V32" i="185"/>
  <c r="V35" i="185"/>
  <c r="V27" i="185"/>
  <c r="V9" i="185"/>
  <c r="U38" i="185"/>
  <c r="U30" i="185"/>
  <c r="U22" i="185"/>
  <c r="U12" i="185"/>
  <c r="AA44" i="166"/>
  <c r="D44" i="166"/>
  <c r="C44" i="166"/>
  <c r="AL44" i="166"/>
  <c r="AH44" i="166"/>
  <c r="Y44" i="166"/>
  <c r="Q44" i="166"/>
  <c r="O6" i="166"/>
  <c r="N6" i="166"/>
  <c r="M6" i="166"/>
  <c r="L6" i="166"/>
  <c r="W23" i="186" l="1"/>
  <c r="W32" i="186"/>
  <c r="W21" i="186"/>
  <c r="W12" i="186"/>
  <c r="W24" i="186"/>
  <c r="W11" i="185"/>
  <c r="W11" i="186"/>
  <c r="W16" i="186"/>
  <c r="W38" i="186"/>
  <c r="W39" i="186"/>
  <c r="W31" i="186"/>
  <c r="W31" i="185"/>
  <c r="W42" i="185"/>
  <c r="W39" i="185"/>
  <c r="W34" i="185"/>
  <c r="W16" i="185"/>
  <c r="W22" i="186"/>
  <c r="W29" i="186"/>
  <c r="W13" i="186"/>
  <c r="W14" i="186"/>
  <c r="Y44" i="185"/>
  <c r="W33" i="186"/>
  <c r="AK44" i="185"/>
  <c r="AE44" i="185"/>
  <c r="AD44" i="185"/>
  <c r="AI44" i="185"/>
  <c r="Q44" i="185"/>
  <c r="W10" i="186"/>
  <c r="AG44" i="185"/>
  <c r="Z44" i="185"/>
  <c r="R44" i="185"/>
  <c r="J44" i="185"/>
  <c r="AJ44" i="185"/>
  <c r="W27" i="186"/>
  <c r="M6" i="185"/>
  <c r="M6" i="186"/>
  <c r="N6" i="185"/>
  <c r="N6" i="186"/>
  <c r="Q44" i="186"/>
  <c r="W8" i="186"/>
  <c r="O6" i="185"/>
  <c r="O6" i="186"/>
  <c r="Y44" i="186"/>
  <c r="AD44" i="186"/>
  <c r="W36" i="186"/>
  <c r="W34" i="186"/>
  <c r="W9" i="186"/>
  <c r="U44" i="186"/>
  <c r="W41" i="186"/>
  <c r="W35" i="186"/>
  <c r="W28" i="186"/>
  <c r="W17" i="186"/>
  <c r="W19" i="186"/>
  <c r="AE44" i="186"/>
  <c r="AJ44" i="186"/>
  <c r="V44" i="186"/>
  <c r="AG44" i="186"/>
  <c r="AI44" i="186"/>
  <c r="W25" i="186"/>
  <c r="Z44" i="186"/>
  <c r="W42" i="186"/>
  <c r="W18" i="186"/>
  <c r="R44" i="186"/>
  <c r="W40" i="186"/>
  <c r="J44" i="186"/>
  <c r="S44" i="186"/>
  <c r="W6" i="186"/>
  <c r="L6" i="185"/>
  <c r="L6" i="186"/>
  <c r="W7" i="186"/>
  <c r="AK44" i="186"/>
  <c r="W26" i="186"/>
  <c r="W37" i="185"/>
  <c r="W29" i="185"/>
  <c r="W12" i="185"/>
  <c r="W22" i="185"/>
  <c r="W14" i="185"/>
  <c r="W17" i="185"/>
  <c r="W33" i="185"/>
  <c r="W8" i="185"/>
  <c r="W19" i="185"/>
  <c r="W40" i="185"/>
  <c r="W38" i="185"/>
  <c r="W23" i="185"/>
  <c r="W24" i="185"/>
  <c r="W32" i="185"/>
  <c r="W21" i="185"/>
  <c r="W36" i="185"/>
  <c r="W25" i="185"/>
  <c r="W27" i="185"/>
  <c r="W26" i="185"/>
  <c r="V44" i="185"/>
  <c r="U44" i="185"/>
  <c r="W9" i="185"/>
  <c r="W41" i="185"/>
  <c r="W30" i="185"/>
  <c r="W13" i="185"/>
  <c r="W6" i="185"/>
  <c r="W28" i="185"/>
  <c r="W35" i="185"/>
  <c r="S44" i="185"/>
  <c r="W10" i="185"/>
  <c r="J44" i="166"/>
  <c r="Z44" i="166"/>
  <c r="AJ44" i="166"/>
  <c r="T44" i="166"/>
  <c r="AK44" i="166"/>
  <c r="R44" i="166"/>
  <c r="S44" i="166"/>
  <c r="U44" i="166"/>
  <c r="AD44" i="166"/>
  <c r="AI44" i="166"/>
  <c r="AE44" i="166"/>
  <c r="V44" i="166"/>
  <c r="AF44" i="166"/>
  <c r="X44" i="166"/>
  <c r="AG44" i="166"/>
  <c r="E44" i="166"/>
  <c r="AF6" i="163"/>
  <c r="AL6" i="163"/>
  <c r="W44" i="186" l="1"/>
  <c r="W44" i="185"/>
  <c r="D20" i="164"/>
  <c r="T20" i="164" l="1"/>
  <c r="T16" i="162" l="1"/>
  <c r="AN44" i="164" l="1"/>
  <c r="AN8" i="164"/>
  <c r="AN9" i="164"/>
  <c r="AN10" i="164"/>
  <c r="AN11" i="164"/>
  <c r="AN12" i="164"/>
  <c r="AN13" i="164"/>
  <c r="AN14" i="164"/>
  <c r="AN15" i="164"/>
  <c r="AN16" i="164"/>
  <c r="AN17" i="164"/>
  <c r="AN18" i="164"/>
  <c r="AN19" i="164"/>
  <c r="AN20" i="164"/>
  <c r="AN21" i="164"/>
  <c r="AN22" i="164"/>
  <c r="AN23" i="164"/>
  <c r="AN24" i="164"/>
  <c r="AN25" i="164"/>
  <c r="AN26" i="164"/>
  <c r="AN27" i="164"/>
  <c r="AN28" i="164"/>
  <c r="AN29" i="164"/>
  <c r="AN30" i="164"/>
  <c r="AN31" i="164"/>
  <c r="AN32" i="164"/>
  <c r="AN33" i="164"/>
  <c r="AN34" i="164"/>
  <c r="AN35" i="164"/>
  <c r="AN36" i="164"/>
  <c r="AN37" i="164"/>
  <c r="AN38" i="164"/>
  <c r="AN39" i="164"/>
  <c r="AN40" i="164"/>
  <c r="AN41" i="164"/>
  <c r="AL6" i="162"/>
  <c r="AL6" i="160"/>
  <c r="AL6" i="159"/>
  <c r="AL6" i="158"/>
  <c r="AL6" i="157"/>
  <c r="AL6" i="156"/>
  <c r="AL6" i="155"/>
  <c r="AL6" i="154"/>
  <c r="AL6" i="153"/>
  <c r="AL6" i="150"/>
  <c r="AL41" i="150" l="1"/>
  <c r="AL41" i="153"/>
  <c r="AL41" i="154"/>
  <c r="AL41" i="155"/>
  <c r="AL41" i="156"/>
  <c r="AL41" i="157"/>
  <c r="AL41" i="158"/>
  <c r="AL41" i="159"/>
  <c r="AL41" i="160"/>
  <c r="AL41" i="162"/>
  <c r="AQ42" i="164" l="1"/>
  <c r="AP42" i="164"/>
  <c r="AO42" i="164"/>
  <c r="Y42" i="164"/>
  <c r="X42" i="164"/>
  <c r="U42" i="164"/>
  <c r="W41" i="164"/>
  <c r="D41" i="164"/>
  <c r="C41" i="164"/>
  <c r="AA40" i="164"/>
  <c r="E40" i="164"/>
  <c r="B40" i="164"/>
  <c r="AA39" i="164"/>
  <c r="E39" i="164"/>
  <c r="D39" i="164"/>
  <c r="C39" i="164"/>
  <c r="B39" i="164"/>
  <c r="AA38" i="164"/>
  <c r="E38" i="164"/>
  <c r="B38" i="164"/>
  <c r="AA37" i="164"/>
  <c r="E37" i="164"/>
  <c r="B37" i="164"/>
  <c r="AA36" i="164"/>
  <c r="E36" i="164"/>
  <c r="B36" i="164"/>
  <c r="AA35" i="164"/>
  <c r="E35" i="164"/>
  <c r="D35" i="164"/>
  <c r="B35" i="164"/>
  <c r="AA34" i="164"/>
  <c r="E34" i="164"/>
  <c r="B34" i="164"/>
  <c r="AA33" i="164"/>
  <c r="E33" i="164"/>
  <c r="B33" i="164"/>
  <c r="AA32" i="164"/>
  <c r="E32" i="164"/>
  <c r="B32" i="164"/>
  <c r="AA31" i="164"/>
  <c r="E31" i="164"/>
  <c r="B31" i="164"/>
  <c r="AA30" i="164"/>
  <c r="E30" i="164"/>
  <c r="B30" i="164"/>
  <c r="AA29" i="164"/>
  <c r="E29" i="164"/>
  <c r="B29" i="164"/>
  <c r="AA28" i="164"/>
  <c r="E28" i="164"/>
  <c r="B28" i="164"/>
  <c r="AA27" i="164"/>
  <c r="E27" i="164"/>
  <c r="B27" i="164"/>
  <c r="AA26" i="164"/>
  <c r="E26" i="164"/>
  <c r="B26" i="164"/>
  <c r="AA25" i="164"/>
  <c r="E25" i="164"/>
  <c r="B25" i="164"/>
  <c r="AA24" i="164"/>
  <c r="E24" i="164"/>
  <c r="B24" i="164"/>
  <c r="AA23" i="164"/>
  <c r="E23" i="164"/>
  <c r="B23" i="164"/>
  <c r="AA22" i="164"/>
  <c r="E22" i="164"/>
  <c r="B22" i="164"/>
  <c r="AA21" i="164"/>
  <c r="E21" i="164"/>
  <c r="D21" i="164"/>
  <c r="C21" i="164"/>
  <c r="B21" i="164"/>
  <c r="AK20" i="164"/>
  <c r="AJ20" i="164"/>
  <c r="AI20" i="164"/>
  <c r="AH20" i="164"/>
  <c r="AG20" i="164"/>
  <c r="AF20" i="164"/>
  <c r="AE20" i="164"/>
  <c r="AD20" i="164"/>
  <c r="AC20" i="164"/>
  <c r="AB20" i="164"/>
  <c r="AA20" i="164"/>
  <c r="Z20" i="164"/>
  <c r="V20" i="164"/>
  <c r="AM20" i="164"/>
  <c r="S20" i="164"/>
  <c r="R20" i="164"/>
  <c r="J19" i="165" s="1"/>
  <c r="Q20" i="164"/>
  <c r="I19" i="165" s="1"/>
  <c r="P20" i="164"/>
  <c r="H19" i="165" s="1"/>
  <c r="O20" i="164"/>
  <c r="G19" i="165" s="1"/>
  <c r="N20" i="164"/>
  <c r="F19" i="165" s="1"/>
  <c r="M20" i="164"/>
  <c r="E19" i="165" s="1"/>
  <c r="L20" i="164"/>
  <c r="D19" i="165" s="1"/>
  <c r="K20" i="164"/>
  <c r="J20" i="164"/>
  <c r="B20" i="164"/>
  <c r="AA19" i="164"/>
  <c r="E19" i="164"/>
  <c r="B19" i="164"/>
  <c r="AA18" i="164"/>
  <c r="E18" i="164"/>
  <c r="B18" i="164"/>
  <c r="AA17" i="164"/>
  <c r="E17" i="164"/>
  <c r="B17" i="164"/>
  <c r="AA16" i="164"/>
  <c r="E16" i="164"/>
  <c r="B16" i="164"/>
  <c r="AA15" i="164"/>
  <c r="E15" i="164"/>
  <c r="B15" i="164"/>
  <c r="AA14" i="164"/>
  <c r="E14" i="164"/>
  <c r="B14" i="164"/>
  <c r="AA13" i="164"/>
  <c r="E13" i="164"/>
  <c r="B13" i="164"/>
  <c r="AA12" i="164"/>
  <c r="E12" i="164"/>
  <c r="B12" i="164"/>
  <c r="AA11" i="164"/>
  <c r="E11" i="164"/>
  <c r="B11" i="164"/>
  <c r="AA10" i="164"/>
  <c r="E10" i="164"/>
  <c r="B10" i="164"/>
  <c r="AA9" i="164"/>
  <c r="E9" i="164"/>
  <c r="B9" i="164"/>
  <c r="AA8" i="164"/>
  <c r="E8" i="164"/>
  <c r="B8" i="164"/>
  <c r="AA7" i="164"/>
  <c r="E7" i="164"/>
  <c r="C7" i="164"/>
  <c r="B7" i="164"/>
  <c r="B39" i="165"/>
  <c r="B38" i="165"/>
  <c r="B37" i="165"/>
  <c r="B36" i="165"/>
  <c r="B35" i="165"/>
  <c r="B34" i="165"/>
  <c r="B33" i="165"/>
  <c r="B32" i="165"/>
  <c r="B31" i="165"/>
  <c r="B30" i="165"/>
  <c r="B29" i="165"/>
  <c r="B28" i="165"/>
  <c r="B27" i="165"/>
  <c r="B26" i="165"/>
  <c r="B25" i="165"/>
  <c r="B24" i="165"/>
  <c r="B23" i="165"/>
  <c r="B22" i="165"/>
  <c r="B21" i="165"/>
  <c r="B20" i="165"/>
  <c r="B19" i="165"/>
  <c r="B18" i="165"/>
  <c r="B17" i="165"/>
  <c r="B16" i="165"/>
  <c r="B15" i="165"/>
  <c r="B14" i="165"/>
  <c r="B13" i="165"/>
  <c r="B12" i="165"/>
  <c r="B11" i="165"/>
  <c r="B10" i="165"/>
  <c r="B9" i="165"/>
  <c r="B8" i="165"/>
  <c r="B7" i="165"/>
  <c r="B6" i="165"/>
  <c r="L19" i="165" l="1"/>
  <c r="M19" i="165" s="1"/>
  <c r="C38" i="165"/>
  <c r="W20" i="164"/>
  <c r="K19" i="165" s="1"/>
  <c r="C20" i="165"/>
  <c r="AA42" i="164"/>
  <c r="E42" i="164"/>
  <c r="C31" i="92" l="1"/>
  <c r="V16" i="147" l="1"/>
  <c r="S16" i="147"/>
  <c r="T7" i="147" l="1"/>
  <c r="AK39" i="163" l="1"/>
  <c r="AJ39" i="163"/>
  <c r="AI39" i="163"/>
  <c r="AH39" i="163"/>
  <c r="AG39" i="163"/>
  <c r="AF39" i="163"/>
  <c r="AE39" i="163"/>
  <c r="AD39" i="163"/>
  <c r="Z39" i="163"/>
  <c r="Y39" i="163"/>
  <c r="X39" i="163"/>
  <c r="W39" i="163"/>
  <c r="V39" i="163"/>
  <c r="U39" i="163"/>
  <c r="S39" i="163"/>
  <c r="R39" i="163"/>
  <c r="Q39" i="163"/>
  <c r="J39" i="163"/>
  <c r="AK38" i="163"/>
  <c r="AJ38" i="163"/>
  <c r="AI38" i="163"/>
  <c r="AH38" i="163"/>
  <c r="AG38" i="163"/>
  <c r="AF38" i="163"/>
  <c r="AE38" i="163"/>
  <c r="AD38" i="163"/>
  <c r="Z38" i="163"/>
  <c r="Y38" i="163"/>
  <c r="X38" i="163"/>
  <c r="W38" i="163"/>
  <c r="V38" i="163"/>
  <c r="U38" i="163"/>
  <c r="S38" i="163"/>
  <c r="R38" i="163"/>
  <c r="Q38" i="163"/>
  <c r="J38" i="163"/>
  <c r="AK37" i="163"/>
  <c r="AJ37" i="163"/>
  <c r="AI37" i="163"/>
  <c r="AH37" i="163"/>
  <c r="AG37" i="163"/>
  <c r="AF37" i="163"/>
  <c r="AE37" i="163"/>
  <c r="AD37" i="163"/>
  <c r="Z37" i="163"/>
  <c r="Y37" i="163"/>
  <c r="X37" i="163"/>
  <c r="W37" i="163"/>
  <c r="V37" i="163"/>
  <c r="U37" i="163"/>
  <c r="S37" i="163"/>
  <c r="R37" i="163"/>
  <c r="Q37" i="163"/>
  <c r="J37" i="163"/>
  <c r="AK36" i="163"/>
  <c r="AJ36" i="163"/>
  <c r="AI36" i="163"/>
  <c r="AH36" i="163"/>
  <c r="AG36" i="163"/>
  <c r="AF36" i="163"/>
  <c r="AE36" i="163"/>
  <c r="AD36" i="163"/>
  <c r="Z36" i="163"/>
  <c r="Y36" i="163"/>
  <c r="X36" i="163"/>
  <c r="W36" i="163"/>
  <c r="V36" i="163"/>
  <c r="U36" i="163"/>
  <c r="S36" i="163"/>
  <c r="R36" i="163"/>
  <c r="Q36" i="163"/>
  <c r="J36" i="163"/>
  <c r="AK35" i="163"/>
  <c r="AJ35" i="163"/>
  <c r="AI35" i="163"/>
  <c r="AH35" i="163"/>
  <c r="AG35" i="163"/>
  <c r="AF35" i="163"/>
  <c r="AE35" i="163"/>
  <c r="AD35" i="163"/>
  <c r="Z35" i="163"/>
  <c r="Y35" i="163"/>
  <c r="X35" i="163"/>
  <c r="W35" i="163"/>
  <c r="V35" i="163"/>
  <c r="U35" i="163"/>
  <c r="S35" i="163"/>
  <c r="R35" i="163"/>
  <c r="Q35" i="163"/>
  <c r="J35" i="163"/>
  <c r="AK34" i="163"/>
  <c r="AJ34" i="163"/>
  <c r="AI34" i="163"/>
  <c r="AH34" i="163"/>
  <c r="AG34" i="163"/>
  <c r="AF34" i="163"/>
  <c r="AE34" i="163"/>
  <c r="AD34" i="163"/>
  <c r="Z34" i="163"/>
  <c r="Y34" i="163"/>
  <c r="X34" i="163"/>
  <c r="W34" i="163"/>
  <c r="V34" i="163"/>
  <c r="U34" i="163"/>
  <c r="S34" i="163"/>
  <c r="R34" i="163"/>
  <c r="Q34" i="163"/>
  <c r="J34" i="163"/>
  <c r="AK33" i="163"/>
  <c r="AJ33" i="163"/>
  <c r="AI33" i="163"/>
  <c r="AH33" i="163"/>
  <c r="AG33" i="163"/>
  <c r="AF33" i="163"/>
  <c r="AE33" i="163"/>
  <c r="AD33" i="163"/>
  <c r="Z33" i="163"/>
  <c r="Y33" i="163"/>
  <c r="X33" i="163"/>
  <c r="W33" i="163"/>
  <c r="V33" i="163"/>
  <c r="U33" i="163"/>
  <c r="S33" i="163"/>
  <c r="R33" i="163"/>
  <c r="Q33" i="163"/>
  <c r="J33" i="163"/>
  <c r="AK32" i="163"/>
  <c r="AJ32" i="163"/>
  <c r="AI32" i="163"/>
  <c r="AH32" i="163"/>
  <c r="AG32" i="163"/>
  <c r="AF32" i="163"/>
  <c r="AE32" i="163"/>
  <c r="AD32" i="163"/>
  <c r="Z32" i="163"/>
  <c r="Y32" i="163"/>
  <c r="X32" i="163"/>
  <c r="W32" i="163"/>
  <c r="V32" i="163"/>
  <c r="U32" i="163"/>
  <c r="S32" i="163"/>
  <c r="R32" i="163"/>
  <c r="Q32" i="163"/>
  <c r="J32" i="163"/>
  <c r="AK31" i="163"/>
  <c r="AJ31" i="163"/>
  <c r="AI31" i="163"/>
  <c r="AH31" i="163"/>
  <c r="AG31" i="163"/>
  <c r="AF31" i="163"/>
  <c r="AE31" i="163"/>
  <c r="AD31" i="163"/>
  <c r="Z31" i="163"/>
  <c r="Y31" i="163"/>
  <c r="X31" i="163"/>
  <c r="W31" i="163"/>
  <c r="V31" i="163"/>
  <c r="U31" i="163"/>
  <c r="S31" i="163"/>
  <c r="R31" i="163"/>
  <c r="Q31" i="163"/>
  <c r="J31" i="163"/>
  <c r="AK30" i="163"/>
  <c r="AJ30" i="163"/>
  <c r="AI30" i="163"/>
  <c r="AH30" i="163"/>
  <c r="AG30" i="163"/>
  <c r="AF30" i="163"/>
  <c r="AE30" i="163"/>
  <c r="AD30" i="163"/>
  <c r="Z30" i="163"/>
  <c r="Y30" i="163"/>
  <c r="X30" i="163"/>
  <c r="W30" i="163"/>
  <c r="V30" i="163"/>
  <c r="U30" i="163"/>
  <c r="S30" i="163"/>
  <c r="R30" i="163"/>
  <c r="Q30" i="163"/>
  <c r="J30" i="163"/>
  <c r="AK29" i="163"/>
  <c r="AJ29" i="163"/>
  <c r="AI29" i="163"/>
  <c r="AH29" i="163"/>
  <c r="AG29" i="163"/>
  <c r="AF29" i="163"/>
  <c r="AE29" i="163"/>
  <c r="AD29" i="163"/>
  <c r="Z29" i="163"/>
  <c r="Y29" i="163"/>
  <c r="X29" i="163"/>
  <c r="W29" i="163"/>
  <c r="V29" i="163"/>
  <c r="U29" i="163"/>
  <c r="S29" i="163"/>
  <c r="R29" i="163"/>
  <c r="Q29" i="163"/>
  <c r="J29" i="163"/>
  <c r="AK28" i="163"/>
  <c r="AJ28" i="163"/>
  <c r="AI28" i="163"/>
  <c r="AH28" i="163"/>
  <c r="AG28" i="163"/>
  <c r="AF28" i="163"/>
  <c r="AE28" i="163"/>
  <c r="AD28" i="163"/>
  <c r="Z28" i="163"/>
  <c r="Y28" i="163"/>
  <c r="X28" i="163"/>
  <c r="W28" i="163"/>
  <c r="V28" i="163"/>
  <c r="U28" i="163"/>
  <c r="S28" i="163"/>
  <c r="R28" i="163"/>
  <c r="Q28" i="163"/>
  <c r="J28" i="163"/>
  <c r="AK27" i="163"/>
  <c r="AJ27" i="163"/>
  <c r="AI27" i="163"/>
  <c r="AH27" i="163"/>
  <c r="AG27" i="163"/>
  <c r="AF27" i="163"/>
  <c r="AE27" i="163"/>
  <c r="AD27" i="163"/>
  <c r="Z27" i="163"/>
  <c r="Y27" i="163"/>
  <c r="X27" i="163"/>
  <c r="W27" i="163"/>
  <c r="V27" i="163"/>
  <c r="U27" i="163"/>
  <c r="S27" i="163"/>
  <c r="R27" i="163"/>
  <c r="Q27" i="163"/>
  <c r="J27" i="163"/>
  <c r="AK26" i="163"/>
  <c r="AJ26" i="163"/>
  <c r="AI26" i="163"/>
  <c r="AH26" i="163"/>
  <c r="AG26" i="163"/>
  <c r="AF26" i="163"/>
  <c r="AE26" i="163"/>
  <c r="AD26" i="163"/>
  <c r="Z26" i="163"/>
  <c r="Y26" i="163"/>
  <c r="X26" i="163"/>
  <c r="W26" i="163"/>
  <c r="V26" i="163"/>
  <c r="U26" i="163"/>
  <c r="S26" i="163"/>
  <c r="R26" i="163"/>
  <c r="Q26" i="163"/>
  <c r="J26" i="163"/>
  <c r="AK25" i="163"/>
  <c r="AJ25" i="163"/>
  <c r="AI25" i="163"/>
  <c r="AH25" i="163"/>
  <c r="AG25" i="163"/>
  <c r="AF25" i="163"/>
  <c r="AE25" i="163"/>
  <c r="AD25" i="163"/>
  <c r="Z25" i="163"/>
  <c r="Y25" i="163"/>
  <c r="X25" i="163"/>
  <c r="W25" i="163"/>
  <c r="V25" i="163"/>
  <c r="U25" i="163"/>
  <c r="S25" i="163"/>
  <c r="R25" i="163"/>
  <c r="Q25" i="163"/>
  <c r="J25" i="163"/>
  <c r="AK24" i="163"/>
  <c r="AJ24" i="163"/>
  <c r="AI24" i="163"/>
  <c r="AH24" i="163"/>
  <c r="AG24" i="163"/>
  <c r="AF24" i="163"/>
  <c r="AE24" i="163"/>
  <c r="AD24" i="163"/>
  <c r="Z24" i="163"/>
  <c r="Y24" i="163"/>
  <c r="X24" i="163"/>
  <c r="W24" i="163"/>
  <c r="V24" i="163"/>
  <c r="U24" i="163"/>
  <c r="S24" i="163"/>
  <c r="R24" i="163"/>
  <c r="Q24" i="163"/>
  <c r="J24" i="163"/>
  <c r="AK23" i="163"/>
  <c r="AJ23" i="163"/>
  <c r="AI23" i="163"/>
  <c r="AH23" i="163"/>
  <c r="AG23" i="163"/>
  <c r="AF23" i="163"/>
  <c r="AE23" i="163"/>
  <c r="AD23" i="163"/>
  <c r="Z23" i="163"/>
  <c r="Y23" i="163"/>
  <c r="X23" i="163"/>
  <c r="W23" i="163"/>
  <c r="V23" i="163"/>
  <c r="U23" i="163"/>
  <c r="S23" i="163"/>
  <c r="R23" i="163"/>
  <c r="Q23" i="163"/>
  <c r="J23" i="163"/>
  <c r="AK22" i="163"/>
  <c r="AJ22" i="163"/>
  <c r="AI22" i="163"/>
  <c r="AH22" i="163"/>
  <c r="AG22" i="163"/>
  <c r="AF22" i="163"/>
  <c r="AE22" i="163"/>
  <c r="AD22" i="163"/>
  <c r="Z22" i="163"/>
  <c r="Y22" i="163"/>
  <c r="X22" i="163"/>
  <c r="W22" i="163"/>
  <c r="V22" i="163"/>
  <c r="U22" i="163"/>
  <c r="S22" i="163"/>
  <c r="R22" i="163"/>
  <c r="Q22" i="163"/>
  <c r="J22" i="163"/>
  <c r="AK21" i="163"/>
  <c r="AJ21" i="163"/>
  <c r="AI21" i="163"/>
  <c r="AH21" i="163"/>
  <c r="AG21" i="163"/>
  <c r="AF21" i="163"/>
  <c r="AE21" i="163"/>
  <c r="AD21" i="163"/>
  <c r="Z21" i="163"/>
  <c r="Y21" i="163"/>
  <c r="X21" i="163"/>
  <c r="W21" i="163"/>
  <c r="V21" i="163"/>
  <c r="U21" i="163"/>
  <c r="S21" i="163"/>
  <c r="R21" i="163"/>
  <c r="Q21" i="163"/>
  <c r="J21" i="163"/>
  <c r="AK20" i="163"/>
  <c r="AJ20" i="163"/>
  <c r="AI20" i="163"/>
  <c r="AH20" i="163"/>
  <c r="AG20" i="163"/>
  <c r="AF20" i="163"/>
  <c r="AE20" i="163"/>
  <c r="AD20" i="163"/>
  <c r="Z20" i="163"/>
  <c r="Y20" i="163"/>
  <c r="X20" i="163"/>
  <c r="W20" i="163"/>
  <c r="V20" i="163"/>
  <c r="U20" i="163"/>
  <c r="S20" i="163"/>
  <c r="R20" i="163"/>
  <c r="Q20" i="163"/>
  <c r="J20" i="163"/>
  <c r="AK18" i="163"/>
  <c r="AJ18" i="163"/>
  <c r="AI18" i="163"/>
  <c r="AH18" i="163"/>
  <c r="AG18" i="163"/>
  <c r="AF18" i="163"/>
  <c r="AE18" i="163"/>
  <c r="AD18" i="163"/>
  <c r="Z18" i="163"/>
  <c r="Y18" i="163"/>
  <c r="X18" i="163"/>
  <c r="W18" i="163"/>
  <c r="V18" i="163"/>
  <c r="U18" i="163"/>
  <c r="S18" i="163"/>
  <c r="R18" i="163"/>
  <c r="Q18" i="163"/>
  <c r="J18" i="163"/>
  <c r="AK17" i="163"/>
  <c r="AJ17" i="163"/>
  <c r="AI17" i="163"/>
  <c r="AH17" i="163"/>
  <c r="AG17" i="163"/>
  <c r="AF17" i="163"/>
  <c r="AE17" i="163"/>
  <c r="AD17" i="163"/>
  <c r="Z17" i="163"/>
  <c r="Y17" i="163"/>
  <c r="X17" i="163"/>
  <c r="W17" i="163"/>
  <c r="V17" i="163"/>
  <c r="U17" i="163"/>
  <c r="S17" i="163"/>
  <c r="R17" i="163"/>
  <c r="Q17" i="163"/>
  <c r="J17" i="163"/>
  <c r="AK16" i="163"/>
  <c r="AJ16" i="163"/>
  <c r="AI16" i="163"/>
  <c r="AH16" i="163"/>
  <c r="AG16" i="163"/>
  <c r="AF16" i="163"/>
  <c r="AE16" i="163"/>
  <c r="AD16" i="163"/>
  <c r="Z16" i="163"/>
  <c r="Y16" i="163"/>
  <c r="X16" i="163"/>
  <c r="W16" i="163"/>
  <c r="V16" i="163"/>
  <c r="U16" i="163"/>
  <c r="S16" i="163"/>
  <c r="R16" i="163"/>
  <c r="Q16" i="163"/>
  <c r="J16" i="163"/>
  <c r="AK15" i="163"/>
  <c r="AJ15" i="163"/>
  <c r="AI15" i="163"/>
  <c r="AH15" i="163"/>
  <c r="AG15" i="163"/>
  <c r="AF15" i="163"/>
  <c r="AE15" i="163"/>
  <c r="AD15" i="163"/>
  <c r="Z15" i="163"/>
  <c r="Y15" i="163"/>
  <c r="X15" i="163"/>
  <c r="W15" i="163"/>
  <c r="V15" i="163"/>
  <c r="U15" i="163"/>
  <c r="S15" i="163"/>
  <c r="R15" i="163"/>
  <c r="Q15" i="163"/>
  <c r="J15" i="163"/>
  <c r="AK14" i="163"/>
  <c r="AJ14" i="163"/>
  <c r="AI14" i="163"/>
  <c r="AH14" i="163"/>
  <c r="AG14" i="163"/>
  <c r="AF14" i="163"/>
  <c r="AE14" i="163"/>
  <c r="AD14" i="163"/>
  <c r="Z14" i="163"/>
  <c r="Y14" i="163"/>
  <c r="X14" i="163"/>
  <c r="W14" i="163"/>
  <c r="V14" i="163"/>
  <c r="U14" i="163"/>
  <c r="S14" i="163"/>
  <c r="R14" i="163"/>
  <c r="Q14" i="163"/>
  <c r="J14" i="163"/>
  <c r="AK13" i="163"/>
  <c r="AJ13" i="163"/>
  <c r="AI13" i="163"/>
  <c r="AH13" i="163"/>
  <c r="AG13" i="163"/>
  <c r="AF13" i="163"/>
  <c r="AE13" i="163"/>
  <c r="AD13" i="163"/>
  <c r="Z13" i="163"/>
  <c r="Y13" i="163"/>
  <c r="X13" i="163"/>
  <c r="W13" i="163"/>
  <c r="V13" i="163"/>
  <c r="U13" i="163"/>
  <c r="S13" i="163"/>
  <c r="R13" i="163"/>
  <c r="Q13" i="163"/>
  <c r="J13" i="163"/>
  <c r="AK12" i="163"/>
  <c r="AJ12" i="163"/>
  <c r="AI12" i="163"/>
  <c r="AH12" i="163"/>
  <c r="AG12" i="163"/>
  <c r="AF12" i="163"/>
  <c r="AE12" i="163"/>
  <c r="AD12" i="163"/>
  <c r="Z12" i="163"/>
  <c r="Y12" i="163"/>
  <c r="X12" i="163"/>
  <c r="W12" i="163"/>
  <c r="V12" i="163"/>
  <c r="U12" i="163"/>
  <c r="S12" i="163"/>
  <c r="R12" i="163"/>
  <c r="Q12" i="163"/>
  <c r="J12" i="163"/>
  <c r="AK11" i="163"/>
  <c r="AJ11" i="163"/>
  <c r="AI11" i="163"/>
  <c r="AH11" i="163"/>
  <c r="AG11" i="163"/>
  <c r="AF11" i="163"/>
  <c r="AE11" i="163"/>
  <c r="AD11" i="163"/>
  <c r="Z11" i="163"/>
  <c r="Y11" i="163"/>
  <c r="X11" i="163"/>
  <c r="W11" i="163"/>
  <c r="V11" i="163"/>
  <c r="U11" i="163"/>
  <c r="S11" i="163"/>
  <c r="R11" i="163"/>
  <c r="Q11" i="163"/>
  <c r="J11" i="163"/>
  <c r="AK10" i="163"/>
  <c r="AJ10" i="163"/>
  <c r="AI10" i="163"/>
  <c r="AH10" i="163"/>
  <c r="AG10" i="163"/>
  <c r="AF10" i="163"/>
  <c r="AE10" i="163"/>
  <c r="AD10" i="163"/>
  <c r="Z10" i="163"/>
  <c r="Y10" i="163"/>
  <c r="X10" i="163"/>
  <c r="W10" i="163"/>
  <c r="V10" i="163"/>
  <c r="U10" i="163"/>
  <c r="S10" i="163"/>
  <c r="R10" i="163"/>
  <c r="Q10" i="163"/>
  <c r="J10" i="163"/>
  <c r="AK9" i="163"/>
  <c r="AJ9" i="163"/>
  <c r="AI9" i="163"/>
  <c r="AH9" i="163"/>
  <c r="AG9" i="163"/>
  <c r="AF9" i="163"/>
  <c r="AE9" i="163"/>
  <c r="AD9" i="163"/>
  <c r="Z9" i="163"/>
  <c r="Y9" i="163"/>
  <c r="X9" i="163"/>
  <c r="W9" i="163"/>
  <c r="V9" i="163"/>
  <c r="U9" i="163"/>
  <c r="S9" i="163"/>
  <c r="R9" i="163"/>
  <c r="Q9" i="163"/>
  <c r="J9" i="163"/>
  <c r="AK8" i="163"/>
  <c r="AJ8" i="163"/>
  <c r="AI8" i="163"/>
  <c r="AH8" i="163"/>
  <c r="AG8" i="163"/>
  <c r="AF8" i="163"/>
  <c r="AE8" i="163"/>
  <c r="AD8" i="163"/>
  <c r="Z8" i="163"/>
  <c r="Y8" i="163"/>
  <c r="X8" i="163"/>
  <c r="W8" i="163"/>
  <c r="V8" i="163"/>
  <c r="U8" i="163"/>
  <c r="S8" i="163"/>
  <c r="R8" i="163"/>
  <c r="Q8" i="163"/>
  <c r="J8" i="163"/>
  <c r="AK7" i="163"/>
  <c r="AJ7" i="163"/>
  <c r="AI7" i="163"/>
  <c r="AH7" i="163"/>
  <c r="AG7" i="163"/>
  <c r="AF7" i="163"/>
  <c r="AE7" i="163"/>
  <c r="AD7" i="163"/>
  <c r="Z7" i="163"/>
  <c r="Y7" i="163"/>
  <c r="X7" i="163"/>
  <c r="W7" i="163"/>
  <c r="V7" i="163"/>
  <c r="U7" i="163"/>
  <c r="S7" i="163"/>
  <c r="R7" i="163"/>
  <c r="Q7" i="163"/>
  <c r="J7" i="163"/>
  <c r="AK6" i="163"/>
  <c r="AJ6" i="163"/>
  <c r="AI6" i="163"/>
  <c r="AH6" i="163"/>
  <c r="AG6" i="163"/>
  <c r="AE6" i="163"/>
  <c r="AD6" i="163"/>
  <c r="Z6" i="163"/>
  <c r="Y6" i="163"/>
  <c r="X6" i="163"/>
  <c r="W6" i="163"/>
  <c r="V6" i="163"/>
  <c r="U6" i="163"/>
  <c r="S6" i="163"/>
  <c r="R6" i="163"/>
  <c r="Q6" i="163"/>
  <c r="K6" i="163"/>
  <c r="O6" i="163" s="1"/>
  <c r="J6" i="163"/>
  <c r="E7" i="163"/>
  <c r="E8" i="163"/>
  <c r="E9" i="163"/>
  <c r="E10" i="163"/>
  <c r="E11" i="163"/>
  <c r="E12" i="163"/>
  <c r="E13" i="163"/>
  <c r="E14" i="163"/>
  <c r="E15" i="163"/>
  <c r="E16" i="163"/>
  <c r="E17" i="163"/>
  <c r="E18" i="163"/>
  <c r="E6" i="163"/>
  <c r="AA41" i="163"/>
  <c r="D41" i="163"/>
  <c r="C41" i="163"/>
  <c r="E39" i="163"/>
  <c r="B39" i="163"/>
  <c r="E38" i="163"/>
  <c r="B38" i="163"/>
  <c r="E37" i="163"/>
  <c r="B37" i="163"/>
  <c r="E36" i="163"/>
  <c r="B36" i="163"/>
  <c r="E35" i="163"/>
  <c r="B35" i="163"/>
  <c r="E34" i="163"/>
  <c r="B34" i="163"/>
  <c r="E33" i="163"/>
  <c r="B33" i="163"/>
  <c r="E32" i="163"/>
  <c r="B32" i="163"/>
  <c r="E31" i="163"/>
  <c r="B31" i="163"/>
  <c r="E30" i="163"/>
  <c r="B30" i="163"/>
  <c r="E29" i="163"/>
  <c r="B29" i="163"/>
  <c r="E28" i="163"/>
  <c r="B28" i="163"/>
  <c r="E27" i="163"/>
  <c r="B27" i="163"/>
  <c r="E26" i="163"/>
  <c r="B26" i="163"/>
  <c r="E25" i="163"/>
  <c r="B25" i="163"/>
  <c r="E24" i="163"/>
  <c r="B24" i="163"/>
  <c r="E23" i="163"/>
  <c r="B23" i="163"/>
  <c r="E22" i="163"/>
  <c r="B22" i="163"/>
  <c r="E21" i="163"/>
  <c r="B21" i="163"/>
  <c r="E20" i="163"/>
  <c r="B20" i="163"/>
  <c r="B19" i="163"/>
  <c r="B18" i="163"/>
  <c r="B17" i="163"/>
  <c r="B16" i="163"/>
  <c r="B15" i="163"/>
  <c r="B14" i="163"/>
  <c r="B13" i="163"/>
  <c r="B12" i="163"/>
  <c r="B11" i="163"/>
  <c r="B10" i="163"/>
  <c r="B9" i="163"/>
  <c r="B8" i="163"/>
  <c r="B7" i="163"/>
  <c r="B6" i="163"/>
  <c r="E7" i="162"/>
  <c r="E8" i="162"/>
  <c r="E9" i="162"/>
  <c r="E10" i="162"/>
  <c r="E11" i="162"/>
  <c r="E12" i="162"/>
  <c r="E13" i="162"/>
  <c r="E14" i="162"/>
  <c r="E15" i="162"/>
  <c r="E16" i="162"/>
  <c r="E17" i="162"/>
  <c r="E18" i="162"/>
  <c r="E6" i="162"/>
  <c r="AK39" i="162"/>
  <c r="AJ39" i="162"/>
  <c r="AI39" i="162"/>
  <c r="AH39" i="162"/>
  <c r="AG39" i="162"/>
  <c r="AF39" i="162"/>
  <c r="AE39" i="162"/>
  <c r="AD39" i="162"/>
  <c r="Z39" i="162"/>
  <c r="Y39" i="162"/>
  <c r="X39" i="162"/>
  <c r="W39" i="162"/>
  <c r="V39" i="162"/>
  <c r="U39" i="162"/>
  <c r="T39" i="162"/>
  <c r="S39" i="162"/>
  <c r="R39" i="162"/>
  <c r="Q39" i="162"/>
  <c r="J39" i="162"/>
  <c r="AK38" i="162"/>
  <c r="AJ38" i="162"/>
  <c r="AI38" i="162"/>
  <c r="AH38" i="162"/>
  <c r="AG38" i="162"/>
  <c r="AF38" i="162"/>
  <c r="AE38" i="162"/>
  <c r="AD38" i="162"/>
  <c r="Z38" i="162"/>
  <c r="Y38" i="162"/>
  <c r="X38" i="162"/>
  <c r="W38" i="162"/>
  <c r="V38" i="162"/>
  <c r="U38" i="162"/>
  <c r="T38" i="162"/>
  <c r="S38" i="162"/>
  <c r="R38" i="162"/>
  <c r="Q38" i="162"/>
  <c r="J38" i="162"/>
  <c r="AK37" i="162"/>
  <c r="AJ37" i="162"/>
  <c r="AI37" i="162"/>
  <c r="AH37" i="162"/>
  <c r="AG37" i="162"/>
  <c r="AF37" i="162"/>
  <c r="AE37" i="162"/>
  <c r="AD37" i="162"/>
  <c r="Z37" i="162"/>
  <c r="Y37" i="162"/>
  <c r="X37" i="162"/>
  <c r="W37" i="162"/>
  <c r="V37" i="162"/>
  <c r="U37" i="162"/>
  <c r="T37" i="162"/>
  <c r="S37" i="162"/>
  <c r="R37" i="162"/>
  <c r="Q37" i="162"/>
  <c r="J37" i="162"/>
  <c r="AK36" i="162"/>
  <c r="AJ36" i="162"/>
  <c r="AI36" i="162"/>
  <c r="AH36" i="162"/>
  <c r="AG36" i="162"/>
  <c r="AF36" i="162"/>
  <c r="AE36" i="162"/>
  <c r="AD36" i="162"/>
  <c r="Z36" i="162"/>
  <c r="Y36" i="162"/>
  <c r="X36" i="162"/>
  <c r="W36" i="162"/>
  <c r="V36" i="162"/>
  <c r="U36" i="162"/>
  <c r="T36" i="162"/>
  <c r="S36" i="162"/>
  <c r="R36" i="162"/>
  <c r="Q36" i="162"/>
  <c r="J36" i="162"/>
  <c r="AK35" i="162"/>
  <c r="AJ35" i="162"/>
  <c r="AI35" i="162"/>
  <c r="AH35" i="162"/>
  <c r="AG35" i="162"/>
  <c r="AF35" i="162"/>
  <c r="AE35" i="162"/>
  <c r="AD35" i="162"/>
  <c r="Z35" i="162"/>
  <c r="Y35" i="162"/>
  <c r="X35" i="162"/>
  <c r="W35" i="162"/>
  <c r="V35" i="162"/>
  <c r="U35" i="162"/>
  <c r="T35" i="162"/>
  <c r="S35" i="162"/>
  <c r="R35" i="162"/>
  <c r="Q35" i="162"/>
  <c r="J35" i="162"/>
  <c r="AK34" i="162"/>
  <c r="AJ34" i="162"/>
  <c r="AI34" i="162"/>
  <c r="AH34" i="162"/>
  <c r="AG34" i="162"/>
  <c r="AF34" i="162"/>
  <c r="AE34" i="162"/>
  <c r="AD34" i="162"/>
  <c r="Z34" i="162"/>
  <c r="Y34" i="162"/>
  <c r="X34" i="162"/>
  <c r="W34" i="162"/>
  <c r="V34" i="162"/>
  <c r="U34" i="162"/>
  <c r="T34" i="162"/>
  <c r="S34" i="162"/>
  <c r="R34" i="162"/>
  <c r="Q34" i="162"/>
  <c r="J34" i="162"/>
  <c r="AK33" i="162"/>
  <c r="AJ33" i="162"/>
  <c r="AI33" i="162"/>
  <c r="AH33" i="162"/>
  <c r="AG33" i="162"/>
  <c r="AF33" i="162"/>
  <c r="AE33" i="162"/>
  <c r="AD33" i="162"/>
  <c r="Z33" i="162"/>
  <c r="Y33" i="162"/>
  <c r="X33" i="162"/>
  <c r="W33" i="162"/>
  <c r="V33" i="162"/>
  <c r="U33" i="162"/>
  <c r="T33" i="162"/>
  <c r="S33" i="162"/>
  <c r="R33" i="162"/>
  <c r="Q33" i="162"/>
  <c r="J33" i="162"/>
  <c r="AK32" i="162"/>
  <c r="AJ32" i="162"/>
  <c r="AI32" i="162"/>
  <c r="AH32" i="162"/>
  <c r="AG32" i="162"/>
  <c r="AF32" i="162"/>
  <c r="AE32" i="162"/>
  <c r="AD32" i="162"/>
  <c r="Z32" i="162"/>
  <c r="Y32" i="162"/>
  <c r="X32" i="162"/>
  <c r="W32" i="162"/>
  <c r="V32" i="162"/>
  <c r="U32" i="162"/>
  <c r="T32" i="162"/>
  <c r="S32" i="162"/>
  <c r="R32" i="162"/>
  <c r="Q32" i="162"/>
  <c r="J32" i="162"/>
  <c r="AK31" i="162"/>
  <c r="AJ31" i="162"/>
  <c r="AI31" i="162"/>
  <c r="AH31" i="162"/>
  <c r="AG31" i="162"/>
  <c r="AF31" i="162"/>
  <c r="AE31" i="162"/>
  <c r="AD31" i="162"/>
  <c r="Z31" i="162"/>
  <c r="Y31" i="162"/>
  <c r="X31" i="162"/>
  <c r="W31" i="162"/>
  <c r="V31" i="162"/>
  <c r="U31" i="162"/>
  <c r="T31" i="162"/>
  <c r="S31" i="162"/>
  <c r="R31" i="162"/>
  <c r="Q31" i="162"/>
  <c r="J31" i="162"/>
  <c r="AK30" i="162"/>
  <c r="AJ30" i="162"/>
  <c r="AI30" i="162"/>
  <c r="AH30" i="162"/>
  <c r="AG30" i="162"/>
  <c r="AF30" i="162"/>
  <c r="AE30" i="162"/>
  <c r="AD30" i="162"/>
  <c r="Z30" i="162"/>
  <c r="Y30" i="162"/>
  <c r="X30" i="162"/>
  <c r="W30" i="162"/>
  <c r="V30" i="162"/>
  <c r="U30" i="162"/>
  <c r="T30" i="162"/>
  <c r="S30" i="162"/>
  <c r="R30" i="162"/>
  <c r="Q30" i="162"/>
  <c r="J30" i="162"/>
  <c r="AK29" i="162"/>
  <c r="AJ29" i="162"/>
  <c r="AI29" i="162"/>
  <c r="AH29" i="162"/>
  <c r="AG29" i="162"/>
  <c r="AF29" i="162"/>
  <c r="AE29" i="162"/>
  <c r="AD29" i="162"/>
  <c r="Z29" i="162"/>
  <c r="Y29" i="162"/>
  <c r="X29" i="162"/>
  <c r="W29" i="162"/>
  <c r="V29" i="162"/>
  <c r="U29" i="162"/>
  <c r="T29" i="162"/>
  <c r="S29" i="162"/>
  <c r="R29" i="162"/>
  <c r="Q29" i="162"/>
  <c r="J29" i="162"/>
  <c r="AK28" i="162"/>
  <c r="AJ28" i="162"/>
  <c r="AI28" i="162"/>
  <c r="AH28" i="162"/>
  <c r="AG28" i="162"/>
  <c r="AF28" i="162"/>
  <c r="AE28" i="162"/>
  <c r="AD28" i="162"/>
  <c r="Z28" i="162"/>
  <c r="Y28" i="162"/>
  <c r="X28" i="162"/>
  <c r="W28" i="162"/>
  <c r="V28" i="162"/>
  <c r="U28" i="162"/>
  <c r="T28" i="162"/>
  <c r="S28" i="162"/>
  <c r="R28" i="162"/>
  <c r="Q28" i="162"/>
  <c r="J28" i="162"/>
  <c r="AK27" i="162"/>
  <c r="AJ27" i="162"/>
  <c r="AI27" i="162"/>
  <c r="AH27" i="162"/>
  <c r="AG27" i="162"/>
  <c r="AF27" i="162"/>
  <c r="AE27" i="162"/>
  <c r="AD27" i="162"/>
  <c r="Z27" i="162"/>
  <c r="Y27" i="162"/>
  <c r="X27" i="162"/>
  <c r="W27" i="162"/>
  <c r="V27" i="162"/>
  <c r="U27" i="162"/>
  <c r="T27" i="162"/>
  <c r="S27" i="162"/>
  <c r="R27" i="162"/>
  <c r="Q27" i="162"/>
  <c r="J27" i="162"/>
  <c r="AK26" i="162"/>
  <c r="AJ26" i="162"/>
  <c r="AI26" i="162"/>
  <c r="AH26" i="162"/>
  <c r="AG26" i="162"/>
  <c r="AF26" i="162"/>
  <c r="AE26" i="162"/>
  <c r="AD26" i="162"/>
  <c r="Z26" i="162"/>
  <c r="Y26" i="162"/>
  <c r="X26" i="162"/>
  <c r="W26" i="162"/>
  <c r="V26" i="162"/>
  <c r="U26" i="162"/>
  <c r="T26" i="162"/>
  <c r="S26" i="162"/>
  <c r="R26" i="162"/>
  <c r="Q26" i="162"/>
  <c r="J26" i="162"/>
  <c r="AK25" i="162"/>
  <c r="AJ25" i="162"/>
  <c r="AI25" i="162"/>
  <c r="AH25" i="162"/>
  <c r="AG25" i="162"/>
  <c r="AF25" i="162"/>
  <c r="AE25" i="162"/>
  <c r="AD25" i="162"/>
  <c r="Z25" i="162"/>
  <c r="Y25" i="162"/>
  <c r="X25" i="162"/>
  <c r="W25" i="162"/>
  <c r="V25" i="162"/>
  <c r="U25" i="162"/>
  <c r="T25" i="162"/>
  <c r="S25" i="162"/>
  <c r="R25" i="162"/>
  <c r="Q25" i="162"/>
  <c r="J25" i="162"/>
  <c r="AK24" i="162"/>
  <c r="AJ24" i="162"/>
  <c r="AI24" i="162"/>
  <c r="AH24" i="162"/>
  <c r="AG24" i="162"/>
  <c r="AF24" i="162"/>
  <c r="AE24" i="162"/>
  <c r="AD24" i="162"/>
  <c r="Z24" i="162"/>
  <c r="Y24" i="162"/>
  <c r="X24" i="162"/>
  <c r="W24" i="162"/>
  <c r="V24" i="162"/>
  <c r="U24" i="162"/>
  <c r="T24" i="162"/>
  <c r="S24" i="162"/>
  <c r="R24" i="162"/>
  <c r="Q24" i="162"/>
  <c r="J24" i="162"/>
  <c r="AK23" i="162"/>
  <c r="AJ23" i="162"/>
  <c r="AI23" i="162"/>
  <c r="AH23" i="162"/>
  <c r="AG23" i="162"/>
  <c r="AF23" i="162"/>
  <c r="AE23" i="162"/>
  <c r="AD23" i="162"/>
  <c r="Z23" i="162"/>
  <c r="Y23" i="162"/>
  <c r="X23" i="162"/>
  <c r="W23" i="162"/>
  <c r="V23" i="162"/>
  <c r="U23" i="162"/>
  <c r="T23" i="162"/>
  <c r="S23" i="162"/>
  <c r="R23" i="162"/>
  <c r="Q23" i="162"/>
  <c r="J23" i="162"/>
  <c r="AK22" i="162"/>
  <c r="AJ22" i="162"/>
  <c r="AI22" i="162"/>
  <c r="AH22" i="162"/>
  <c r="AG22" i="162"/>
  <c r="AF22" i="162"/>
  <c r="AE22" i="162"/>
  <c r="AD22" i="162"/>
  <c r="Z22" i="162"/>
  <c r="Y22" i="162"/>
  <c r="X22" i="162"/>
  <c r="W22" i="162"/>
  <c r="V22" i="162"/>
  <c r="U22" i="162"/>
  <c r="T22" i="162"/>
  <c r="S22" i="162"/>
  <c r="R22" i="162"/>
  <c r="Q22" i="162"/>
  <c r="J22" i="162"/>
  <c r="AK21" i="162"/>
  <c r="AJ21" i="162"/>
  <c r="AI21" i="162"/>
  <c r="AH21" i="162"/>
  <c r="AG21" i="162"/>
  <c r="AF21" i="162"/>
  <c r="AE21" i="162"/>
  <c r="AD21" i="162"/>
  <c r="Z21" i="162"/>
  <c r="Y21" i="162"/>
  <c r="X21" i="162"/>
  <c r="W21" i="162"/>
  <c r="V21" i="162"/>
  <c r="U21" i="162"/>
  <c r="T21" i="162"/>
  <c r="S21" i="162"/>
  <c r="R21" i="162"/>
  <c r="Q21" i="162"/>
  <c r="J21" i="162"/>
  <c r="AK20" i="162"/>
  <c r="AJ20" i="162"/>
  <c r="AI20" i="162"/>
  <c r="AH20" i="162"/>
  <c r="AG20" i="162"/>
  <c r="AF20" i="162"/>
  <c r="AE20" i="162"/>
  <c r="AD20" i="162"/>
  <c r="Z20" i="162"/>
  <c r="Y20" i="162"/>
  <c r="X20" i="162"/>
  <c r="W20" i="162"/>
  <c r="V20" i="162"/>
  <c r="U20" i="162"/>
  <c r="T20" i="162"/>
  <c r="S20" i="162"/>
  <c r="R20" i="162"/>
  <c r="Q20" i="162"/>
  <c r="J20" i="162"/>
  <c r="AK18" i="162"/>
  <c r="AJ18" i="162"/>
  <c r="AI18" i="162"/>
  <c r="AH18" i="162"/>
  <c r="AG18" i="162"/>
  <c r="AF18" i="162"/>
  <c r="AE18" i="162"/>
  <c r="AD18" i="162"/>
  <c r="Z18" i="162"/>
  <c r="Y18" i="162"/>
  <c r="X18" i="162"/>
  <c r="W18" i="162"/>
  <c r="V18" i="162"/>
  <c r="U18" i="162"/>
  <c r="T18" i="162"/>
  <c r="S18" i="162"/>
  <c r="R18" i="162"/>
  <c r="Q18" i="162"/>
  <c r="J18" i="162"/>
  <c r="AK17" i="162"/>
  <c r="AJ17" i="162"/>
  <c r="AI17" i="162"/>
  <c r="AH17" i="162"/>
  <c r="AG17" i="162"/>
  <c r="AF17" i="162"/>
  <c r="AE17" i="162"/>
  <c r="AD17" i="162"/>
  <c r="Z17" i="162"/>
  <c r="Y17" i="162"/>
  <c r="X17" i="162"/>
  <c r="W17" i="162"/>
  <c r="V17" i="162"/>
  <c r="U17" i="162"/>
  <c r="T17" i="162"/>
  <c r="S17" i="162"/>
  <c r="R17" i="162"/>
  <c r="Q17" i="162"/>
  <c r="J17" i="162"/>
  <c r="AK16" i="162"/>
  <c r="AJ16" i="162"/>
  <c r="AI16" i="162"/>
  <c r="AH16" i="162"/>
  <c r="AG16" i="162"/>
  <c r="AF16" i="162"/>
  <c r="AE16" i="162"/>
  <c r="AD16" i="162"/>
  <c r="Z16" i="162"/>
  <c r="Y16" i="162"/>
  <c r="X16" i="162"/>
  <c r="W16" i="162"/>
  <c r="V16" i="162"/>
  <c r="U16" i="162"/>
  <c r="S16" i="162"/>
  <c r="R16" i="162"/>
  <c r="Q16" i="162"/>
  <c r="J16" i="162"/>
  <c r="AK15" i="162"/>
  <c r="AJ15" i="162"/>
  <c r="AI15" i="162"/>
  <c r="AH15" i="162"/>
  <c r="AG15" i="162"/>
  <c r="AF15" i="162"/>
  <c r="AE15" i="162"/>
  <c r="AD15" i="162"/>
  <c r="Z15" i="162"/>
  <c r="Y15" i="162"/>
  <c r="X15" i="162"/>
  <c r="W15" i="162"/>
  <c r="V15" i="162"/>
  <c r="U15" i="162"/>
  <c r="T15" i="162"/>
  <c r="S15" i="162"/>
  <c r="R15" i="162"/>
  <c r="Q15" i="162"/>
  <c r="J15" i="162"/>
  <c r="AK14" i="162"/>
  <c r="AJ14" i="162"/>
  <c r="AI14" i="162"/>
  <c r="AH14" i="162"/>
  <c r="AG14" i="162"/>
  <c r="AF14" i="162"/>
  <c r="AE14" i="162"/>
  <c r="AD14" i="162"/>
  <c r="Z14" i="162"/>
  <c r="Y14" i="162"/>
  <c r="X14" i="162"/>
  <c r="W14" i="162"/>
  <c r="V14" i="162"/>
  <c r="U14" i="162"/>
  <c r="T14" i="162"/>
  <c r="S14" i="162"/>
  <c r="R14" i="162"/>
  <c r="Q14" i="162"/>
  <c r="J14" i="162"/>
  <c r="AK13" i="162"/>
  <c r="AJ13" i="162"/>
  <c r="AI13" i="162"/>
  <c r="AH13" i="162"/>
  <c r="AG13" i="162"/>
  <c r="AF13" i="162"/>
  <c r="AE13" i="162"/>
  <c r="AD13" i="162"/>
  <c r="Z13" i="162"/>
  <c r="Y13" i="162"/>
  <c r="X13" i="162"/>
  <c r="W13" i="162"/>
  <c r="V13" i="162"/>
  <c r="U13" i="162"/>
  <c r="T13" i="162"/>
  <c r="S13" i="162"/>
  <c r="R13" i="162"/>
  <c r="Q13" i="162"/>
  <c r="J13" i="162"/>
  <c r="AK12" i="162"/>
  <c r="AJ12" i="162"/>
  <c r="AI12" i="162"/>
  <c r="AH12" i="162"/>
  <c r="AG12" i="162"/>
  <c r="AF12" i="162"/>
  <c r="AE12" i="162"/>
  <c r="AD12" i="162"/>
  <c r="Z12" i="162"/>
  <c r="Y12" i="162"/>
  <c r="X12" i="162"/>
  <c r="W12" i="162"/>
  <c r="V12" i="162"/>
  <c r="U12" i="162"/>
  <c r="T12" i="162"/>
  <c r="S12" i="162"/>
  <c r="R12" i="162"/>
  <c r="Q12" i="162"/>
  <c r="J12" i="162"/>
  <c r="AK11" i="162"/>
  <c r="AJ11" i="162"/>
  <c r="AI11" i="162"/>
  <c r="AH11" i="162"/>
  <c r="AG11" i="162"/>
  <c r="AF11" i="162"/>
  <c r="AE11" i="162"/>
  <c r="AD11" i="162"/>
  <c r="Z11" i="162"/>
  <c r="Y11" i="162"/>
  <c r="X11" i="162"/>
  <c r="W11" i="162"/>
  <c r="V11" i="162"/>
  <c r="U11" i="162"/>
  <c r="T11" i="162"/>
  <c r="S11" i="162"/>
  <c r="R11" i="162"/>
  <c r="Q11" i="162"/>
  <c r="J11" i="162"/>
  <c r="AK10" i="162"/>
  <c r="AJ10" i="162"/>
  <c r="AI10" i="162"/>
  <c r="AH10" i="162"/>
  <c r="AG10" i="162"/>
  <c r="AF10" i="162"/>
  <c r="AE10" i="162"/>
  <c r="AD10" i="162"/>
  <c r="Z10" i="162"/>
  <c r="Y10" i="162"/>
  <c r="X10" i="162"/>
  <c r="W10" i="162"/>
  <c r="V10" i="162"/>
  <c r="U10" i="162"/>
  <c r="T10" i="162"/>
  <c r="S10" i="162"/>
  <c r="R10" i="162"/>
  <c r="Q10" i="162"/>
  <c r="J10" i="162"/>
  <c r="AK9" i="162"/>
  <c r="AJ9" i="162"/>
  <c r="AI9" i="162"/>
  <c r="AH9" i="162"/>
  <c r="AG9" i="162"/>
  <c r="AF9" i="162"/>
  <c r="AE9" i="162"/>
  <c r="AD9" i="162"/>
  <c r="Z9" i="162"/>
  <c r="Y9" i="162"/>
  <c r="X9" i="162"/>
  <c r="W9" i="162"/>
  <c r="V9" i="162"/>
  <c r="U9" i="162"/>
  <c r="T9" i="162"/>
  <c r="S9" i="162"/>
  <c r="R9" i="162"/>
  <c r="Q9" i="162"/>
  <c r="J9" i="162"/>
  <c r="AK8" i="162"/>
  <c r="AJ8" i="162"/>
  <c r="AI8" i="162"/>
  <c r="AH8" i="162"/>
  <c r="AG8" i="162"/>
  <c r="AF8" i="162"/>
  <c r="AE8" i="162"/>
  <c r="AD8" i="162"/>
  <c r="Z8" i="162"/>
  <c r="Y8" i="162"/>
  <c r="X8" i="162"/>
  <c r="W8" i="162"/>
  <c r="V8" i="162"/>
  <c r="U8" i="162"/>
  <c r="T8" i="162"/>
  <c r="S8" i="162"/>
  <c r="R8" i="162"/>
  <c r="Q8" i="162"/>
  <c r="J8" i="162"/>
  <c r="AK7" i="162"/>
  <c r="AJ7" i="162"/>
  <c r="AI7" i="162"/>
  <c r="AH7" i="162"/>
  <c r="AG7" i="162"/>
  <c r="AF7" i="162"/>
  <c r="AE7" i="162"/>
  <c r="AD7" i="162"/>
  <c r="Z7" i="162"/>
  <c r="Y7" i="162"/>
  <c r="X7" i="162"/>
  <c r="W7" i="162"/>
  <c r="V7" i="162"/>
  <c r="U7" i="162"/>
  <c r="T7" i="162"/>
  <c r="S7" i="162"/>
  <c r="R7" i="162"/>
  <c r="Q7" i="162"/>
  <c r="J7" i="162"/>
  <c r="AK6" i="162"/>
  <c r="AJ6" i="162"/>
  <c r="AI6" i="162"/>
  <c r="AH6" i="162"/>
  <c r="AG6" i="162"/>
  <c r="AF6" i="162"/>
  <c r="AE6" i="162"/>
  <c r="AD6" i="162"/>
  <c r="Z6" i="162"/>
  <c r="Y6" i="162"/>
  <c r="X6" i="162"/>
  <c r="W6" i="162"/>
  <c r="V6" i="162"/>
  <c r="U6" i="162"/>
  <c r="T6" i="162"/>
  <c r="S6" i="162"/>
  <c r="R6" i="162"/>
  <c r="Q6" i="162"/>
  <c r="K6" i="162"/>
  <c r="L6" i="162" s="1"/>
  <c r="J6" i="162"/>
  <c r="AA41" i="162"/>
  <c r="D41" i="162"/>
  <c r="C41" i="162"/>
  <c r="E39" i="162"/>
  <c r="B39" i="162"/>
  <c r="E38" i="162"/>
  <c r="B38" i="162"/>
  <c r="E37" i="162"/>
  <c r="B37" i="162"/>
  <c r="E36" i="162"/>
  <c r="B36" i="162"/>
  <c r="E35" i="162"/>
  <c r="B35" i="162"/>
  <c r="E34" i="162"/>
  <c r="B34" i="162"/>
  <c r="E33" i="162"/>
  <c r="B33" i="162"/>
  <c r="E32" i="162"/>
  <c r="B32" i="162"/>
  <c r="E31" i="162"/>
  <c r="B31" i="162"/>
  <c r="E30" i="162"/>
  <c r="B30" i="162"/>
  <c r="E29" i="162"/>
  <c r="B29" i="162"/>
  <c r="E28" i="162"/>
  <c r="B28" i="162"/>
  <c r="E27" i="162"/>
  <c r="B27" i="162"/>
  <c r="E26" i="162"/>
  <c r="B26" i="162"/>
  <c r="E25" i="162"/>
  <c r="B25" i="162"/>
  <c r="E24" i="162"/>
  <c r="B24" i="162"/>
  <c r="E23" i="162"/>
  <c r="B23" i="162"/>
  <c r="E22" i="162"/>
  <c r="B22" i="162"/>
  <c r="E21" i="162"/>
  <c r="B21" i="162"/>
  <c r="E20" i="162"/>
  <c r="B20" i="162"/>
  <c r="B19" i="162"/>
  <c r="B18" i="162"/>
  <c r="B17" i="162"/>
  <c r="B16" i="162"/>
  <c r="B15" i="162"/>
  <c r="B14" i="162"/>
  <c r="B13" i="162"/>
  <c r="B12" i="162"/>
  <c r="B11" i="162"/>
  <c r="B10" i="162"/>
  <c r="B9" i="162"/>
  <c r="B8" i="162"/>
  <c r="B7" i="162"/>
  <c r="B6" i="162"/>
  <c r="AK39" i="161"/>
  <c r="AJ39" i="161"/>
  <c r="AI39" i="161"/>
  <c r="AH39" i="161"/>
  <c r="AG39" i="161"/>
  <c r="AF39" i="161"/>
  <c r="AE39" i="161"/>
  <c r="AD39" i="161"/>
  <c r="Z39" i="161"/>
  <c r="Y39" i="161"/>
  <c r="X39" i="161"/>
  <c r="W39" i="161"/>
  <c r="V39" i="161"/>
  <c r="U39" i="161"/>
  <c r="S39" i="161"/>
  <c r="R39" i="161"/>
  <c r="Q39" i="161"/>
  <c r="J39" i="161"/>
  <c r="AK38" i="161"/>
  <c r="AJ38" i="161"/>
  <c r="AI38" i="161"/>
  <c r="AH38" i="161"/>
  <c r="AG38" i="161"/>
  <c r="AF38" i="161"/>
  <c r="AE38" i="161"/>
  <c r="AD38" i="161"/>
  <c r="Z38" i="161"/>
  <c r="Y38" i="161"/>
  <c r="X38" i="161"/>
  <c r="W38" i="161"/>
  <c r="V38" i="161"/>
  <c r="U38" i="161"/>
  <c r="S38" i="161"/>
  <c r="R38" i="161"/>
  <c r="Q38" i="161"/>
  <c r="J38" i="161"/>
  <c r="AK37" i="161"/>
  <c r="AJ37" i="161"/>
  <c r="AI37" i="161"/>
  <c r="AH37" i="161"/>
  <c r="AG37" i="161"/>
  <c r="AF37" i="161"/>
  <c r="AE37" i="161"/>
  <c r="AD37" i="161"/>
  <c r="Z37" i="161"/>
  <c r="Y37" i="161"/>
  <c r="X37" i="161"/>
  <c r="W37" i="161"/>
  <c r="V37" i="161"/>
  <c r="U37" i="161"/>
  <c r="S37" i="161"/>
  <c r="R37" i="161"/>
  <c r="Q37" i="161"/>
  <c r="J37" i="161"/>
  <c r="AK36" i="161"/>
  <c r="AJ36" i="161"/>
  <c r="AI36" i="161"/>
  <c r="AH36" i="161"/>
  <c r="AG36" i="161"/>
  <c r="AF36" i="161"/>
  <c r="AE36" i="161"/>
  <c r="AD36" i="161"/>
  <c r="Z36" i="161"/>
  <c r="Y36" i="161"/>
  <c r="X36" i="161"/>
  <c r="W36" i="161"/>
  <c r="V36" i="161"/>
  <c r="U36" i="161"/>
  <c r="S36" i="161"/>
  <c r="R36" i="161"/>
  <c r="Q36" i="161"/>
  <c r="J36" i="161"/>
  <c r="AK35" i="161"/>
  <c r="AJ35" i="161"/>
  <c r="AI35" i="161"/>
  <c r="AH35" i="161"/>
  <c r="AG35" i="161"/>
  <c r="AF35" i="161"/>
  <c r="AE35" i="161"/>
  <c r="AD35" i="161"/>
  <c r="Z35" i="161"/>
  <c r="Y35" i="161"/>
  <c r="X35" i="161"/>
  <c r="W35" i="161"/>
  <c r="V35" i="161"/>
  <c r="U35" i="161"/>
  <c r="S35" i="161"/>
  <c r="R35" i="161"/>
  <c r="Q35" i="161"/>
  <c r="J35" i="161"/>
  <c r="AK34" i="161"/>
  <c r="AJ34" i="161"/>
  <c r="AI34" i="161"/>
  <c r="AH34" i="161"/>
  <c r="AG34" i="161"/>
  <c r="AF34" i="161"/>
  <c r="AE34" i="161"/>
  <c r="AD34" i="161"/>
  <c r="Z34" i="161"/>
  <c r="Y34" i="161"/>
  <c r="X34" i="161"/>
  <c r="W34" i="161"/>
  <c r="V34" i="161"/>
  <c r="U34" i="161"/>
  <c r="S34" i="161"/>
  <c r="R34" i="161"/>
  <c r="Q34" i="161"/>
  <c r="J34" i="161"/>
  <c r="AK33" i="161"/>
  <c r="AJ33" i="161"/>
  <c r="AI33" i="161"/>
  <c r="AH33" i="161"/>
  <c r="AG33" i="161"/>
  <c r="AF33" i="161"/>
  <c r="AE33" i="161"/>
  <c r="AD33" i="161"/>
  <c r="Z33" i="161"/>
  <c r="Y33" i="161"/>
  <c r="X33" i="161"/>
  <c r="W33" i="161"/>
  <c r="V33" i="161"/>
  <c r="U33" i="161"/>
  <c r="S33" i="161"/>
  <c r="R33" i="161"/>
  <c r="Q33" i="161"/>
  <c r="J33" i="161"/>
  <c r="AK32" i="161"/>
  <c r="AJ32" i="161"/>
  <c r="AI32" i="161"/>
  <c r="AH32" i="161"/>
  <c r="AG32" i="161"/>
  <c r="AF32" i="161"/>
  <c r="AE32" i="161"/>
  <c r="AD32" i="161"/>
  <c r="Z32" i="161"/>
  <c r="Y32" i="161"/>
  <c r="X32" i="161"/>
  <c r="W32" i="161"/>
  <c r="V32" i="161"/>
  <c r="U32" i="161"/>
  <c r="S32" i="161"/>
  <c r="R32" i="161"/>
  <c r="Q32" i="161"/>
  <c r="J32" i="161"/>
  <c r="AK31" i="161"/>
  <c r="AJ31" i="161"/>
  <c r="AI31" i="161"/>
  <c r="AH31" i="161"/>
  <c r="AG31" i="161"/>
  <c r="AF31" i="161"/>
  <c r="AE31" i="161"/>
  <c r="AD31" i="161"/>
  <c r="Z31" i="161"/>
  <c r="Y31" i="161"/>
  <c r="X31" i="161"/>
  <c r="W31" i="161"/>
  <c r="V31" i="161"/>
  <c r="U31" i="161"/>
  <c r="S31" i="161"/>
  <c r="R31" i="161"/>
  <c r="Q31" i="161"/>
  <c r="J31" i="161"/>
  <c r="AK30" i="161"/>
  <c r="AJ30" i="161"/>
  <c r="AI30" i="161"/>
  <c r="AH30" i="161"/>
  <c r="AG30" i="161"/>
  <c r="AF30" i="161"/>
  <c r="AE30" i="161"/>
  <c r="AD30" i="161"/>
  <c r="Z30" i="161"/>
  <c r="Y30" i="161"/>
  <c r="X30" i="161"/>
  <c r="W30" i="161"/>
  <c r="V30" i="161"/>
  <c r="U30" i="161"/>
  <c r="S30" i="161"/>
  <c r="R30" i="161"/>
  <c r="Q30" i="161"/>
  <c r="J30" i="161"/>
  <c r="AK29" i="161"/>
  <c r="AJ29" i="161"/>
  <c r="AI29" i="161"/>
  <c r="AH29" i="161"/>
  <c r="AG29" i="161"/>
  <c r="AF29" i="161"/>
  <c r="AE29" i="161"/>
  <c r="AD29" i="161"/>
  <c r="Z29" i="161"/>
  <c r="Y29" i="161"/>
  <c r="X29" i="161"/>
  <c r="W29" i="161"/>
  <c r="V29" i="161"/>
  <c r="U29" i="161"/>
  <c r="S29" i="161"/>
  <c r="R29" i="161"/>
  <c r="Q29" i="161"/>
  <c r="J29" i="161"/>
  <c r="AK28" i="161"/>
  <c r="AJ28" i="161"/>
  <c r="AI28" i="161"/>
  <c r="AH28" i="161"/>
  <c r="AG28" i="161"/>
  <c r="AF28" i="161"/>
  <c r="AE28" i="161"/>
  <c r="AD28" i="161"/>
  <c r="Z28" i="161"/>
  <c r="Y28" i="161"/>
  <c r="X28" i="161"/>
  <c r="W28" i="161"/>
  <c r="V28" i="161"/>
  <c r="U28" i="161"/>
  <c r="S28" i="161"/>
  <c r="R28" i="161"/>
  <c r="Q28" i="161"/>
  <c r="J28" i="161"/>
  <c r="AK27" i="161"/>
  <c r="AJ27" i="161"/>
  <c r="AI27" i="161"/>
  <c r="AH27" i="161"/>
  <c r="AG27" i="161"/>
  <c r="AF27" i="161"/>
  <c r="AE27" i="161"/>
  <c r="AD27" i="161"/>
  <c r="Z27" i="161"/>
  <c r="Y27" i="161"/>
  <c r="X27" i="161"/>
  <c r="W27" i="161"/>
  <c r="V27" i="161"/>
  <c r="U27" i="161"/>
  <c r="S27" i="161"/>
  <c r="R27" i="161"/>
  <c r="Q27" i="161"/>
  <c r="J27" i="161"/>
  <c r="AK26" i="161"/>
  <c r="AJ26" i="161"/>
  <c r="AI26" i="161"/>
  <c r="AH26" i="161"/>
  <c r="AG26" i="161"/>
  <c r="AF26" i="161"/>
  <c r="AE26" i="161"/>
  <c r="AD26" i="161"/>
  <c r="Z26" i="161"/>
  <c r="Y26" i="161"/>
  <c r="X26" i="161"/>
  <c r="W26" i="161"/>
  <c r="V26" i="161"/>
  <c r="U26" i="161"/>
  <c r="S26" i="161"/>
  <c r="R26" i="161"/>
  <c r="Q26" i="161"/>
  <c r="J26" i="161"/>
  <c r="AK25" i="161"/>
  <c r="AJ25" i="161"/>
  <c r="AI25" i="161"/>
  <c r="AH25" i="161"/>
  <c r="AG25" i="161"/>
  <c r="AF25" i="161"/>
  <c r="AE25" i="161"/>
  <c r="AD25" i="161"/>
  <c r="Z25" i="161"/>
  <c r="Y25" i="161"/>
  <c r="X25" i="161"/>
  <c r="W25" i="161"/>
  <c r="V25" i="161"/>
  <c r="U25" i="161"/>
  <c r="S25" i="161"/>
  <c r="R25" i="161"/>
  <c r="Q25" i="161"/>
  <c r="J25" i="161"/>
  <c r="AK24" i="161"/>
  <c r="AJ24" i="161"/>
  <c r="AI24" i="161"/>
  <c r="AH24" i="161"/>
  <c r="AG24" i="161"/>
  <c r="AF24" i="161"/>
  <c r="AE24" i="161"/>
  <c r="AD24" i="161"/>
  <c r="Z24" i="161"/>
  <c r="Y24" i="161"/>
  <c r="X24" i="161"/>
  <c r="W24" i="161"/>
  <c r="V24" i="161"/>
  <c r="U24" i="161"/>
  <c r="S24" i="161"/>
  <c r="R24" i="161"/>
  <c r="Q24" i="161"/>
  <c r="J24" i="161"/>
  <c r="AK23" i="161"/>
  <c r="AJ23" i="161"/>
  <c r="AI23" i="161"/>
  <c r="AH23" i="161"/>
  <c r="AG23" i="161"/>
  <c r="AF23" i="161"/>
  <c r="AE23" i="161"/>
  <c r="AD23" i="161"/>
  <c r="Z23" i="161"/>
  <c r="Y23" i="161"/>
  <c r="X23" i="161"/>
  <c r="W23" i="161"/>
  <c r="V23" i="161"/>
  <c r="U23" i="161"/>
  <c r="S23" i="161"/>
  <c r="R23" i="161"/>
  <c r="Q23" i="161"/>
  <c r="J23" i="161"/>
  <c r="AK22" i="161"/>
  <c r="AJ22" i="161"/>
  <c r="AI22" i="161"/>
  <c r="AH22" i="161"/>
  <c r="AG22" i="161"/>
  <c r="AF22" i="161"/>
  <c r="AE22" i="161"/>
  <c r="AD22" i="161"/>
  <c r="Z22" i="161"/>
  <c r="Y22" i="161"/>
  <c r="X22" i="161"/>
  <c r="W22" i="161"/>
  <c r="V22" i="161"/>
  <c r="U22" i="161"/>
  <c r="S22" i="161"/>
  <c r="R22" i="161"/>
  <c r="Q22" i="161"/>
  <c r="J22" i="161"/>
  <c r="AK21" i="161"/>
  <c r="AJ21" i="161"/>
  <c r="AI21" i="161"/>
  <c r="AH21" i="161"/>
  <c r="AG21" i="161"/>
  <c r="AF21" i="161"/>
  <c r="AE21" i="161"/>
  <c r="AD21" i="161"/>
  <c r="Z21" i="161"/>
  <c r="Y21" i="161"/>
  <c r="X21" i="161"/>
  <c r="W21" i="161"/>
  <c r="V21" i="161"/>
  <c r="U21" i="161"/>
  <c r="S21" i="161"/>
  <c r="R21" i="161"/>
  <c r="Q21" i="161"/>
  <c r="J21" i="161"/>
  <c r="AK20" i="161"/>
  <c r="AJ20" i="161"/>
  <c r="AI20" i="161"/>
  <c r="AH20" i="161"/>
  <c r="AG20" i="161"/>
  <c r="AF20" i="161"/>
  <c r="AE20" i="161"/>
  <c r="AD20" i="161"/>
  <c r="Z20" i="161"/>
  <c r="Y20" i="161"/>
  <c r="X20" i="161"/>
  <c r="W20" i="161"/>
  <c r="V20" i="161"/>
  <c r="U20" i="161"/>
  <c r="S20" i="161"/>
  <c r="R20" i="161"/>
  <c r="Q20" i="161"/>
  <c r="J20" i="161"/>
  <c r="AK18" i="161"/>
  <c r="AJ18" i="161"/>
  <c r="AI18" i="161"/>
  <c r="AH18" i="161"/>
  <c r="AG18" i="161"/>
  <c r="AF18" i="161"/>
  <c r="AE18" i="161"/>
  <c r="AD18" i="161"/>
  <c r="Z18" i="161"/>
  <c r="Y18" i="161"/>
  <c r="X18" i="161"/>
  <c r="W18" i="161"/>
  <c r="V18" i="161"/>
  <c r="U18" i="161"/>
  <c r="S18" i="161"/>
  <c r="R18" i="161"/>
  <c r="Q18" i="161"/>
  <c r="J18" i="161"/>
  <c r="AK17" i="161"/>
  <c r="AJ17" i="161"/>
  <c r="AI17" i="161"/>
  <c r="AH17" i="161"/>
  <c r="AG17" i="161"/>
  <c r="AF17" i="161"/>
  <c r="AE17" i="161"/>
  <c r="AD17" i="161"/>
  <c r="Z17" i="161"/>
  <c r="Y17" i="161"/>
  <c r="X17" i="161"/>
  <c r="W17" i="161"/>
  <c r="V17" i="161"/>
  <c r="U17" i="161"/>
  <c r="S17" i="161"/>
  <c r="R17" i="161"/>
  <c r="Q17" i="161"/>
  <c r="J17" i="161"/>
  <c r="AK16" i="161"/>
  <c r="AJ16" i="161"/>
  <c r="AI16" i="161"/>
  <c r="AH16" i="161"/>
  <c r="AG16" i="161"/>
  <c r="AF16" i="161"/>
  <c r="AE16" i="161"/>
  <c r="AD16" i="161"/>
  <c r="Z16" i="161"/>
  <c r="Y16" i="161"/>
  <c r="X16" i="161"/>
  <c r="W16" i="161"/>
  <c r="V16" i="161"/>
  <c r="U16" i="161"/>
  <c r="S16" i="161"/>
  <c r="R16" i="161"/>
  <c r="Q16" i="161"/>
  <c r="J16" i="161"/>
  <c r="AK15" i="161"/>
  <c r="AJ15" i="161"/>
  <c r="AI15" i="161"/>
  <c r="AH15" i="161"/>
  <c r="AG15" i="161"/>
  <c r="AF15" i="161"/>
  <c r="AE15" i="161"/>
  <c r="AD15" i="161"/>
  <c r="Z15" i="161"/>
  <c r="Y15" i="161"/>
  <c r="X15" i="161"/>
  <c r="W15" i="161"/>
  <c r="V15" i="161"/>
  <c r="U15" i="161"/>
  <c r="S15" i="161"/>
  <c r="R15" i="161"/>
  <c r="Q15" i="161"/>
  <c r="J15" i="161"/>
  <c r="AK14" i="161"/>
  <c r="AJ14" i="161"/>
  <c r="AI14" i="161"/>
  <c r="AH14" i="161"/>
  <c r="AG14" i="161"/>
  <c r="AF14" i="161"/>
  <c r="AE14" i="161"/>
  <c r="AD14" i="161"/>
  <c r="Z14" i="161"/>
  <c r="Y14" i="161"/>
  <c r="X14" i="161"/>
  <c r="W14" i="161"/>
  <c r="V14" i="161"/>
  <c r="U14" i="161"/>
  <c r="S14" i="161"/>
  <c r="R14" i="161"/>
  <c r="Q14" i="161"/>
  <c r="J14" i="161"/>
  <c r="AK13" i="161"/>
  <c r="AJ13" i="161"/>
  <c r="AI13" i="161"/>
  <c r="AH13" i="161"/>
  <c r="AG13" i="161"/>
  <c r="AF13" i="161"/>
  <c r="AE13" i="161"/>
  <c r="AD13" i="161"/>
  <c r="Z13" i="161"/>
  <c r="Y13" i="161"/>
  <c r="X13" i="161"/>
  <c r="W13" i="161"/>
  <c r="V13" i="161"/>
  <c r="U13" i="161"/>
  <c r="S13" i="161"/>
  <c r="R13" i="161"/>
  <c r="Q13" i="161"/>
  <c r="J13" i="161"/>
  <c r="AK12" i="161"/>
  <c r="AJ12" i="161"/>
  <c r="AI12" i="161"/>
  <c r="AH12" i="161"/>
  <c r="AG12" i="161"/>
  <c r="AF12" i="161"/>
  <c r="AE12" i="161"/>
  <c r="AD12" i="161"/>
  <c r="Z12" i="161"/>
  <c r="Y12" i="161"/>
  <c r="X12" i="161"/>
  <c r="W12" i="161"/>
  <c r="V12" i="161"/>
  <c r="U12" i="161"/>
  <c r="S12" i="161"/>
  <c r="R12" i="161"/>
  <c r="Q12" i="161"/>
  <c r="J12" i="161"/>
  <c r="AK11" i="161"/>
  <c r="AJ11" i="161"/>
  <c r="AI11" i="161"/>
  <c r="AH11" i="161"/>
  <c r="AG11" i="161"/>
  <c r="AF11" i="161"/>
  <c r="AE11" i="161"/>
  <c r="AD11" i="161"/>
  <c r="Z11" i="161"/>
  <c r="Y11" i="161"/>
  <c r="X11" i="161"/>
  <c r="W11" i="161"/>
  <c r="V11" i="161"/>
  <c r="U11" i="161"/>
  <c r="S11" i="161"/>
  <c r="R11" i="161"/>
  <c r="Q11" i="161"/>
  <c r="J11" i="161"/>
  <c r="AK10" i="161"/>
  <c r="AJ10" i="161"/>
  <c r="AI10" i="161"/>
  <c r="AH10" i="161"/>
  <c r="AG10" i="161"/>
  <c r="AF10" i="161"/>
  <c r="AE10" i="161"/>
  <c r="AD10" i="161"/>
  <c r="Z10" i="161"/>
  <c r="Y10" i="161"/>
  <c r="X10" i="161"/>
  <c r="W10" i="161"/>
  <c r="V10" i="161"/>
  <c r="U10" i="161"/>
  <c r="S10" i="161"/>
  <c r="R10" i="161"/>
  <c r="Q10" i="161"/>
  <c r="J10" i="161"/>
  <c r="AK9" i="161"/>
  <c r="AJ9" i="161"/>
  <c r="AI9" i="161"/>
  <c r="AH9" i="161"/>
  <c r="AG9" i="161"/>
  <c r="AF9" i="161"/>
  <c r="AE9" i="161"/>
  <c r="AD9" i="161"/>
  <c r="Z9" i="161"/>
  <c r="Y9" i="161"/>
  <c r="X9" i="161"/>
  <c r="W9" i="161"/>
  <c r="V9" i="161"/>
  <c r="U9" i="161"/>
  <c r="S9" i="161"/>
  <c r="R9" i="161"/>
  <c r="Q9" i="161"/>
  <c r="J9" i="161"/>
  <c r="AK8" i="161"/>
  <c r="AJ8" i="161"/>
  <c r="AI8" i="161"/>
  <c r="AH8" i="161"/>
  <c r="AG8" i="161"/>
  <c r="AF8" i="161"/>
  <c r="AE8" i="161"/>
  <c r="AD8" i="161"/>
  <c r="Z8" i="161"/>
  <c r="Y8" i="161"/>
  <c r="X8" i="161"/>
  <c r="W8" i="161"/>
  <c r="V8" i="161"/>
  <c r="U8" i="161"/>
  <c r="S8" i="161"/>
  <c r="R8" i="161"/>
  <c r="Q8" i="161"/>
  <c r="J8" i="161"/>
  <c r="AK7" i="161"/>
  <c r="AJ7" i="161"/>
  <c r="AI7" i="161"/>
  <c r="AH7" i="161"/>
  <c r="AG7" i="161"/>
  <c r="AF7" i="161"/>
  <c r="AE7" i="161"/>
  <c r="AD7" i="161"/>
  <c r="Z7" i="161"/>
  <c r="Y7" i="161"/>
  <c r="X7" i="161"/>
  <c r="W7" i="161"/>
  <c r="V7" i="161"/>
  <c r="U7" i="161"/>
  <c r="S7" i="161"/>
  <c r="R7" i="161"/>
  <c r="Q7" i="161"/>
  <c r="J7" i="161"/>
  <c r="AK6" i="161"/>
  <c r="AJ6" i="161"/>
  <c r="AE6" i="161"/>
  <c r="AD6" i="161"/>
  <c r="Z6" i="161"/>
  <c r="Y6" i="161"/>
  <c r="X6" i="161"/>
  <c r="W6" i="161"/>
  <c r="V6" i="161"/>
  <c r="U6" i="161"/>
  <c r="S6" i="161"/>
  <c r="R6" i="161"/>
  <c r="Q6" i="161"/>
  <c r="K6" i="161"/>
  <c r="N6" i="161" s="1"/>
  <c r="J6" i="161"/>
  <c r="E7" i="161"/>
  <c r="E8" i="161"/>
  <c r="E9" i="161"/>
  <c r="E10" i="161"/>
  <c r="E11" i="161"/>
  <c r="E12" i="161"/>
  <c r="E13" i="161"/>
  <c r="E14" i="161"/>
  <c r="E15" i="161"/>
  <c r="E16" i="161"/>
  <c r="E17" i="161"/>
  <c r="E18" i="161"/>
  <c r="E6" i="161"/>
  <c r="AA41" i="161"/>
  <c r="D41" i="161"/>
  <c r="C41" i="161"/>
  <c r="E39" i="161"/>
  <c r="B39" i="161"/>
  <c r="E38" i="161"/>
  <c r="B38" i="161"/>
  <c r="E37" i="161"/>
  <c r="B37" i="161"/>
  <c r="E36" i="161"/>
  <c r="B36" i="161"/>
  <c r="E35" i="161"/>
  <c r="B35" i="161"/>
  <c r="E34" i="161"/>
  <c r="B34" i="161"/>
  <c r="E33" i="161"/>
  <c r="B33" i="161"/>
  <c r="E32" i="161"/>
  <c r="B32" i="161"/>
  <c r="E31" i="161"/>
  <c r="B31" i="161"/>
  <c r="E30" i="161"/>
  <c r="B30" i="161"/>
  <c r="E29" i="161"/>
  <c r="B29" i="161"/>
  <c r="E28" i="161"/>
  <c r="B28" i="161"/>
  <c r="E27" i="161"/>
  <c r="B27" i="161"/>
  <c r="E26" i="161"/>
  <c r="B26" i="161"/>
  <c r="E25" i="161"/>
  <c r="B25" i="161"/>
  <c r="E24" i="161"/>
  <c r="B24" i="161"/>
  <c r="E23" i="161"/>
  <c r="B23" i="161"/>
  <c r="E22" i="161"/>
  <c r="B22" i="161"/>
  <c r="E21" i="161"/>
  <c r="B21" i="161"/>
  <c r="E20" i="161"/>
  <c r="B20" i="161"/>
  <c r="B19" i="161"/>
  <c r="B18" i="161"/>
  <c r="B17" i="161"/>
  <c r="B16" i="161"/>
  <c r="B15" i="161"/>
  <c r="B14" i="161"/>
  <c r="B13" i="161"/>
  <c r="B12" i="161"/>
  <c r="B11" i="161"/>
  <c r="B10" i="161"/>
  <c r="B9" i="161"/>
  <c r="B8" i="161"/>
  <c r="B7" i="161"/>
  <c r="B6" i="161"/>
  <c r="AK39" i="160"/>
  <c r="AJ39" i="160"/>
  <c r="AI39" i="160"/>
  <c r="AH39" i="160"/>
  <c r="AG39" i="160"/>
  <c r="AF39" i="160"/>
  <c r="AE39" i="160"/>
  <c r="AD39" i="160"/>
  <c r="Z39" i="160"/>
  <c r="Y39" i="160"/>
  <c r="X39" i="160"/>
  <c r="W39" i="160"/>
  <c r="V39" i="160"/>
  <c r="U39" i="160"/>
  <c r="T39" i="160"/>
  <c r="S39" i="160"/>
  <c r="R39" i="160"/>
  <c r="Q39" i="160"/>
  <c r="J39" i="160"/>
  <c r="AK38" i="160"/>
  <c r="AJ38" i="160"/>
  <c r="AI38" i="160"/>
  <c r="AH38" i="160"/>
  <c r="AG38" i="160"/>
  <c r="AF38" i="160"/>
  <c r="AE38" i="160"/>
  <c r="AD38" i="160"/>
  <c r="Z38" i="160"/>
  <c r="Y38" i="160"/>
  <c r="X38" i="160"/>
  <c r="W38" i="160"/>
  <c r="V38" i="160"/>
  <c r="U38" i="160"/>
  <c r="T38" i="160"/>
  <c r="S38" i="160"/>
  <c r="R38" i="160"/>
  <c r="Q38" i="160"/>
  <c r="J38" i="160"/>
  <c r="AK37" i="160"/>
  <c r="AJ37" i="160"/>
  <c r="AI37" i="160"/>
  <c r="AH37" i="160"/>
  <c r="AG37" i="160"/>
  <c r="AF37" i="160"/>
  <c r="AE37" i="160"/>
  <c r="AD37" i="160"/>
  <c r="Z37" i="160"/>
  <c r="Y37" i="160"/>
  <c r="X37" i="160"/>
  <c r="W37" i="160"/>
  <c r="V37" i="160"/>
  <c r="U37" i="160"/>
  <c r="T37" i="160"/>
  <c r="S37" i="160"/>
  <c r="R37" i="160"/>
  <c r="Q37" i="160"/>
  <c r="J37" i="160"/>
  <c r="AK36" i="160"/>
  <c r="AJ36" i="160"/>
  <c r="AI36" i="160"/>
  <c r="AH36" i="160"/>
  <c r="AG36" i="160"/>
  <c r="AF36" i="160"/>
  <c r="AE36" i="160"/>
  <c r="AD36" i="160"/>
  <c r="Z36" i="160"/>
  <c r="Y36" i="160"/>
  <c r="X36" i="160"/>
  <c r="W36" i="160"/>
  <c r="V36" i="160"/>
  <c r="U36" i="160"/>
  <c r="T36" i="160"/>
  <c r="S36" i="160"/>
  <c r="R36" i="160"/>
  <c r="Q36" i="160"/>
  <c r="J36" i="160"/>
  <c r="AK35" i="160"/>
  <c r="AJ35" i="160"/>
  <c r="AI35" i="160"/>
  <c r="AH35" i="160"/>
  <c r="AG35" i="160"/>
  <c r="AF35" i="160"/>
  <c r="AE35" i="160"/>
  <c r="AD35" i="160"/>
  <c r="Z35" i="160"/>
  <c r="Y35" i="160"/>
  <c r="X35" i="160"/>
  <c r="W35" i="160"/>
  <c r="V35" i="160"/>
  <c r="U35" i="160"/>
  <c r="T35" i="160"/>
  <c r="S35" i="160"/>
  <c r="R35" i="160"/>
  <c r="Q35" i="160"/>
  <c r="J35" i="160"/>
  <c r="AK34" i="160"/>
  <c r="AJ34" i="160"/>
  <c r="AI34" i="160"/>
  <c r="AH34" i="160"/>
  <c r="AG34" i="160"/>
  <c r="AF34" i="160"/>
  <c r="AE34" i="160"/>
  <c r="AD34" i="160"/>
  <c r="Z34" i="160"/>
  <c r="Y34" i="160"/>
  <c r="X34" i="160"/>
  <c r="W34" i="160"/>
  <c r="V34" i="160"/>
  <c r="U34" i="160"/>
  <c r="T34" i="160"/>
  <c r="S34" i="160"/>
  <c r="R34" i="160"/>
  <c r="Q34" i="160"/>
  <c r="J34" i="160"/>
  <c r="AK33" i="160"/>
  <c r="AJ33" i="160"/>
  <c r="AI33" i="160"/>
  <c r="AH33" i="160"/>
  <c r="AG33" i="160"/>
  <c r="AF33" i="160"/>
  <c r="AE33" i="160"/>
  <c r="AD33" i="160"/>
  <c r="Z33" i="160"/>
  <c r="Y33" i="160"/>
  <c r="X33" i="160"/>
  <c r="W33" i="160"/>
  <c r="V33" i="160"/>
  <c r="U33" i="160"/>
  <c r="T33" i="160"/>
  <c r="S33" i="160"/>
  <c r="R33" i="160"/>
  <c r="Q33" i="160"/>
  <c r="J33" i="160"/>
  <c r="AK32" i="160"/>
  <c r="AJ32" i="160"/>
  <c r="AI32" i="160"/>
  <c r="AH32" i="160"/>
  <c r="AG32" i="160"/>
  <c r="AF32" i="160"/>
  <c r="AE32" i="160"/>
  <c r="AD32" i="160"/>
  <c r="Z32" i="160"/>
  <c r="Y32" i="160"/>
  <c r="X32" i="160"/>
  <c r="W32" i="160"/>
  <c r="V32" i="160"/>
  <c r="U32" i="160"/>
  <c r="T32" i="160"/>
  <c r="S32" i="160"/>
  <c r="R32" i="160"/>
  <c r="Q32" i="160"/>
  <c r="J32" i="160"/>
  <c r="AK31" i="160"/>
  <c r="AJ31" i="160"/>
  <c r="AI31" i="160"/>
  <c r="AH31" i="160"/>
  <c r="AG31" i="160"/>
  <c r="AF31" i="160"/>
  <c r="AE31" i="160"/>
  <c r="AD31" i="160"/>
  <c r="Z31" i="160"/>
  <c r="Y31" i="160"/>
  <c r="X31" i="160"/>
  <c r="W31" i="160"/>
  <c r="V31" i="160"/>
  <c r="U31" i="160"/>
  <c r="T31" i="160"/>
  <c r="S31" i="160"/>
  <c r="R31" i="160"/>
  <c r="Q31" i="160"/>
  <c r="J31" i="160"/>
  <c r="AK30" i="160"/>
  <c r="AJ30" i="160"/>
  <c r="AI30" i="160"/>
  <c r="AH30" i="160"/>
  <c r="AG30" i="160"/>
  <c r="AF30" i="160"/>
  <c r="AE30" i="160"/>
  <c r="AD30" i="160"/>
  <c r="Z30" i="160"/>
  <c r="Y30" i="160"/>
  <c r="X30" i="160"/>
  <c r="W30" i="160"/>
  <c r="V30" i="160"/>
  <c r="U30" i="160"/>
  <c r="T30" i="160"/>
  <c r="S30" i="160"/>
  <c r="R30" i="160"/>
  <c r="Q30" i="160"/>
  <c r="J30" i="160"/>
  <c r="AK29" i="160"/>
  <c r="AJ29" i="160"/>
  <c r="AI29" i="160"/>
  <c r="AH29" i="160"/>
  <c r="AG29" i="160"/>
  <c r="AF29" i="160"/>
  <c r="AE29" i="160"/>
  <c r="AD29" i="160"/>
  <c r="Z29" i="160"/>
  <c r="Y29" i="160"/>
  <c r="X29" i="160"/>
  <c r="W29" i="160"/>
  <c r="V29" i="160"/>
  <c r="U29" i="160"/>
  <c r="T29" i="160"/>
  <c r="S29" i="160"/>
  <c r="R29" i="160"/>
  <c r="Q29" i="160"/>
  <c r="J29" i="160"/>
  <c r="AK28" i="160"/>
  <c r="AJ28" i="160"/>
  <c r="AI28" i="160"/>
  <c r="AH28" i="160"/>
  <c r="AG28" i="160"/>
  <c r="AF28" i="160"/>
  <c r="AE28" i="160"/>
  <c r="AD28" i="160"/>
  <c r="Z28" i="160"/>
  <c r="Y28" i="160"/>
  <c r="X28" i="160"/>
  <c r="W28" i="160"/>
  <c r="V28" i="160"/>
  <c r="U28" i="160"/>
  <c r="T28" i="160"/>
  <c r="S28" i="160"/>
  <c r="R28" i="160"/>
  <c r="Q28" i="160"/>
  <c r="J28" i="160"/>
  <c r="AK27" i="160"/>
  <c r="AJ27" i="160"/>
  <c r="AI27" i="160"/>
  <c r="AH27" i="160"/>
  <c r="AG27" i="160"/>
  <c r="AF27" i="160"/>
  <c r="AE27" i="160"/>
  <c r="AD27" i="160"/>
  <c r="Z27" i="160"/>
  <c r="Y27" i="160"/>
  <c r="X27" i="160"/>
  <c r="W27" i="160"/>
  <c r="V27" i="160"/>
  <c r="U27" i="160"/>
  <c r="T27" i="160"/>
  <c r="S27" i="160"/>
  <c r="R27" i="160"/>
  <c r="Q27" i="160"/>
  <c r="J27" i="160"/>
  <c r="AK26" i="160"/>
  <c r="AJ26" i="160"/>
  <c r="AI26" i="160"/>
  <c r="AH26" i="160"/>
  <c r="AG26" i="160"/>
  <c r="AF26" i="160"/>
  <c r="AE26" i="160"/>
  <c r="AD26" i="160"/>
  <c r="Z26" i="160"/>
  <c r="Y26" i="160"/>
  <c r="X26" i="160"/>
  <c r="W26" i="160"/>
  <c r="V26" i="160"/>
  <c r="U26" i="160"/>
  <c r="T26" i="160"/>
  <c r="S26" i="160"/>
  <c r="R26" i="160"/>
  <c r="Q26" i="160"/>
  <c r="J26" i="160"/>
  <c r="AK25" i="160"/>
  <c r="AJ25" i="160"/>
  <c r="AI25" i="160"/>
  <c r="AH25" i="160"/>
  <c r="AG25" i="160"/>
  <c r="AF25" i="160"/>
  <c r="AE25" i="160"/>
  <c r="AD25" i="160"/>
  <c r="Z25" i="160"/>
  <c r="Y25" i="160"/>
  <c r="X25" i="160"/>
  <c r="W25" i="160"/>
  <c r="V25" i="160"/>
  <c r="U25" i="160"/>
  <c r="T25" i="160"/>
  <c r="S25" i="160"/>
  <c r="R25" i="160"/>
  <c r="Q25" i="160"/>
  <c r="J25" i="160"/>
  <c r="AK24" i="160"/>
  <c r="AJ24" i="160"/>
  <c r="AI24" i="160"/>
  <c r="AH24" i="160"/>
  <c r="AG24" i="160"/>
  <c r="AF24" i="160"/>
  <c r="AE24" i="160"/>
  <c r="AD24" i="160"/>
  <c r="Z24" i="160"/>
  <c r="Y24" i="160"/>
  <c r="X24" i="160"/>
  <c r="W24" i="160"/>
  <c r="V24" i="160"/>
  <c r="U24" i="160"/>
  <c r="T24" i="160"/>
  <c r="S24" i="160"/>
  <c r="R24" i="160"/>
  <c r="Q24" i="160"/>
  <c r="J24" i="160"/>
  <c r="AK23" i="160"/>
  <c r="AJ23" i="160"/>
  <c r="AI23" i="160"/>
  <c r="AH23" i="160"/>
  <c r="AG23" i="160"/>
  <c r="AF23" i="160"/>
  <c r="AE23" i="160"/>
  <c r="AD23" i="160"/>
  <c r="Z23" i="160"/>
  <c r="Y23" i="160"/>
  <c r="X23" i="160"/>
  <c r="W23" i="160"/>
  <c r="V23" i="160"/>
  <c r="U23" i="160"/>
  <c r="T23" i="160"/>
  <c r="S23" i="160"/>
  <c r="R23" i="160"/>
  <c r="Q23" i="160"/>
  <c r="J23" i="160"/>
  <c r="AK22" i="160"/>
  <c r="AJ22" i="160"/>
  <c r="AI22" i="160"/>
  <c r="AH22" i="160"/>
  <c r="AG22" i="160"/>
  <c r="AF22" i="160"/>
  <c r="AE22" i="160"/>
  <c r="AD22" i="160"/>
  <c r="Z22" i="160"/>
  <c r="Y22" i="160"/>
  <c r="X22" i="160"/>
  <c r="W22" i="160"/>
  <c r="V22" i="160"/>
  <c r="U22" i="160"/>
  <c r="T22" i="160"/>
  <c r="S22" i="160"/>
  <c r="R22" i="160"/>
  <c r="Q22" i="160"/>
  <c r="J22" i="160"/>
  <c r="AK21" i="160"/>
  <c r="AJ21" i="160"/>
  <c r="AI21" i="160"/>
  <c r="AH21" i="160"/>
  <c r="AG21" i="160"/>
  <c r="AF21" i="160"/>
  <c r="AE21" i="160"/>
  <c r="AD21" i="160"/>
  <c r="Z21" i="160"/>
  <c r="Y21" i="160"/>
  <c r="X21" i="160"/>
  <c r="W21" i="160"/>
  <c r="V21" i="160"/>
  <c r="U21" i="160"/>
  <c r="T21" i="160"/>
  <c r="S21" i="160"/>
  <c r="R21" i="160"/>
  <c r="Q21" i="160"/>
  <c r="J21" i="160"/>
  <c r="AK20" i="160"/>
  <c r="AJ20" i="160"/>
  <c r="AI20" i="160"/>
  <c r="AH20" i="160"/>
  <c r="AG20" i="160"/>
  <c r="AF20" i="160"/>
  <c r="AE20" i="160"/>
  <c r="AD20" i="160"/>
  <c r="Z20" i="160"/>
  <c r="Y20" i="160"/>
  <c r="X20" i="160"/>
  <c r="W20" i="160"/>
  <c r="V20" i="160"/>
  <c r="U20" i="160"/>
  <c r="T20" i="160"/>
  <c r="S20" i="160"/>
  <c r="R20" i="160"/>
  <c r="Q20" i="160"/>
  <c r="J20" i="160"/>
  <c r="AK18" i="160"/>
  <c r="AJ18" i="160"/>
  <c r="AI18" i="160"/>
  <c r="AH18" i="160"/>
  <c r="AG18" i="160"/>
  <c r="AF18" i="160"/>
  <c r="AE18" i="160"/>
  <c r="AD18" i="160"/>
  <c r="Z18" i="160"/>
  <c r="Y18" i="160"/>
  <c r="X18" i="160"/>
  <c r="W18" i="160"/>
  <c r="V18" i="160"/>
  <c r="U18" i="160"/>
  <c r="T18" i="160"/>
  <c r="S18" i="160"/>
  <c r="R18" i="160"/>
  <c r="Q18" i="160"/>
  <c r="J18" i="160"/>
  <c r="AK17" i="160"/>
  <c r="AJ17" i="160"/>
  <c r="AI17" i="160"/>
  <c r="AH17" i="160"/>
  <c r="AG17" i="160"/>
  <c r="AF17" i="160"/>
  <c r="AE17" i="160"/>
  <c r="AD17" i="160"/>
  <c r="Z17" i="160"/>
  <c r="Y17" i="160"/>
  <c r="X17" i="160"/>
  <c r="W17" i="160"/>
  <c r="V17" i="160"/>
  <c r="U17" i="160"/>
  <c r="T17" i="160"/>
  <c r="S17" i="160"/>
  <c r="R17" i="160"/>
  <c r="Q17" i="160"/>
  <c r="J17" i="160"/>
  <c r="AK16" i="160"/>
  <c r="AJ16" i="160"/>
  <c r="AI16" i="160"/>
  <c r="AH16" i="160"/>
  <c r="AG16" i="160"/>
  <c r="AF16" i="160"/>
  <c r="AE16" i="160"/>
  <c r="AD16" i="160"/>
  <c r="Z16" i="160"/>
  <c r="Y16" i="160"/>
  <c r="X16" i="160"/>
  <c r="W16" i="160"/>
  <c r="V16" i="160"/>
  <c r="U16" i="160"/>
  <c r="S16" i="160"/>
  <c r="R16" i="160"/>
  <c r="Q16" i="160"/>
  <c r="J16" i="160"/>
  <c r="AK15" i="160"/>
  <c r="AJ15" i="160"/>
  <c r="AI15" i="160"/>
  <c r="AH15" i="160"/>
  <c r="AG15" i="160"/>
  <c r="AF15" i="160"/>
  <c r="AE15" i="160"/>
  <c r="AD15" i="160"/>
  <c r="Z15" i="160"/>
  <c r="Y15" i="160"/>
  <c r="X15" i="160"/>
  <c r="W15" i="160"/>
  <c r="V15" i="160"/>
  <c r="U15" i="160"/>
  <c r="T15" i="160"/>
  <c r="S15" i="160"/>
  <c r="R15" i="160"/>
  <c r="Q15" i="160"/>
  <c r="J15" i="160"/>
  <c r="AK14" i="160"/>
  <c r="AJ14" i="160"/>
  <c r="AI14" i="160"/>
  <c r="AH14" i="160"/>
  <c r="AG14" i="160"/>
  <c r="AF14" i="160"/>
  <c r="AE14" i="160"/>
  <c r="AD14" i="160"/>
  <c r="Z14" i="160"/>
  <c r="Y14" i="160"/>
  <c r="X14" i="160"/>
  <c r="W14" i="160"/>
  <c r="V14" i="160"/>
  <c r="U14" i="160"/>
  <c r="T14" i="160"/>
  <c r="S14" i="160"/>
  <c r="R14" i="160"/>
  <c r="Q14" i="160"/>
  <c r="J14" i="160"/>
  <c r="AK13" i="160"/>
  <c r="AJ13" i="160"/>
  <c r="AI13" i="160"/>
  <c r="AH13" i="160"/>
  <c r="AG13" i="160"/>
  <c r="AF13" i="160"/>
  <c r="AE13" i="160"/>
  <c r="AD13" i="160"/>
  <c r="Z13" i="160"/>
  <c r="Y13" i="160"/>
  <c r="X13" i="160"/>
  <c r="W13" i="160"/>
  <c r="V13" i="160"/>
  <c r="U13" i="160"/>
  <c r="T13" i="160"/>
  <c r="S13" i="160"/>
  <c r="R13" i="160"/>
  <c r="Q13" i="160"/>
  <c r="J13" i="160"/>
  <c r="AK12" i="160"/>
  <c r="AJ12" i="160"/>
  <c r="AI12" i="160"/>
  <c r="AH12" i="160"/>
  <c r="AG12" i="160"/>
  <c r="AF12" i="160"/>
  <c r="AE12" i="160"/>
  <c r="AD12" i="160"/>
  <c r="Z12" i="160"/>
  <c r="Y12" i="160"/>
  <c r="X12" i="160"/>
  <c r="W12" i="160"/>
  <c r="V12" i="160"/>
  <c r="U12" i="160"/>
  <c r="T12" i="160"/>
  <c r="S12" i="160"/>
  <c r="R12" i="160"/>
  <c r="Q12" i="160"/>
  <c r="J12" i="160"/>
  <c r="AK11" i="160"/>
  <c r="AJ11" i="160"/>
  <c r="AI11" i="160"/>
  <c r="AH11" i="160"/>
  <c r="AG11" i="160"/>
  <c r="AF11" i="160"/>
  <c r="AE11" i="160"/>
  <c r="AD11" i="160"/>
  <c r="Z11" i="160"/>
  <c r="Y11" i="160"/>
  <c r="X11" i="160"/>
  <c r="W11" i="160"/>
  <c r="V11" i="160"/>
  <c r="U11" i="160"/>
  <c r="T11" i="160"/>
  <c r="S11" i="160"/>
  <c r="R11" i="160"/>
  <c r="Q11" i="160"/>
  <c r="J11" i="160"/>
  <c r="AK10" i="160"/>
  <c r="AJ10" i="160"/>
  <c r="AI10" i="160"/>
  <c r="AH10" i="160"/>
  <c r="AG10" i="160"/>
  <c r="AF10" i="160"/>
  <c r="AE10" i="160"/>
  <c r="AD10" i="160"/>
  <c r="Z10" i="160"/>
  <c r="Y10" i="160"/>
  <c r="X10" i="160"/>
  <c r="W10" i="160"/>
  <c r="V10" i="160"/>
  <c r="U10" i="160"/>
  <c r="T10" i="160"/>
  <c r="S10" i="160"/>
  <c r="R10" i="160"/>
  <c r="Q10" i="160"/>
  <c r="J10" i="160"/>
  <c r="AK9" i="160"/>
  <c r="AJ9" i="160"/>
  <c r="AI9" i="160"/>
  <c r="AH9" i="160"/>
  <c r="AG9" i="160"/>
  <c r="AF9" i="160"/>
  <c r="AE9" i="160"/>
  <c r="AD9" i="160"/>
  <c r="Z9" i="160"/>
  <c r="Y9" i="160"/>
  <c r="X9" i="160"/>
  <c r="W9" i="160"/>
  <c r="V9" i="160"/>
  <c r="U9" i="160"/>
  <c r="T9" i="160"/>
  <c r="S9" i="160"/>
  <c r="R9" i="160"/>
  <c r="Q9" i="160"/>
  <c r="J9" i="160"/>
  <c r="AK8" i="160"/>
  <c r="AJ8" i="160"/>
  <c r="AI8" i="160"/>
  <c r="AH8" i="160"/>
  <c r="AG8" i="160"/>
  <c r="AF8" i="160"/>
  <c r="AE8" i="160"/>
  <c r="AD8" i="160"/>
  <c r="Z8" i="160"/>
  <c r="Y8" i="160"/>
  <c r="X8" i="160"/>
  <c r="W8" i="160"/>
  <c r="V8" i="160"/>
  <c r="U8" i="160"/>
  <c r="T8" i="160"/>
  <c r="S8" i="160"/>
  <c r="R8" i="160"/>
  <c r="Q8" i="160"/>
  <c r="J8" i="160"/>
  <c r="AK7" i="160"/>
  <c r="AJ7" i="160"/>
  <c r="AI7" i="160"/>
  <c r="AH7" i="160"/>
  <c r="AG7" i="160"/>
  <c r="AF7" i="160"/>
  <c r="AE7" i="160"/>
  <c r="AD7" i="160"/>
  <c r="Z7" i="160"/>
  <c r="Y7" i="160"/>
  <c r="X7" i="160"/>
  <c r="W7" i="160"/>
  <c r="V7" i="160"/>
  <c r="U7" i="160"/>
  <c r="T7" i="160"/>
  <c r="S7" i="160"/>
  <c r="R7" i="160"/>
  <c r="Q7" i="160"/>
  <c r="J7" i="160"/>
  <c r="AK6" i="160"/>
  <c r="AJ6" i="160"/>
  <c r="AI6" i="160"/>
  <c r="AH6" i="160"/>
  <c r="AG6" i="160"/>
  <c r="AE6" i="160"/>
  <c r="AD6" i="160"/>
  <c r="Z6" i="160"/>
  <c r="Y6" i="160"/>
  <c r="X6" i="160"/>
  <c r="W6" i="160"/>
  <c r="V6" i="160"/>
  <c r="U6" i="160"/>
  <c r="T6" i="160"/>
  <c r="S6" i="160"/>
  <c r="R6" i="160"/>
  <c r="Q6" i="160"/>
  <c r="K6" i="160"/>
  <c r="M6" i="160" s="1"/>
  <c r="J6" i="160"/>
  <c r="E7" i="160"/>
  <c r="E8" i="160"/>
  <c r="E9" i="160"/>
  <c r="E10" i="160"/>
  <c r="E11" i="160"/>
  <c r="E12" i="160"/>
  <c r="E13" i="160"/>
  <c r="E14" i="160"/>
  <c r="E15" i="160"/>
  <c r="E16" i="160"/>
  <c r="E17" i="160"/>
  <c r="E18" i="160"/>
  <c r="E6" i="160"/>
  <c r="AA41" i="160"/>
  <c r="D41" i="160"/>
  <c r="C41" i="160"/>
  <c r="E39" i="160"/>
  <c r="B39" i="160"/>
  <c r="E38" i="160"/>
  <c r="B38" i="160"/>
  <c r="E37" i="160"/>
  <c r="B37" i="160"/>
  <c r="E36" i="160"/>
  <c r="B36" i="160"/>
  <c r="E35" i="160"/>
  <c r="B35" i="160"/>
  <c r="E34" i="160"/>
  <c r="B34" i="160"/>
  <c r="E33" i="160"/>
  <c r="B33" i="160"/>
  <c r="E32" i="160"/>
  <c r="B32" i="160"/>
  <c r="E31" i="160"/>
  <c r="B31" i="160"/>
  <c r="E30" i="160"/>
  <c r="B30" i="160"/>
  <c r="E29" i="160"/>
  <c r="B29" i="160"/>
  <c r="E28" i="160"/>
  <c r="B28" i="160"/>
  <c r="E27" i="160"/>
  <c r="B27" i="160"/>
  <c r="E26" i="160"/>
  <c r="B26" i="160"/>
  <c r="E25" i="160"/>
  <c r="B25" i="160"/>
  <c r="E24" i="160"/>
  <c r="B24" i="160"/>
  <c r="E23" i="160"/>
  <c r="B23" i="160"/>
  <c r="E22" i="160"/>
  <c r="B22" i="160"/>
  <c r="E21" i="160"/>
  <c r="B21" i="160"/>
  <c r="E20" i="160"/>
  <c r="B20" i="160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7" i="160"/>
  <c r="B6" i="160"/>
  <c r="E7" i="159"/>
  <c r="E8" i="159"/>
  <c r="E9" i="159"/>
  <c r="E10" i="159"/>
  <c r="E11" i="159"/>
  <c r="E12" i="159"/>
  <c r="E13" i="159"/>
  <c r="E14" i="159"/>
  <c r="E15" i="159"/>
  <c r="E16" i="159"/>
  <c r="E17" i="159"/>
  <c r="E18" i="159"/>
  <c r="E6" i="159"/>
  <c r="AK39" i="159"/>
  <c r="AJ39" i="159"/>
  <c r="AI39" i="159"/>
  <c r="AH39" i="159"/>
  <c r="AG39" i="159"/>
  <c r="AF39" i="159"/>
  <c r="AE39" i="159"/>
  <c r="AD39" i="159"/>
  <c r="Z39" i="159"/>
  <c r="Y39" i="159"/>
  <c r="X39" i="159"/>
  <c r="W39" i="159"/>
  <c r="V39" i="159"/>
  <c r="U39" i="159"/>
  <c r="T39" i="159"/>
  <c r="S39" i="159"/>
  <c r="R39" i="159"/>
  <c r="Q39" i="159"/>
  <c r="J39" i="159"/>
  <c r="AK38" i="159"/>
  <c r="AJ38" i="159"/>
  <c r="AI38" i="159"/>
  <c r="AH38" i="159"/>
  <c r="AG38" i="159"/>
  <c r="AF38" i="159"/>
  <c r="AE38" i="159"/>
  <c r="AD38" i="159"/>
  <c r="Z38" i="159"/>
  <c r="Y38" i="159"/>
  <c r="X38" i="159"/>
  <c r="W38" i="159"/>
  <c r="V38" i="159"/>
  <c r="U38" i="159"/>
  <c r="T38" i="159"/>
  <c r="S38" i="159"/>
  <c r="R38" i="159"/>
  <c r="Q38" i="159"/>
  <c r="J38" i="159"/>
  <c r="AK37" i="159"/>
  <c r="AJ37" i="159"/>
  <c r="AI37" i="159"/>
  <c r="AH37" i="159"/>
  <c r="AG37" i="159"/>
  <c r="AF37" i="159"/>
  <c r="AE37" i="159"/>
  <c r="AD37" i="159"/>
  <c r="Z37" i="159"/>
  <c r="Y37" i="159"/>
  <c r="X37" i="159"/>
  <c r="W37" i="159"/>
  <c r="V37" i="159"/>
  <c r="U37" i="159"/>
  <c r="T37" i="159"/>
  <c r="S37" i="159"/>
  <c r="R37" i="159"/>
  <c r="Q37" i="159"/>
  <c r="J37" i="159"/>
  <c r="AK36" i="159"/>
  <c r="AJ36" i="159"/>
  <c r="AI36" i="159"/>
  <c r="AH36" i="159"/>
  <c r="AG36" i="159"/>
  <c r="AF36" i="159"/>
  <c r="AE36" i="159"/>
  <c r="AD36" i="159"/>
  <c r="Z36" i="159"/>
  <c r="Y36" i="159"/>
  <c r="X36" i="159"/>
  <c r="W36" i="159"/>
  <c r="V36" i="159"/>
  <c r="U36" i="159"/>
  <c r="T36" i="159"/>
  <c r="S36" i="159"/>
  <c r="R36" i="159"/>
  <c r="Q36" i="159"/>
  <c r="J36" i="159"/>
  <c r="AK35" i="159"/>
  <c r="AJ35" i="159"/>
  <c r="AI35" i="159"/>
  <c r="AH35" i="159"/>
  <c r="AG35" i="159"/>
  <c r="AF35" i="159"/>
  <c r="AE35" i="159"/>
  <c r="AD35" i="159"/>
  <c r="Z35" i="159"/>
  <c r="Y35" i="159"/>
  <c r="X35" i="159"/>
  <c r="W35" i="159"/>
  <c r="V35" i="159"/>
  <c r="U35" i="159"/>
  <c r="T35" i="159"/>
  <c r="S35" i="159"/>
  <c r="R35" i="159"/>
  <c r="Q35" i="159"/>
  <c r="J35" i="159"/>
  <c r="AK34" i="159"/>
  <c r="AJ34" i="159"/>
  <c r="AI34" i="159"/>
  <c r="AH34" i="159"/>
  <c r="AG34" i="159"/>
  <c r="AF34" i="159"/>
  <c r="AE34" i="159"/>
  <c r="AD34" i="159"/>
  <c r="Z34" i="159"/>
  <c r="Y34" i="159"/>
  <c r="X34" i="159"/>
  <c r="W34" i="159"/>
  <c r="V34" i="159"/>
  <c r="U34" i="159"/>
  <c r="T34" i="159"/>
  <c r="S34" i="159"/>
  <c r="R34" i="159"/>
  <c r="Q34" i="159"/>
  <c r="J34" i="159"/>
  <c r="AK33" i="159"/>
  <c r="AJ33" i="159"/>
  <c r="AI33" i="159"/>
  <c r="AH33" i="159"/>
  <c r="AG33" i="159"/>
  <c r="AF33" i="159"/>
  <c r="AE33" i="159"/>
  <c r="AD33" i="159"/>
  <c r="Z33" i="159"/>
  <c r="Y33" i="159"/>
  <c r="X33" i="159"/>
  <c r="W33" i="159"/>
  <c r="V33" i="159"/>
  <c r="U33" i="159"/>
  <c r="T33" i="159"/>
  <c r="S33" i="159"/>
  <c r="R33" i="159"/>
  <c r="Q33" i="159"/>
  <c r="J33" i="159"/>
  <c r="AK32" i="159"/>
  <c r="AJ32" i="159"/>
  <c r="AI32" i="159"/>
  <c r="AH32" i="159"/>
  <c r="AG32" i="159"/>
  <c r="AF32" i="159"/>
  <c r="AE32" i="159"/>
  <c r="AD32" i="159"/>
  <c r="Z32" i="159"/>
  <c r="Y32" i="159"/>
  <c r="X32" i="159"/>
  <c r="W32" i="159"/>
  <c r="V32" i="159"/>
  <c r="U32" i="159"/>
  <c r="T32" i="159"/>
  <c r="S32" i="159"/>
  <c r="R32" i="159"/>
  <c r="Q32" i="159"/>
  <c r="J32" i="159"/>
  <c r="AK31" i="159"/>
  <c r="AJ31" i="159"/>
  <c r="AI31" i="159"/>
  <c r="AH31" i="159"/>
  <c r="AG31" i="159"/>
  <c r="AF31" i="159"/>
  <c r="AE31" i="159"/>
  <c r="AD31" i="159"/>
  <c r="Z31" i="159"/>
  <c r="Y31" i="159"/>
  <c r="X31" i="159"/>
  <c r="W31" i="159"/>
  <c r="V31" i="159"/>
  <c r="U31" i="159"/>
  <c r="T31" i="159"/>
  <c r="S31" i="159"/>
  <c r="R31" i="159"/>
  <c r="Q31" i="159"/>
  <c r="J31" i="159"/>
  <c r="AK30" i="159"/>
  <c r="AJ30" i="159"/>
  <c r="AI30" i="159"/>
  <c r="AH30" i="159"/>
  <c r="AG30" i="159"/>
  <c r="AF30" i="159"/>
  <c r="AE30" i="159"/>
  <c r="AD30" i="159"/>
  <c r="Z30" i="159"/>
  <c r="Y30" i="159"/>
  <c r="X30" i="159"/>
  <c r="W30" i="159"/>
  <c r="V30" i="159"/>
  <c r="U30" i="159"/>
  <c r="T30" i="159"/>
  <c r="S30" i="159"/>
  <c r="R30" i="159"/>
  <c r="Q30" i="159"/>
  <c r="J30" i="159"/>
  <c r="AK29" i="159"/>
  <c r="AJ29" i="159"/>
  <c r="AI29" i="159"/>
  <c r="AH29" i="159"/>
  <c r="AG29" i="159"/>
  <c r="AF29" i="159"/>
  <c r="AE29" i="159"/>
  <c r="AD29" i="159"/>
  <c r="Z29" i="159"/>
  <c r="Y29" i="159"/>
  <c r="X29" i="159"/>
  <c r="W29" i="159"/>
  <c r="V29" i="159"/>
  <c r="U29" i="159"/>
  <c r="T29" i="159"/>
  <c r="S29" i="159"/>
  <c r="R29" i="159"/>
  <c r="Q29" i="159"/>
  <c r="J29" i="159"/>
  <c r="AK28" i="159"/>
  <c r="AJ28" i="159"/>
  <c r="AI28" i="159"/>
  <c r="AH28" i="159"/>
  <c r="AG28" i="159"/>
  <c r="AF28" i="159"/>
  <c r="AE28" i="159"/>
  <c r="AD28" i="159"/>
  <c r="Z28" i="159"/>
  <c r="Y28" i="159"/>
  <c r="X28" i="159"/>
  <c r="W28" i="159"/>
  <c r="V28" i="159"/>
  <c r="U28" i="159"/>
  <c r="T28" i="159"/>
  <c r="S28" i="159"/>
  <c r="R28" i="159"/>
  <c r="Q28" i="159"/>
  <c r="J28" i="159"/>
  <c r="AK27" i="159"/>
  <c r="AJ27" i="159"/>
  <c r="AI27" i="159"/>
  <c r="AH27" i="159"/>
  <c r="AG27" i="159"/>
  <c r="AF27" i="159"/>
  <c r="AE27" i="159"/>
  <c r="AD27" i="159"/>
  <c r="Z27" i="159"/>
  <c r="Y27" i="159"/>
  <c r="X27" i="159"/>
  <c r="W27" i="159"/>
  <c r="V27" i="159"/>
  <c r="U27" i="159"/>
  <c r="T27" i="159"/>
  <c r="S27" i="159"/>
  <c r="R27" i="159"/>
  <c r="Q27" i="159"/>
  <c r="J27" i="159"/>
  <c r="AK26" i="159"/>
  <c r="AJ26" i="159"/>
  <c r="AI26" i="159"/>
  <c r="AH26" i="159"/>
  <c r="AG26" i="159"/>
  <c r="AF26" i="159"/>
  <c r="AE26" i="159"/>
  <c r="AD26" i="159"/>
  <c r="Z26" i="159"/>
  <c r="Y26" i="159"/>
  <c r="X26" i="159"/>
  <c r="W26" i="159"/>
  <c r="V26" i="159"/>
  <c r="U26" i="159"/>
  <c r="T26" i="159"/>
  <c r="S26" i="159"/>
  <c r="R26" i="159"/>
  <c r="Q26" i="159"/>
  <c r="J26" i="159"/>
  <c r="AK25" i="159"/>
  <c r="AJ25" i="159"/>
  <c r="AI25" i="159"/>
  <c r="AH25" i="159"/>
  <c r="AG25" i="159"/>
  <c r="AF25" i="159"/>
  <c r="AE25" i="159"/>
  <c r="AD25" i="159"/>
  <c r="Z25" i="159"/>
  <c r="Y25" i="159"/>
  <c r="X25" i="159"/>
  <c r="W25" i="159"/>
  <c r="V25" i="159"/>
  <c r="U25" i="159"/>
  <c r="T25" i="159"/>
  <c r="S25" i="159"/>
  <c r="R25" i="159"/>
  <c r="Q25" i="159"/>
  <c r="J25" i="159"/>
  <c r="AK24" i="159"/>
  <c r="AJ24" i="159"/>
  <c r="AI24" i="159"/>
  <c r="AH24" i="159"/>
  <c r="AG24" i="159"/>
  <c r="AF24" i="159"/>
  <c r="AE24" i="159"/>
  <c r="AD24" i="159"/>
  <c r="Z24" i="159"/>
  <c r="Y24" i="159"/>
  <c r="X24" i="159"/>
  <c r="W24" i="159"/>
  <c r="V24" i="159"/>
  <c r="U24" i="159"/>
  <c r="T24" i="159"/>
  <c r="S24" i="159"/>
  <c r="R24" i="159"/>
  <c r="Q24" i="159"/>
  <c r="J24" i="159"/>
  <c r="AK23" i="159"/>
  <c r="AJ23" i="159"/>
  <c r="AI23" i="159"/>
  <c r="AH23" i="159"/>
  <c r="AG23" i="159"/>
  <c r="AF23" i="159"/>
  <c r="AE23" i="159"/>
  <c r="AD23" i="159"/>
  <c r="Z23" i="159"/>
  <c r="Y23" i="159"/>
  <c r="X23" i="159"/>
  <c r="W23" i="159"/>
  <c r="V23" i="159"/>
  <c r="U23" i="159"/>
  <c r="T23" i="159"/>
  <c r="S23" i="159"/>
  <c r="R23" i="159"/>
  <c r="Q23" i="159"/>
  <c r="J23" i="159"/>
  <c r="AK22" i="159"/>
  <c r="AJ22" i="159"/>
  <c r="AI22" i="159"/>
  <c r="AH22" i="159"/>
  <c r="AG22" i="159"/>
  <c r="AF22" i="159"/>
  <c r="AE22" i="159"/>
  <c r="AD22" i="159"/>
  <c r="Z22" i="159"/>
  <c r="Y22" i="159"/>
  <c r="X22" i="159"/>
  <c r="W22" i="159"/>
  <c r="V22" i="159"/>
  <c r="U22" i="159"/>
  <c r="T22" i="159"/>
  <c r="S22" i="159"/>
  <c r="R22" i="159"/>
  <c r="Q22" i="159"/>
  <c r="J22" i="159"/>
  <c r="AK21" i="159"/>
  <c r="AJ21" i="159"/>
  <c r="AI21" i="159"/>
  <c r="AH21" i="159"/>
  <c r="AG21" i="159"/>
  <c r="AF21" i="159"/>
  <c r="AE21" i="159"/>
  <c r="AD21" i="159"/>
  <c r="Z21" i="159"/>
  <c r="Y21" i="159"/>
  <c r="X21" i="159"/>
  <c r="W21" i="159"/>
  <c r="V21" i="159"/>
  <c r="U21" i="159"/>
  <c r="T21" i="159"/>
  <c r="S21" i="159"/>
  <c r="R21" i="159"/>
  <c r="Q21" i="159"/>
  <c r="J21" i="159"/>
  <c r="AK20" i="159"/>
  <c r="AJ20" i="159"/>
  <c r="AI20" i="159"/>
  <c r="AH20" i="159"/>
  <c r="AG20" i="159"/>
  <c r="AF20" i="159"/>
  <c r="AE20" i="159"/>
  <c r="AD20" i="159"/>
  <c r="Z20" i="159"/>
  <c r="Y20" i="159"/>
  <c r="X20" i="159"/>
  <c r="W20" i="159"/>
  <c r="V20" i="159"/>
  <c r="U20" i="159"/>
  <c r="T20" i="159"/>
  <c r="S20" i="159"/>
  <c r="R20" i="159"/>
  <c r="Q20" i="159"/>
  <c r="J20" i="159"/>
  <c r="AK18" i="159"/>
  <c r="AJ18" i="159"/>
  <c r="AI18" i="159"/>
  <c r="AH18" i="159"/>
  <c r="AG18" i="159"/>
  <c r="AF18" i="159"/>
  <c r="AE18" i="159"/>
  <c r="AD18" i="159"/>
  <c r="Z18" i="159"/>
  <c r="Y18" i="159"/>
  <c r="X18" i="159"/>
  <c r="W18" i="159"/>
  <c r="V18" i="159"/>
  <c r="U18" i="159"/>
  <c r="T18" i="159"/>
  <c r="S18" i="159"/>
  <c r="R18" i="159"/>
  <c r="Q18" i="159"/>
  <c r="J18" i="159"/>
  <c r="AK17" i="159"/>
  <c r="AJ17" i="159"/>
  <c r="AI17" i="159"/>
  <c r="AH17" i="159"/>
  <c r="AG17" i="159"/>
  <c r="AF17" i="159"/>
  <c r="AE17" i="159"/>
  <c r="AD17" i="159"/>
  <c r="Z17" i="159"/>
  <c r="Y17" i="159"/>
  <c r="X17" i="159"/>
  <c r="W17" i="159"/>
  <c r="V17" i="159"/>
  <c r="U17" i="159"/>
  <c r="T17" i="159"/>
  <c r="S17" i="159"/>
  <c r="R17" i="159"/>
  <c r="Q17" i="159"/>
  <c r="J17" i="159"/>
  <c r="AK16" i="159"/>
  <c r="AJ16" i="159"/>
  <c r="AI16" i="159"/>
  <c r="AH16" i="159"/>
  <c r="AG16" i="159"/>
  <c r="AF16" i="159"/>
  <c r="AE16" i="159"/>
  <c r="AD16" i="159"/>
  <c r="Z16" i="159"/>
  <c r="Y16" i="159"/>
  <c r="X16" i="159"/>
  <c r="W16" i="159"/>
  <c r="V16" i="159"/>
  <c r="U16" i="159"/>
  <c r="T16" i="159"/>
  <c r="S16" i="159"/>
  <c r="R16" i="159"/>
  <c r="Q16" i="159"/>
  <c r="J16" i="159"/>
  <c r="AK15" i="159"/>
  <c r="AJ15" i="159"/>
  <c r="AI15" i="159"/>
  <c r="AH15" i="159"/>
  <c r="AG15" i="159"/>
  <c r="AF15" i="159"/>
  <c r="AE15" i="159"/>
  <c r="AD15" i="159"/>
  <c r="Z15" i="159"/>
  <c r="Y15" i="159"/>
  <c r="X15" i="159"/>
  <c r="W15" i="159"/>
  <c r="V15" i="159"/>
  <c r="U15" i="159"/>
  <c r="T15" i="159"/>
  <c r="S15" i="159"/>
  <c r="R15" i="159"/>
  <c r="Q15" i="159"/>
  <c r="J15" i="159"/>
  <c r="AK14" i="159"/>
  <c r="AJ14" i="159"/>
  <c r="AI14" i="159"/>
  <c r="AH14" i="159"/>
  <c r="AG14" i="159"/>
  <c r="AF14" i="159"/>
  <c r="AE14" i="159"/>
  <c r="AD14" i="159"/>
  <c r="Z14" i="159"/>
  <c r="Y14" i="159"/>
  <c r="X14" i="159"/>
  <c r="W14" i="159"/>
  <c r="V14" i="159"/>
  <c r="U14" i="159"/>
  <c r="T14" i="159"/>
  <c r="S14" i="159"/>
  <c r="R14" i="159"/>
  <c r="Q14" i="159"/>
  <c r="J14" i="159"/>
  <c r="AK13" i="159"/>
  <c r="AJ13" i="159"/>
  <c r="AI13" i="159"/>
  <c r="AH13" i="159"/>
  <c r="AG13" i="159"/>
  <c r="AF13" i="159"/>
  <c r="AE13" i="159"/>
  <c r="AD13" i="159"/>
  <c r="Z13" i="159"/>
  <c r="Y13" i="159"/>
  <c r="X13" i="159"/>
  <c r="W13" i="159"/>
  <c r="V13" i="159"/>
  <c r="U13" i="159"/>
  <c r="T13" i="159"/>
  <c r="S13" i="159"/>
  <c r="R13" i="159"/>
  <c r="Q13" i="159"/>
  <c r="J13" i="159"/>
  <c r="AK12" i="159"/>
  <c r="AJ12" i="159"/>
  <c r="AI12" i="159"/>
  <c r="AH12" i="159"/>
  <c r="AG12" i="159"/>
  <c r="AF12" i="159"/>
  <c r="AE12" i="159"/>
  <c r="AD12" i="159"/>
  <c r="Z12" i="159"/>
  <c r="Y12" i="159"/>
  <c r="X12" i="159"/>
  <c r="W12" i="159"/>
  <c r="V12" i="159"/>
  <c r="U12" i="159"/>
  <c r="T12" i="159"/>
  <c r="S12" i="159"/>
  <c r="R12" i="159"/>
  <c r="Q12" i="159"/>
  <c r="J12" i="159"/>
  <c r="AK11" i="159"/>
  <c r="AJ11" i="159"/>
  <c r="AI11" i="159"/>
  <c r="AH11" i="159"/>
  <c r="AG11" i="159"/>
  <c r="AF11" i="159"/>
  <c r="AE11" i="159"/>
  <c r="AD11" i="159"/>
  <c r="Z11" i="159"/>
  <c r="Y11" i="159"/>
  <c r="X11" i="159"/>
  <c r="W11" i="159"/>
  <c r="V11" i="159"/>
  <c r="U11" i="159"/>
  <c r="T11" i="159"/>
  <c r="S11" i="159"/>
  <c r="R11" i="159"/>
  <c r="Q11" i="159"/>
  <c r="J11" i="159"/>
  <c r="AK10" i="159"/>
  <c r="AJ10" i="159"/>
  <c r="AI10" i="159"/>
  <c r="AH10" i="159"/>
  <c r="AG10" i="159"/>
  <c r="AF10" i="159"/>
  <c r="AE10" i="159"/>
  <c r="AD10" i="159"/>
  <c r="Z10" i="159"/>
  <c r="Y10" i="159"/>
  <c r="X10" i="159"/>
  <c r="W10" i="159"/>
  <c r="V10" i="159"/>
  <c r="U10" i="159"/>
  <c r="T10" i="159"/>
  <c r="S10" i="159"/>
  <c r="R10" i="159"/>
  <c r="Q10" i="159"/>
  <c r="J10" i="159"/>
  <c r="AK9" i="159"/>
  <c r="AJ9" i="159"/>
  <c r="AI9" i="159"/>
  <c r="AH9" i="159"/>
  <c r="AG9" i="159"/>
  <c r="AF9" i="159"/>
  <c r="AE9" i="159"/>
  <c r="AD9" i="159"/>
  <c r="Z9" i="159"/>
  <c r="Y9" i="159"/>
  <c r="X9" i="159"/>
  <c r="W9" i="159"/>
  <c r="V9" i="159"/>
  <c r="U9" i="159"/>
  <c r="T9" i="159"/>
  <c r="S9" i="159"/>
  <c r="R9" i="159"/>
  <c r="Q9" i="159"/>
  <c r="J9" i="159"/>
  <c r="AK8" i="159"/>
  <c r="AJ8" i="159"/>
  <c r="AI8" i="159"/>
  <c r="AH8" i="159"/>
  <c r="AG8" i="159"/>
  <c r="AF8" i="159"/>
  <c r="AE8" i="159"/>
  <c r="AD8" i="159"/>
  <c r="Z8" i="159"/>
  <c r="Y8" i="159"/>
  <c r="X8" i="159"/>
  <c r="W8" i="159"/>
  <c r="V8" i="159"/>
  <c r="U8" i="159"/>
  <c r="T8" i="159"/>
  <c r="S8" i="159"/>
  <c r="R8" i="159"/>
  <c r="Q8" i="159"/>
  <c r="J8" i="159"/>
  <c r="AK7" i="159"/>
  <c r="AJ7" i="159"/>
  <c r="AI7" i="159"/>
  <c r="AH7" i="159"/>
  <c r="AG7" i="159"/>
  <c r="AF7" i="159"/>
  <c r="AE7" i="159"/>
  <c r="AD7" i="159"/>
  <c r="Z7" i="159"/>
  <c r="Y7" i="159"/>
  <c r="X7" i="159"/>
  <c r="W7" i="159"/>
  <c r="V7" i="159"/>
  <c r="U7" i="159"/>
  <c r="T7" i="159"/>
  <c r="S7" i="159"/>
  <c r="R7" i="159"/>
  <c r="Q7" i="159"/>
  <c r="J7" i="159"/>
  <c r="AK6" i="159"/>
  <c r="AJ6" i="159"/>
  <c r="AI6" i="159"/>
  <c r="AH6" i="159"/>
  <c r="AG6" i="159"/>
  <c r="AF6" i="159"/>
  <c r="AE6" i="159"/>
  <c r="AD6" i="159"/>
  <c r="Z6" i="159"/>
  <c r="Y6" i="159"/>
  <c r="X6" i="159"/>
  <c r="W6" i="159"/>
  <c r="V6" i="159"/>
  <c r="U6" i="159"/>
  <c r="T6" i="159"/>
  <c r="S6" i="159"/>
  <c r="R6" i="159"/>
  <c r="Q6" i="159"/>
  <c r="K6" i="159"/>
  <c r="O6" i="159" s="1"/>
  <c r="J6" i="159"/>
  <c r="AA41" i="159"/>
  <c r="D41" i="159"/>
  <c r="C41" i="159"/>
  <c r="E39" i="159"/>
  <c r="B39" i="159"/>
  <c r="E38" i="159"/>
  <c r="B38" i="159"/>
  <c r="E37" i="159"/>
  <c r="B37" i="159"/>
  <c r="E36" i="159"/>
  <c r="B36" i="159"/>
  <c r="E35" i="159"/>
  <c r="B35" i="159"/>
  <c r="E34" i="159"/>
  <c r="B34" i="159"/>
  <c r="E33" i="159"/>
  <c r="B33" i="159"/>
  <c r="E32" i="159"/>
  <c r="B32" i="159"/>
  <c r="E31" i="159"/>
  <c r="B31" i="159"/>
  <c r="E30" i="159"/>
  <c r="B30" i="159"/>
  <c r="E29" i="159"/>
  <c r="B29" i="159"/>
  <c r="E28" i="159"/>
  <c r="B28" i="159"/>
  <c r="E27" i="159"/>
  <c r="B27" i="159"/>
  <c r="E26" i="159"/>
  <c r="B26" i="159"/>
  <c r="E25" i="159"/>
  <c r="B25" i="159"/>
  <c r="E24" i="159"/>
  <c r="B24" i="159"/>
  <c r="E23" i="159"/>
  <c r="B23" i="159"/>
  <c r="E22" i="159"/>
  <c r="B22" i="159"/>
  <c r="E21" i="159"/>
  <c r="B21" i="159"/>
  <c r="E20" i="159"/>
  <c r="B20" i="159"/>
  <c r="B19" i="159"/>
  <c r="B18" i="159"/>
  <c r="B17" i="159"/>
  <c r="B16" i="159"/>
  <c r="B15" i="159"/>
  <c r="B14" i="159"/>
  <c r="B13" i="159"/>
  <c r="B12" i="159"/>
  <c r="B11" i="159"/>
  <c r="B10" i="159"/>
  <c r="B9" i="159"/>
  <c r="B8" i="159"/>
  <c r="B7" i="159"/>
  <c r="B6" i="159"/>
  <c r="AK39" i="158"/>
  <c r="AJ39" i="158"/>
  <c r="AI39" i="158"/>
  <c r="AH39" i="158"/>
  <c r="AG39" i="158"/>
  <c r="AF39" i="158"/>
  <c r="AE39" i="158"/>
  <c r="AD39" i="158"/>
  <c r="Z39" i="158"/>
  <c r="Y39" i="158"/>
  <c r="X39" i="158"/>
  <c r="W39" i="158"/>
  <c r="V39" i="158"/>
  <c r="U39" i="158"/>
  <c r="T39" i="158"/>
  <c r="S39" i="158"/>
  <c r="R39" i="158"/>
  <c r="Q39" i="158"/>
  <c r="J39" i="158"/>
  <c r="AK38" i="158"/>
  <c r="AJ38" i="158"/>
  <c r="AI38" i="158"/>
  <c r="AH38" i="158"/>
  <c r="AG38" i="158"/>
  <c r="AF38" i="158"/>
  <c r="AE38" i="158"/>
  <c r="AD38" i="158"/>
  <c r="Z38" i="158"/>
  <c r="Y38" i="158"/>
  <c r="X38" i="158"/>
  <c r="W38" i="158"/>
  <c r="V38" i="158"/>
  <c r="U38" i="158"/>
  <c r="T38" i="158"/>
  <c r="S38" i="158"/>
  <c r="R38" i="158"/>
  <c r="Q38" i="158"/>
  <c r="J38" i="158"/>
  <c r="AK37" i="158"/>
  <c r="AJ37" i="158"/>
  <c r="AI37" i="158"/>
  <c r="AH37" i="158"/>
  <c r="AG37" i="158"/>
  <c r="AF37" i="158"/>
  <c r="AE37" i="158"/>
  <c r="AD37" i="158"/>
  <c r="Z37" i="158"/>
  <c r="Y37" i="158"/>
  <c r="X37" i="158"/>
  <c r="W37" i="158"/>
  <c r="V37" i="158"/>
  <c r="U37" i="158"/>
  <c r="T37" i="158"/>
  <c r="S37" i="158"/>
  <c r="R37" i="158"/>
  <c r="Q37" i="158"/>
  <c r="J37" i="158"/>
  <c r="AK36" i="158"/>
  <c r="AJ36" i="158"/>
  <c r="AI36" i="158"/>
  <c r="AH36" i="158"/>
  <c r="AG36" i="158"/>
  <c r="AF36" i="158"/>
  <c r="AE36" i="158"/>
  <c r="AD36" i="158"/>
  <c r="Z36" i="158"/>
  <c r="Y36" i="158"/>
  <c r="X36" i="158"/>
  <c r="W36" i="158"/>
  <c r="V36" i="158"/>
  <c r="U36" i="158"/>
  <c r="T36" i="158"/>
  <c r="S36" i="158"/>
  <c r="R36" i="158"/>
  <c r="Q36" i="158"/>
  <c r="J36" i="158"/>
  <c r="AK35" i="158"/>
  <c r="AJ35" i="158"/>
  <c r="AI35" i="158"/>
  <c r="AH35" i="158"/>
  <c r="AG35" i="158"/>
  <c r="AF35" i="158"/>
  <c r="AE35" i="158"/>
  <c r="AD35" i="158"/>
  <c r="Z35" i="158"/>
  <c r="Y35" i="158"/>
  <c r="X35" i="158"/>
  <c r="W35" i="158"/>
  <c r="V35" i="158"/>
  <c r="U35" i="158"/>
  <c r="T35" i="158"/>
  <c r="S35" i="158"/>
  <c r="R35" i="158"/>
  <c r="Q35" i="158"/>
  <c r="J35" i="158"/>
  <c r="AK34" i="158"/>
  <c r="AJ34" i="158"/>
  <c r="AI34" i="158"/>
  <c r="AH34" i="158"/>
  <c r="AG34" i="158"/>
  <c r="AF34" i="158"/>
  <c r="AE34" i="158"/>
  <c r="AD34" i="158"/>
  <c r="Z34" i="158"/>
  <c r="Y34" i="158"/>
  <c r="X34" i="158"/>
  <c r="W34" i="158"/>
  <c r="V34" i="158"/>
  <c r="U34" i="158"/>
  <c r="T34" i="158"/>
  <c r="S34" i="158"/>
  <c r="R34" i="158"/>
  <c r="Q34" i="158"/>
  <c r="J34" i="158"/>
  <c r="AK33" i="158"/>
  <c r="AJ33" i="158"/>
  <c r="AI33" i="158"/>
  <c r="AH33" i="158"/>
  <c r="AG33" i="158"/>
  <c r="AF33" i="158"/>
  <c r="AE33" i="158"/>
  <c r="AD33" i="158"/>
  <c r="Z33" i="158"/>
  <c r="Y33" i="158"/>
  <c r="X33" i="158"/>
  <c r="W33" i="158"/>
  <c r="V33" i="158"/>
  <c r="U33" i="158"/>
  <c r="T33" i="158"/>
  <c r="S33" i="158"/>
  <c r="R33" i="158"/>
  <c r="Q33" i="158"/>
  <c r="J33" i="158"/>
  <c r="AK32" i="158"/>
  <c r="AJ32" i="158"/>
  <c r="AI32" i="158"/>
  <c r="AH32" i="158"/>
  <c r="AG32" i="158"/>
  <c r="AF32" i="158"/>
  <c r="AE32" i="158"/>
  <c r="AD32" i="158"/>
  <c r="Z32" i="158"/>
  <c r="Y32" i="158"/>
  <c r="X32" i="158"/>
  <c r="W32" i="158"/>
  <c r="V32" i="158"/>
  <c r="U32" i="158"/>
  <c r="T32" i="158"/>
  <c r="S32" i="158"/>
  <c r="R32" i="158"/>
  <c r="Q32" i="158"/>
  <c r="J32" i="158"/>
  <c r="AK31" i="158"/>
  <c r="AJ31" i="158"/>
  <c r="AI31" i="158"/>
  <c r="AH31" i="158"/>
  <c r="AG31" i="158"/>
  <c r="AF31" i="158"/>
  <c r="AE31" i="158"/>
  <c r="AD31" i="158"/>
  <c r="Z31" i="158"/>
  <c r="Y31" i="158"/>
  <c r="X31" i="158"/>
  <c r="W31" i="158"/>
  <c r="V31" i="158"/>
  <c r="U31" i="158"/>
  <c r="T31" i="158"/>
  <c r="S31" i="158"/>
  <c r="R31" i="158"/>
  <c r="Q31" i="158"/>
  <c r="J31" i="158"/>
  <c r="AK30" i="158"/>
  <c r="AJ30" i="158"/>
  <c r="AI30" i="158"/>
  <c r="AH30" i="158"/>
  <c r="AG30" i="158"/>
  <c r="AF30" i="158"/>
  <c r="AE30" i="158"/>
  <c r="AD30" i="158"/>
  <c r="Z30" i="158"/>
  <c r="Y30" i="158"/>
  <c r="X30" i="158"/>
  <c r="W30" i="158"/>
  <c r="V30" i="158"/>
  <c r="U30" i="158"/>
  <c r="T30" i="158"/>
  <c r="S30" i="158"/>
  <c r="R30" i="158"/>
  <c r="Q30" i="158"/>
  <c r="J30" i="158"/>
  <c r="AK29" i="158"/>
  <c r="AJ29" i="158"/>
  <c r="AI29" i="158"/>
  <c r="AH29" i="158"/>
  <c r="AG29" i="158"/>
  <c r="AF29" i="158"/>
  <c r="AE29" i="158"/>
  <c r="AD29" i="158"/>
  <c r="Z29" i="158"/>
  <c r="Y29" i="158"/>
  <c r="X29" i="158"/>
  <c r="W29" i="158"/>
  <c r="V29" i="158"/>
  <c r="U29" i="158"/>
  <c r="T29" i="158"/>
  <c r="S29" i="158"/>
  <c r="R29" i="158"/>
  <c r="Q29" i="158"/>
  <c r="J29" i="158"/>
  <c r="AK28" i="158"/>
  <c r="AJ28" i="158"/>
  <c r="AI28" i="158"/>
  <c r="AH28" i="158"/>
  <c r="AG28" i="158"/>
  <c r="AF28" i="158"/>
  <c r="AE28" i="158"/>
  <c r="AD28" i="158"/>
  <c r="Z28" i="158"/>
  <c r="Y28" i="158"/>
  <c r="X28" i="158"/>
  <c r="W28" i="158"/>
  <c r="V28" i="158"/>
  <c r="U28" i="158"/>
  <c r="T28" i="158"/>
  <c r="S28" i="158"/>
  <c r="R28" i="158"/>
  <c r="Q28" i="158"/>
  <c r="J28" i="158"/>
  <c r="AK27" i="158"/>
  <c r="AJ27" i="158"/>
  <c r="AI27" i="158"/>
  <c r="AH27" i="158"/>
  <c r="AG27" i="158"/>
  <c r="AF27" i="158"/>
  <c r="AE27" i="158"/>
  <c r="AD27" i="158"/>
  <c r="Z27" i="158"/>
  <c r="Y27" i="158"/>
  <c r="X27" i="158"/>
  <c r="W27" i="158"/>
  <c r="V27" i="158"/>
  <c r="U27" i="158"/>
  <c r="T27" i="158"/>
  <c r="S27" i="158"/>
  <c r="R27" i="158"/>
  <c r="Q27" i="158"/>
  <c r="J27" i="158"/>
  <c r="AK26" i="158"/>
  <c r="AJ26" i="158"/>
  <c r="AI26" i="158"/>
  <c r="AH26" i="158"/>
  <c r="AG26" i="158"/>
  <c r="AF26" i="158"/>
  <c r="AE26" i="158"/>
  <c r="AD26" i="158"/>
  <c r="Z26" i="158"/>
  <c r="Y26" i="158"/>
  <c r="X26" i="158"/>
  <c r="W26" i="158"/>
  <c r="V26" i="158"/>
  <c r="U26" i="158"/>
  <c r="T26" i="158"/>
  <c r="S26" i="158"/>
  <c r="R26" i="158"/>
  <c r="Q26" i="158"/>
  <c r="J26" i="158"/>
  <c r="AK25" i="158"/>
  <c r="AJ25" i="158"/>
  <c r="AI25" i="158"/>
  <c r="AH25" i="158"/>
  <c r="AG25" i="158"/>
  <c r="AF25" i="158"/>
  <c r="AE25" i="158"/>
  <c r="AD25" i="158"/>
  <c r="Z25" i="158"/>
  <c r="Y25" i="158"/>
  <c r="X25" i="158"/>
  <c r="W25" i="158"/>
  <c r="V25" i="158"/>
  <c r="U25" i="158"/>
  <c r="T25" i="158"/>
  <c r="S25" i="158"/>
  <c r="R25" i="158"/>
  <c r="Q25" i="158"/>
  <c r="J25" i="158"/>
  <c r="AK24" i="158"/>
  <c r="AJ24" i="158"/>
  <c r="AI24" i="158"/>
  <c r="AH24" i="158"/>
  <c r="AG24" i="158"/>
  <c r="AF24" i="158"/>
  <c r="AE24" i="158"/>
  <c r="AD24" i="158"/>
  <c r="Z24" i="158"/>
  <c r="Y24" i="158"/>
  <c r="X24" i="158"/>
  <c r="W24" i="158"/>
  <c r="V24" i="158"/>
  <c r="U24" i="158"/>
  <c r="T24" i="158"/>
  <c r="S24" i="158"/>
  <c r="R24" i="158"/>
  <c r="Q24" i="158"/>
  <c r="J24" i="158"/>
  <c r="AK23" i="158"/>
  <c r="AJ23" i="158"/>
  <c r="AI23" i="158"/>
  <c r="AH23" i="158"/>
  <c r="AG23" i="158"/>
  <c r="AF23" i="158"/>
  <c r="AE23" i="158"/>
  <c r="AD23" i="158"/>
  <c r="Z23" i="158"/>
  <c r="Y23" i="158"/>
  <c r="X23" i="158"/>
  <c r="W23" i="158"/>
  <c r="V23" i="158"/>
  <c r="U23" i="158"/>
  <c r="T23" i="158"/>
  <c r="S23" i="158"/>
  <c r="R23" i="158"/>
  <c r="Q23" i="158"/>
  <c r="J23" i="158"/>
  <c r="AK22" i="158"/>
  <c r="AJ22" i="158"/>
  <c r="AI22" i="158"/>
  <c r="AH22" i="158"/>
  <c r="AG22" i="158"/>
  <c r="AF22" i="158"/>
  <c r="AE22" i="158"/>
  <c r="AD22" i="158"/>
  <c r="Z22" i="158"/>
  <c r="Y22" i="158"/>
  <c r="X22" i="158"/>
  <c r="W22" i="158"/>
  <c r="V22" i="158"/>
  <c r="U22" i="158"/>
  <c r="T22" i="158"/>
  <c r="S22" i="158"/>
  <c r="R22" i="158"/>
  <c r="Q22" i="158"/>
  <c r="J22" i="158"/>
  <c r="AK21" i="158"/>
  <c r="AJ21" i="158"/>
  <c r="AI21" i="158"/>
  <c r="AH21" i="158"/>
  <c r="AG21" i="158"/>
  <c r="AF21" i="158"/>
  <c r="AE21" i="158"/>
  <c r="AD21" i="158"/>
  <c r="Z21" i="158"/>
  <c r="Y21" i="158"/>
  <c r="X21" i="158"/>
  <c r="W21" i="158"/>
  <c r="V21" i="158"/>
  <c r="U21" i="158"/>
  <c r="T21" i="158"/>
  <c r="S21" i="158"/>
  <c r="R21" i="158"/>
  <c r="Q21" i="158"/>
  <c r="J21" i="158"/>
  <c r="AK20" i="158"/>
  <c r="AJ20" i="158"/>
  <c r="AI20" i="158"/>
  <c r="AH20" i="158"/>
  <c r="AG20" i="158"/>
  <c r="AF20" i="158"/>
  <c r="AE20" i="158"/>
  <c r="AD20" i="158"/>
  <c r="Z20" i="158"/>
  <c r="Y20" i="158"/>
  <c r="X20" i="158"/>
  <c r="W20" i="158"/>
  <c r="V20" i="158"/>
  <c r="U20" i="158"/>
  <c r="T20" i="158"/>
  <c r="S20" i="158"/>
  <c r="R20" i="158"/>
  <c r="Q20" i="158"/>
  <c r="J20" i="158"/>
  <c r="AK18" i="158"/>
  <c r="AJ18" i="158"/>
  <c r="AI18" i="158"/>
  <c r="AH18" i="158"/>
  <c r="AG18" i="158"/>
  <c r="AF18" i="158"/>
  <c r="AE18" i="158"/>
  <c r="AD18" i="158"/>
  <c r="Z18" i="158"/>
  <c r="Y18" i="158"/>
  <c r="X18" i="158"/>
  <c r="W18" i="158"/>
  <c r="V18" i="158"/>
  <c r="U18" i="158"/>
  <c r="T18" i="158"/>
  <c r="S18" i="158"/>
  <c r="R18" i="158"/>
  <c r="Q18" i="158"/>
  <c r="J18" i="158"/>
  <c r="AK17" i="158"/>
  <c r="AJ17" i="158"/>
  <c r="AI17" i="158"/>
  <c r="AH17" i="158"/>
  <c r="AG17" i="158"/>
  <c r="AF17" i="158"/>
  <c r="AE17" i="158"/>
  <c r="AD17" i="158"/>
  <c r="Z17" i="158"/>
  <c r="Y17" i="158"/>
  <c r="X17" i="158"/>
  <c r="W17" i="158"/>
  <c r="V17" i="158"/>
  <c r="U17" i="158"/>
  <c r="T17" i="158"/>
  <c r="S17" i="158"/>
  <c r="R17" i="158"/>
  <c r="Q17" i="158"/>
  <c r="J17" i="158"/>
  <c r="AK16" i="158"/>
  <c r="AJ16" i="158"/>
  <c r="AI16" i="158"/>
  <c r="AH16" i="158"/>
  <c r="AG16" i="158"/>
  <c r="AF16" i="158"/>
  <c r="AE16" i="158"/>
  <c r="AD16" i="158"/>
  <c r="Z16" i="158"/>
  <c r="Y16" i="158"/>
  <c r="X16" i="158"/>
  <c r="W16" i="158"/>
  <c r="V16" i="158"/>
  <c r="U16" i="158"/>
  <c r="T16" i="158"/>
  <c r="S16" i="158"/>
  <c r="R16" i="158"/>
  <c r="Q16" i="158"/>
  <c r="J16" i="158"/>
  <c r="AK15" i="158"/>
  <c r="AJ15" i="158"/>
  <c r="AI15" i="158"/>
  <c r="AH15" i="158"/>
  <c r="AG15" i="158"/>
  <c r="AF15" i="158"/>
  <c r="AE15" i="158"/>
  <c r="AD15" i="158"/>
  <c r="Z15" i="158"/>
  <c r="Y15" i="158"/>
  <c r="X15" i="158"/>
  <c r="W15" i="158"/>
  <c r="V15" i="158"/>
  <c r="U15" i="158"/>
  <c r="T15" i="158"/>
  <c r="S15" i="158"/>
  <c r="R15" i="158"/>
  <c r="Q15" i="158"/>
  <c r="J15" i="158"/>
  <c r="AK14" i="158"/>
  <c r="AJ14" i="158"/>
  <c r="AI14" i="158"/>
  <c r="AH14" i="158"/>
  <c r="AG14" i="158"/>
  <c r="AF14" i="158"/>
  <c r="AE14" i="158"/>
  <c r="AD14" i="158"/>
  <c r="Z14" i="158"/>
  <c r="Y14" i="158"/>
  <c r="X14" i="158"/>
  <c r="W14" i="158"/>
  <c r="V14" i="158"/>
  <c r="U14" i="158"/>
  <c r="T14" i="158"/>
  <c r="S14" i="158"/>
  <c r="R14" i="158"/>
  <c r="Q14" i="158"/>
  <c r="J14" i="158"/>
  <c r="AK13" i="158"/>
  <c r="AJ13" i="158"/>
  <c r="AI13" i="158"/>
  <c r="AH13" i="158"/>
  <c r="AG13" i="158"/>
  <c r="AF13" i="158"/>
  <c r="AE13" i="158"/>
  <c r="AD13" i="158"/>
  <c r="Z13" i="158"/>
  <c r="Y13" i="158"/>
  <c r="X13" i="158"/>
  <c r="W13" i="158"/>
  <c r="V13" i="158"/>
  <c r="U13" i="158"/>
  <c r="T13" i="158"/>
  <c r="S13" i="158"/>
  <c r="R13" i="158"/>
  <c r="Q13" i="158"/>
  <c r="J13" i="158"/>
  <c r="AK12" i="158"/>
  <c r="AJ12" i="158"/>
  <c r="AI12" i="158"/>
  <c r="AH12" i="158"/>
  <c r="AG12" i="158"/>
  <c r="AF12" i="158"/>
  <c r="AE12" i="158"/>
  <c r="AD12" i="158"/>
  <c r="Z12" i="158"/>
  <c r="Y12" i="158"/>
  <c r="X12" i="158"/>
  <c r="W12" i="158"/>
  <c r="V12" i="158"/>
  <c r="U12" i="158"/>
  <c r="T12" i="158"/>
  <c r="S12" i="158"/>
  <c r="R12" i="158"/>
  <c r="Q12" i="158"/>
  <c r="J12" i="158"/>
  <c r="AK11" i="158"/>
  <c r="AJ11" i="158"/>
  <c r="AI11" i="158"/>
  <c r="AH11" i="158"/>
  <c r="AG11" i="158"/>
  <c r="AF11" i="158"/>
  <c r="AE11" i="158"/>
  <c r="AD11" i="158"/>
  <c r="Z11" i="158"/>
  <c r="Y11" i="158"/>
  <c r="X11" i="158"/>
  <c r="W11" i="158"/>
  <c r="V11" i="158"/>
  <c r="U11" i="158"/>
  <c r="T11" i="158"/>
  <c r="S11" i="158"/>
  <c r="R11" i="158"/>
  <c r="Q11" i="158"/>
  <c r="J11" i="158"/>
  <c r="AK10" i="158"/>
  <c r="AJ10" i="158"/>
  <c r="AI10" i="158"/>
  <c r="AH10" i="158"/>
  <c r="AG10" i="158"/>
  <c r="AF10" i="158"/>
  <c r="AE10" i="158"/>
  <c r="AD10" i="158"/>
  <c r="Z10" i="158"/>
  <c r="Y10" i="158"/>
  <c r="X10" i="158"/>
  <c r="W10" i="158"/>
  <c r="V10" i="158"/>
  <c r="U10" i="158"/>
  <c r="T10" i="158"/>
  <c r="S10" i="158"/>
  <c r="R10" i="158"/>
  <c r="Q10" i="158"/>
  <c r="J10" i="158"/>
  <c r="AK9" i="158"/>
  <c r="AJ9" i="158"/>
  <c r="AI9" i="158"/>
  <c r="AH9" i="158"/>
  <c r="AG9" i="158"/>
  <c r="AF9" i="158"/>
  <c r="AE9" i="158"/>
  <c r="AD9" i="158"/>
  <c r="Z9" i="158"/>
  <c r="Y9" i="158"/>
  <c r="X9" i="158"/>
  <c r="W9" i="158"/>
  <c r="V9" i="158"/>
  <c r="U9" i="158"/>
  <c r="T9" i="158"/>
  <c r="S9" i="158"/>
  <c r="R9" i="158"/>
  <c r="Q9" i="158"/>
  <c r="J9" i="158"/>
  <c r="AK8" i="158"/>
  <c r="AJ8" i="158"/>
  <c r="AI8" i="158"/>
  <c r="AH8" i="158"/>
  <c r="AG8" i="158"/>
  <c r="AF8" i="158"/>
  <c r="AE8" i="158"/>
  <c r="AD8" i="158"/>
  <c r="Z8" i="158"/>
  <c r="Y8" i="158"/>
  <c r="X8" i="158"/>
  <c r="W8" i="158"/>
  <c r="V8" i="158"/>
  <c r="U8" i="158"/>
  <c r="T8" i="158"/>
  <c r="S8" i="158"/>
  <c r="R8" i="158"/>
  <c r="Q8" i="158"/>
  <c r="J8" i="158"/>
  <c r="AK7" i="158"/>
  <c r="AJ7" i="158"/>
  <c r="AI7" i="158"/>
  <c r="AH7" i="158"/>
  <c r="AG7" i="158"/>
  <c r="AF7" i="158"/>
  <c r="AE7" i="158"/>
  <c r="AD7" i="158"/>
  <c r="Z7" i="158"/>
  <c r="Y7" i="158"/>
  <c r="X7" i="158"/>
  <c r="W7" i="158"/>
  <c r="V7" i="158"/>
  <c r="U7" i="158"/>
  <c r="T7" i="158"/>
  <c r="S7" i="158"/>
  <c r="R7" i="158"/>
  <c r="Q7" i="158"/>
  <c r="J7" i="158"/>
  <c r="AK6" i="158"/>
  <c r="AJ6" i="158"/>
  <c r="AH6" i="158"/>
  <c r="AF6" i="158"/>
  <c r="AE6" i="158"/>
  <c r="AD6" i="158"/>
  <c r="Z6" i="158"/>
  <c r="Y6" i="158"/>
  <c r="X6" i="158"/>
  <c r="W6" i="158"/>
  <c r="V6" i="158"/>
  <c r="U6" i="158"/>
  <c r="T6" i="158"/>
  <c r="S6" i="158"/>
  <c r="R6" i="158"/>
  <c r="Q6" i="158"/>
  <c r="K6" i="158"/>
  <c r="J6" i="158"/>
  <c r="E7" i="158"/>
  <c r="E8" i="158"/>
  <c r="E9" i="158"/>
  <c r="E10" i="158"/>
  <c r="E11" i="158"/>
  <c r="E12" i="158"/>
  <c r="E13" i="158"/>
  <c r="E14" i="158"/>
  <c r="E15" i="158"/>
  <c r="E16" i="158"/>
  <c r="E17" i="158"/>
  <c r="E18" i="158"/>
  <c r="E6" i="158"/>
  <c r="AA41" i="158"/>
  <c r="D41" i="158"/>
  <c r="C41" i="158"/>
  <c r="E39" i="158"/>
  <c r="B39" i="158"/>
  <c r="E38" i="158"/>
  <c r="B38" i="158"/>
  <c r="E37" i="158"/>
  <c r="B37" i="158"/>
  <c r="E36" i="158"/>
  <c r="B36" i="158"/>
  <c r="E35" i="158"/>
  <c r="B35" i="158"/>
  <c r="E34" i="158"/>
  <c r="B34" i="158"/>
  <c r="E33" i="158"/>
  <c r="B33" i="158"/>
  <c r="E32" i="158"/>
  <c r="B32" i="158"/>
  <c r="E31" i="158"/>
  <c r="B31" i="158"/>
  <c r="E30" i="158"/>
  <c r="B30" i="158"/>
  <c r="E29" i="158"/>
  <c r="B29" i="158"/>
  <c r="E28" i="158"/>
  <c r="B28" i="158"/>
  <c r="E27" i="158"/>
  <c r="B27" i="158"/>
  <c r="E26" i="158"/>
  <c r="B26" i="158"/>
  <c r="E25" i="158"/>
  <c r="B25" i="158"/>
  <c r="E24" i="158"/>
  <c r="B24" i="158"/>
  <c r="E23" i="158"/>
  <c r="B23" i="158"/>
  <c r="E22" i="158"/>
  <c r="B22" i="158"/>
  <c r="E21" i="158"/>
  <c r="B21" i="158"/>
  <c r="E20" i="158"/>
  <c r="B20" i="158"/>
  <c r="B19" i="158"/>
  <c r="B18" i="158"/>
  <c r="B17" i="158"/>
  <c r="B16" i="158"/>
  <c r="B15" i="158"/>
  <c r="B14" i="158"/>
  <c r="B13" i="158"/>
  <c r="B12" i="158"/>
  <c r="B11" i="158"/>
  <c r="B10" i="158"/>
  <c r="B9" i="158"/>
  <c r="B8" i="158"/>
  <c r="B7" i="158"/>
  <c r="B6" i="158"/>
  <c r="M6" i="159" l="1"/>
  <c r="O6" i="161"/>
  <c r="L6" i="161"/>
  <c r="O6" i="162"/>
  <c r="N6" i="163"/>
  <c r="M6" i="162"/>
  <c r="AJ41" i="159"/>
  <c r="L6" i="159"/>
  <c r="M6" i="163"/>
  <c r="R41" i="159"/>
  <c r="Z41" i="159"/>
  <c r="AE41" i="159"/>
  <c r="AI41" i="159"/>
  <c r="S41" i="159"/>
  <c r="R41" i="163"/>
  <c r="T41" i="158"/>
  <c r="X41" i="158"/>
  <c r="AK41" i="158"/>
  <c r="Q41" i="158"/>
  <c r="R41" i="158"/>
  <c r="V41" i="158"/>
  <c r="Y41" i="158"/>
  <c r="Z41" i="158"/>
  <c r="M6" i="161"/>
  <c r="AD41" i="161"/>
  <c r="W41" i="159"/>
  <c r="O6" i="160"/>
  <c r="Y41" i="162"/>
  <c r="O6" i="158"/>
  <c r="L6" i="158"/>
  <c r="AJ41" i="161"/>
  <c r="AE41" i="158"/>
  <c r="E41" i="161"/>
  <c r="AE41" i="160"/>
  <c r="R41" i="161"/>
  <c r="V41" i="161"/>
  <c r="Z41" i="161"/>
  <c r="Q41" i="162"/>
  <c r="U41" i="162"/>
  <c r="AD41" i="162"/>
  <c r="AH41" i="162"/>
  <c r="R41" i="162"/>
  <c r="Q41" i="163"/>
  <c r="U41" i="163"/>
  <c r="Y41" i="163"/>
  <c r="AD41" i="163"/>
  <c r="AH41" i="163"/>
  <c r="J41" i="163"/>
  <c r="U41" i="158"/>
  <c r="V41" i="162"/>
  <c r="Z41" i="162"/>
  <c r="AI41" i="160"/>
  <c r="Q41" i="159"/>
  <c r="U41" i="159"/>
  <c r="Y41" i="159"/>
  <c r="AD41" i="159"/>
  <c r="AH41" i="159"/>
  <c r="J41" i="159"/>
  <c r="V41" i="159"/>
  <c r="AF41" i="159"/>
  <c r="V41" i="163"/>
  <c r="Z41" i="163"/>
  <c r="AE41" i="163"/>
  <c r="AI41" i="163"/>
  <c r="E41" i="163"/>
  <c r="S41" i="163"/>
  <c r="X41" i="163"/>
  <c r="W41" i="163"/>
  <c r="AJ41" i="163"/>
  <c r="L6" i="163"/>
  <c r="AG41" i="163"/>
  <c r="AK41" i="163"/>
  <c r="E41" i="162"/>
  <c r="AE41" i="162"/>
  <c r="AI41" i="162"/>
  <c r="J41" i="162"/>
  <c r="S41" i="162"/>
  <c r="W41" i="162"/>
  <c r="AF41" i="162"/>
  <c r="AJ41" i="162"/>
  <c r="T41" i="162"/>
  <c r="X41" i="162"/>
  <c r="AG41" i="162"/>
  <c r="AK41" i="162"/>
  <c r="N6" i="162"/>
  <c r="J41" i="161"/>
  <c r="X41" i="161"/>
  <c r="AK41" i="161"/>
  <c r="Q41" i="161"/>
  <c r="U41" i="161"/>
  <c r="Y41" i="161"/>
  <c r="AE41" i="161"/>
  <c r="S41" i="161"/>
  <c r="W41" i="161"/>
  <c r="S41" i="160"/>
  <c r="R41" i="160"/>
  <c r="Z41" i="160"/>
  <c r="AK41" i="160"/>
  <c r="W41" i="160"/>
  <c r="AJ41" i="160"/>
  <c r="V41" i="160"/>
  <c r="AG41" i="160"/>
  <c r="E41" i="160"/>
  <c r="L6" i="160"/>
  <c r="N6" i="160"/>
  <c r="Q41" i="160"/>
  <c r="U41" i="160"/>
  <c r="Y41" i="160"/>
  <c r="AD41" i="160"/>
  <c r="AH41" i="160"/>
  <c r="J41" i="160"/>
  <c r="X41" i="160"/>
  <c r="T41" i="159"/>
  <c r="X41" i="159"/>
  <c r="AG41" i="159"/>
  <c r="AK41" i="159"/>
  <c r="E41" i="159"/>
  <c r="N6" i="159"/>
  <c r="J41" i="158"/>
  <c r="AD41" i="158"/>
  <c r="AH41" i="158"/>
  <c r="E41" i="158"/>
  <c r="S41" i="158"/>
  <c r="W41" i="158"/>
  <c r="AF41" i="158"/>
  <c r="AJ41" i="158"/>
  <c r="M6" i="158"/>
  <c r="N6" i="158"/>
  <c r="AK39" i="157"/>
  <c r="AJ39" i="157"/>
  <c r="AI39" i="157"/>
  <c r="AH39" i="157"/>
  <c r="AG39" i="157"/>
  <c r="AF39" i="157"/>
  <c r="AE39" i="157"/>
  <c r="AD39" i="157"/>
  <c r="Z39" i="157"/>
  <c r="Y39" i="157"/>
  <c r="X39" i="157"/>
  <c r="W39" i="157"/>
  <c r="V39" i="157"/>
  <c r="U39" i="157"/>
  <c r="T39" i="157"/>
  <c r="S39" i="157"/>
  <c r="R39" i="157"/>
  <c r="Q39" i="157"/>
  <c r="J39" i="157"/>
  <c r="AK38" i="157"/>
  <c r="AJ38" i="157"/>
  <c r="AI38" i="157"/>
  <c r="AH38" i="157"/>
  <c r="AG38" i="157"/>
  <c r="AF38" i="157"/>
  <c r="AE38" i="157"/>
  <c r="AD38" i="157"/>
  <c r="Z38" i="157"/>
  <c r="Y38" i="157"/>
  <c r="X38" i="157"/>
  <c r="W38" i="157"/>
  <c r="V38" i="157"/>
  <c r="U38" i="157"/>
  <c r="T38" i="157"/>
  <c r="S38" i="157"/>
  <c r="R38" i="157"/>
  <c r="Q38" i="157"/>
  <c r="J38" i="157"/>
  <c r="AK37" i="157"/>
  <c r="AJ37" i="157"/>
  <c r="AI37" i="157"/>
  <c r="AH37" i="157"/>
  <c r="AG37" i="157"/>
  <c r="AF37" i="157"/>
  <c r="AE37" i="157"/>
  <c r="AD37" i="157"/>
  <c r="Z37" i="157"/>
  <c r="Y37" i="157"/>
  <c r="X37" i="157"/>
  <c r="W37" i="157"/>
  <c r="V37" i="157"/>
  <c r="U37" i="157"/>
  <c r="T37" i="157"/>
  <c r="S37" i="157"/>
  <c r="R37" i="157"/>
  <c r="Q37" i="157"/>
  <c r="J37" i="157"/>
  <c r="AK36" i="157"/>
  <c r="AJ36" i="157"/>
  <c r="AI36" i="157"/>
  <c r="AH36" i="157"/>
  <c r="AG36" i="157"/>
  <c r="AF36" i="157"/>
  <c r="AE36" i="157"/>
  <c r="AD36" i="157"/>
  <c r="Z36" i="157"/>
  <c r="Y36" i="157"/>
  <c r="X36" i="157"/>
  <c r="W36" i="157"/>
  <c r="V36" i="157"/>
  <c r="U36" i="157"/>
  <c r="T36" i="157"/>
  <c r="S36" i="157"/>
  <c r="R36" i="157"/>
  <c r="Q36" i="157"/>
  <c r="J36" i="157"/>
  <c r="AK35" i="157"/>
  <c r="AJ35" i="157"/>
  <c r="AI35" i="157"/>
  <c r="AH35" i="157"/>
  <c r="AG35" i="157"/>
  <c r="AF35" i="157"/>
  <c r="AE35" i="157"/>
  <c r="AD35" i="157"/>
  <c r="Z35" i="157"/>
  <c r="Y35" i="157"/>
  <c r="X35" i="157"/>
  <c r="W35" i="157"/>
  <c r="V35" i="157"/>
  <c r="U35" i="157"/>
  <c r="T35" i="157"/>
  <c r="S35" i="157"/>
  <c r="R35" i="157"/>
  <c r="Q35" i="157"/>
  <c r="J35" i="157"/>
  <c r="AK34" i="157"/>
  <c r="AJ34" i="157"/>
  <c r="AI34" i="157"/>
  <c r="AH34" i="157"/>
  <c r="AG34" i="157"/>
  <c r="AF34" i="157"/>
  <c r="AE34" i="157"/>
  <c r="AD34" i="157"/>
  <c r="Z34" i="157"/>
  <c r="Y34" i="157"/>
  <c r="X34" i="157"/>
  <c r="W34" i="157"/>
  <c r="V34" i="157"/>
  <c r="U34" i="157"/>
  <c r="T34" i="157"/>
  <c r="S34" i="157"/>
  <c r="R34" i="157"/>
  <c r="Q34" i="157"/>
  <c r="J34" i="157"/>
  <c r="AK33" i="157"/>
  <c r="AJ33" i="157"/>
  <c r="AI33" i="157"/>
  <c r="AH33" i="157"/>
  <c r="AG33" i="157"/>
  <c r="AF33" i="157"/>
  <c r="AE33" i="157"/>
  <c r="AD33" i="157"/>
  <c r="Z33" i="157"/>
  <c r="Y33" i="157"/>
  <c r="X33" i="157"/>
  <c r="W33" i="157"/>
  <c r="V33" i="157"/>
  <c r="U33" i="157"/>
  <c r="T33" i="157"/>
  <c r="S33" i="157"/>
  <c r="R33" i="157"/>
  <c r="Q33" i="157"/>
  <c r="J33" i="157"/>
  <c r="AK32" i="157"/>
  <c r="AJ32" i="157"/>
  <c r="AI32" i="157"/>
  <c r="AH32" i="157"/>
  <c r="AG32" i="157"/>
  <c r="AF32" i="157"/>
  <c r="AE32" i="157"/>
  <c r="AD32" i="157"/>
  <c r="Z32" i="157"/>
  <c r="Y32" i="157"/>
  <c r="X32" i="157"/>
  <c r="W32" i="157"/>
  <c r="V32" i="157"/>
  <c r="U32" i="157"/>
  <c r="T32" i="157"/>
  <c r="S32" i="157"/>
  <c r="R32" i="157"/>
  <c r="Q32" i="157"/>
  <c r="J32" i="157"/>
  <c r="AK31" i="157"/>
  <c r="AJ31" i="157"/>
  <c r="AI31" i="157"/>
  <c r="AH31" i="157"/>
  <c r="AG31" i="157"/>
  <c r="AF31" i="157"/>
  <c r="AE31" i="157"/>
  <c r="AD31" i="157"/>
  <c r="Z31" i="157"/>
  <c r="Y31" i="157"/>
  <c r="X31" i="157"/>
  <c r="W31" i="157"/>
  <c r="V31" i="157"/>
  <c r="U31" i="157"/>
  <c r="T31" i="157"/>
  <c r="S31" i="157"/>
  <c r="R31" i="157"/>
  <c r="Q31" i="157"/>
  <c r="J31" i="157"/>
  <c r="AK30" i="157"/>
  <c r="AJ30" i="157"/>
  <c r="AI30" i="157"/>
  <c r="AH30" i="157"/>
  <c r="AG30" i="157"/>
  <c r="AF30" i="157"/>
  <c r="AE30" i="157"/>
  <c r="AD30" i="157"/>
  <c r="Z30" i="157"/>
  <c r="Y30" i="157"/>
  <c r="X30" i="157"/>
  <c r="W30" i="157"/>
  <c r="V30" i="157"/>
  <c r="U30" i="157"/>
  <c r="T30" i="157"/>
  <c r="S30" i="157"/>
  <c r="R30" i="157"/>
  <c r="Q30" i="157"/>
  <c r="J30" i="157"/>
  <c r="AK29" i="157"/>
  <c r="AJ29" i="157"/>
  <c r="AI29" i="157"/>
  <c r="AH29" i="157"/>
  <c r="AG29" i="157"/>
  <c r="AF29" i="157"/>
  <c r="AE29" i="157"/>
  <c r="AD29" i="157"/>
  <c r="Z29" i="157"/>
  <c r="Y29" i="157"/>
  <c r="X29" i="157"/>
  <c r="W29" i="157"/>
  <c r="V29" i="157"/>
  <c r="U29" i="157"/>
  <c r="T29" i="157"/>
  <c r="S29" i="157"/>
  <c r="R29" i="157"/>
  <c r="Q29" i="157"/>
  <c r="J29" i="157"/>
  <c r="AK28" i="157"/>
  <c r="AJ28" i="157"/>
  <c r="AI28" i="157"/>
  <c r="AH28" i="157"/>
  <c r="AG28" i="157"/>
  <c r="AF28" i="157"/>
  <c r="AE28" i="157"/>
  <c r="AD28" i="157"/>
  <c r="Z28" i="157"/>
  <c r="Y28" i="157"/>
  <c r="X28" i="157"/>
  <c r="W28" i="157"/>
  <c r="V28" i="157"/>
  <c r="U28" i="157"/>
  <c r="T28" i="157"/>
  <c r="S28" i="157"/>
  <c r="R28" i="157"/>
  <c r="Q28" i="157"/>
  <c r="J28" i="157"/>
  <c r="AK27" i="157"/>
  <c r="AJ27" i="157"/>
  <c r="AI27" i="157"/>
  <c r="AH27" i="157"/>
  <c r="AG27" i="157"/>
  <c r="AF27" i="157"/>
  <c r="AE27" i="157"/>
  <c r="AD27" i="157"/>
  <c r="Z27" i="157"/>
  <c r="Y27" i="157"/>
  <c r="X27" i="157"/>
  <c r="W27" i="157"/>
  <c r="V27" i="157"/>
  <c r="U27" i="157"/>
  <c r="T27" i="157"/>
  <c r="S27" i="157"/>
  <c r="R27" i="157"/>
  <c r="Q27" i="157"/>
  <c r="J27" i="157"/>
  <c r="AK26" i="157"/>
  <c r="AJ26" i="157"/>
  <c r="AI26" i="157"/>
  <c r="AH26" i="157"/>
  <c r="AG26" i="157"/>
  <c r="AF26" i="157"/>
  <c r="AE26" i="157"/>
  <c r="AD26" i="157"/>
  <c r="Z26" i="157"/>
  <c r="Y26" i="157"/>
  <c r="X26" i="157"/>
  <c r="W26" i="157"/>
  <c r="V26" i="157"/>
  <c r="U26" i="157"/>
  <c r="T26" i="157"/>
  <c r="S26" i="157"/>
  <c r="R26" i="157"/>
  <c r="Q26" i="157"/>
  <c r="J26" i="157"/>
  <c r="AK25" i="157"/>
  <c r="AJ25" i="157"/>
  <c r="AI25" i="157"/>
  <c r="AH25" i="157"/>
  <c r="AG25" i="157"/>
  <c r="AF25" i="157"/>
  <c r="AE25" i="157"/>
  <c r="AD25" i="157"/>
  <c r="Z25" i="157"/>
  <c r="Y25" i="157"/>
  <c r="X25" i="157"/>
  <c r="W25" i="157"/>
  <c r="V25" i="157"/>
  <c r="U25" i="157"/>
  <c r="T25" i="157"/>
  <c r="S25" i="157"/>
  <c r="R25" i="157"/>
  <c r="Q25" i="157"/>
  <c r="J25" i="157"/>
  <c r="AK24" i="157"/>
  <c r="AJ24" i="157"/>
  <c r="AI24" i="157"/>
  <c r="AH24" i="157"/>
  <c r="AG24" i="157"/>
  <c r="AF24" i="157"/>
  <c r="AE24" i="157"/>
  <c r="AD24" i="157"/>
  <c r="Z24" i="157"/>
  <c r="Y24" i="157"/>
  <c r="X24" i="157"/>
  <c r="W24" i="157"/>
  <c r="V24" i="157"/>
  <c r="U24" i="157"/>
  <c r="T24" i="157"/>
  <c r="S24" i="157"/>
  <c r="R24" i="157"/>
  <c r="Q24" i="157"/>
  <c r="J24" i="157"/>
  <c r="AK23" i="157"/>
  <c r="AJ23" i="157"/>
  <c r="AI23" i="157"/>
  <c r="AH23" i="157"/>
  <c r="AG23" i="157"/>
  <c r="AF23" i="157"/>
  <c r="AE23" i="157"/>
  <c r="AD23" i="157"/>
  <c r="Z23" i="157"/>
  <c r="Y23" i="157"/>
  <c r="X23" i="157"/>
  <c r="W23" i="157"/>
  <c r="V23" i="157"/>
  <c r="U23" i="157"/>
  <c r="T23" i="157"/>
  <c r="S23" i="157"/>
  <c r="R23" i="157"/>
  <c r="Q23" i="157"/>
  <c r="J23" i="157"/>
  <c r="AK22" i="157"/>
  <c r="AJ22" i="157"/>
  <c r="AI22" i="157"/>
  <c r="AH22" i="157"/>
  <c r="AG22" i="157"/>
  <c r="AF22" i="157"/>
  <c r="AE22" i="157"/>
  <c r="AD22" i="157"/>
  <c r="Z22" i="157"/>
  <c r="Y22" i="157"/>
  <c r="X22" i="157"/>
  <c r="W22" i="157"/>
  <c r="V22" i="157"/>
  <c r="U22" i="157"/>
  <c r="T22" i="157"/>
  <c r="S22" i="157"/>
  <c r="R22" i="157"/>
  <c r="Q22" i="157"/>
  <c r="J22" i="157"/>
  <c r="AK21" i="157"/>
  <c r="AJ21" i="157"/>
  <c r="AI21" i="157"/>
  <c r="AH21" i="157"/>
  <c r="AG21" i="157"/>
  <c r="AF21" i="157"/>
  <c r="AE21" i="157"/>
  <c r="AD21" i="157"/>
  <c r="Z21" i="157"/>
  <c r="Y21" i="157"/>
  <c r="X21" i="157"/>
  <c r="W21" i="157"/>
  <c r="V21" i="157"/>
  <c r="U21" i="157"/>
  <c r="T21" i="157"/>
  <c r="S21" i="157"/>
  <c r="R21" i="157"/>
  <c r="Q21" i="157"/>
  <c r="J21" i="157"/>
  <c r="AK20" i="157"/>
  <c r="AJ20" i="157"/>
  <c r="AI20" i="157"/>
  <c r="AH20" i="157"/>
  <c r="AG20" i="157"/>
  <c r="AF20" i="157"/>
  <c r="AE20" i="157"/>
  <c r="AD20" i="157"/>
  <c r="Z20" i="157"/>
  <c r="Y20" i="157"/>
  <c r="X20" i="157"/>
  <c r="W20" i="157"/>
  <c r="V20" i="157"/>
  <c r="U20" i="157"/>
  <c r="T20" i="157"/>
  <c r="S20" i="157"/>
  <c r="R20" i="157"/>
  <c r="Q20" i="157"/>
  <c r="J20" i="157"/>
  <c r="AK18" i="157"/>
  <c r="AJ18" i="157"/>
  <c r="AI18" i="157"/>
  <c r="AH18" i="157"/>
  <c r="AG18" i="157"/>
  <c r="AF18" i="157"/>
  <c r="AE18" i="157"/>
  <c r="AD18" i="157"/>
  <c r="Z18" i="157"/>
  <c r="Y18" i="157"/>
  <c r="X18" i="157"/>
  <c r="W18" i="157"/>
  <c r="V18" i="157"/>
  <c r="U18" i="157"/>
  <c r="T18" i="157"/>
  <c r="S18" i="157"/>
  <c r="R18" i="157"/>
  <c r="Q18" i="157"/>
  <c r="J18" i="157"/>
  <c r="AK17" i="157"/>
  <c r="AJ17" i="157"/>
  <c r="AI17" i="157"/>
  <c r="AH17" i="157"/>
  <c r="AG17" i="157"/>
  <c r="AF17" i="157"/>
  <c r="AE17" i="157"/>
  <c r="AD17" i="157"/>
  <c r="Z17" i="157"/>
  <c r="Y17" i="157"/>
  <c r="X17" i="157"/>
  <c r="W17" i="157"/>
  <c r="V17" i="157"/>
  <c r="U17" i="157"/>
  <c r="T17" i="157"/>
  <c r="S17" i="157"/>
  <c r="R17" i="157"/>
  <c r="Q17" i="157"/>
  <c r="J17" i="157"/>
  <c r="AK16" i="157"/>
  <c r="AJ16" i="157"/>
  <c r="AI16" i="157"/>
  <c r="AH16" i="157"/>
  <c r="AG16" i="157"/>
  <c r="AF16" i="157"/>
  <c r="AE16" i="157"/>
  <c r="AD16" i="157"/>
  <c r="Z16" i="157"/>
  <c r="Y16" i="157"/>
  <c r="X16" i="157"/>
  <c r="W16" i="157"/>
  <c r="V16" i="157"/>
  <c r="U16" i="157"/>
  <c r="T16" i="157"/>
  <c r="S16" i="157"/>
  <c r="R16" i="157"/>
  <c r="Q16" i="157"/>
  <c r="J16" i="157"/>
  <c r="AK15" i="157"/>
  <c r="AJ15" i="157"/>
  <c r="AI15" i="157"/>
  <c r="AH15" i="157"/>
  <c r="AG15" i="157"/>
  <c r="AF15" i="157"/>
  <c r="AE15" i="157"/>
  <c r="AD15" i="157"/>
  <c r="Z15" i="157"/>
  <c r="Y15" i="157"/>
  <c r="X15" i="157"/>
  <c r="W15" i="157"/>
  <c r="V15" i="157"/>
  <c r="U15" i="157"/>
  <c r="T15" i="157"/>
  <c r="S15" i="157"/>
  <c r="R15" i="157"/>
  <c r="Q15" i="157"/>
  <c r="J15" i="157"/>
  <c r="AK14" i="157"/>
  <c r="AJ14" i="157"/>
  <c r="AI14" i="157"/>
  <c r="AH14" i="157"/>
  <c r="AG14" i="157"/>
  <c r="AF14" i="157"/>
  <c r="AE14" i="157"/>
  <c r="AD14" i="157"/>
  <c r="Z14" i="157"/>
  <c r="Y14" i="157"/>
  <c r="X14" i="157"/>
  <c r="W14" i="157"/>
  <c r="V14" i="157"/>
  <c r="U14" i="157"/>
  <c r="T14" i="157"/>
  <c r="S14" i="157"/>
  <c r="R14" i="157"/>
  <c r="Q14" i="157"/>
  <c r="J14" i="157"/>
  <c r="AK13" i="157"/>
  <c r="AJ13" i="157"/>
  <c r="AI13" i="157"/>
  <c r="AH13" i="157"/>
  <c r="AG13" i="157"/>
  <c r="AF13" i="157"/>
  <c r="AE13" i="157"/>
  <c r="AD13" i="157"/>
  <c r="Z13" i="157"/>
  <c r="Y13" i="157"/>
  <c r="X13" i="157"/>
  <c r="W13" i="157"/>
  <c r="V13" i="157"/>
  <c r="U13" i="157"/>
  <c r="T13" i="157"/>
  <c r="S13" i="157"/>
  <c r="R13" i="157"/>
  <c r="Q13" i="157"/>
  <c r="J13" i="157"/>
  <c r="AK12" i="157"/>
  <c r="AJ12" i="157"/>
  <c r="AI12" i="157"/>
  <c r="AH12" i="157"/>
  <c r="AG12" i="157"/>
  <c r="AF12" i="157"/>
  <c r="AE12" i="157"/>
  <c r="AD12" i="157"/>
  <c r="Z12" i="157"/>
  <c r="Y12" i="157"/>
  <c r="X12" i="157"/>
  <c r="W12" i="157"/>
  <c r="V12" i="157"/>
  <c r="U12" i="157"/>
  <c r="T12" i="157"/>
  <c r="S12" i="157"/>
  <c r="R12" i="157"/>
  <c r="Q12" i="157"/>
  <c r="J12" i="157"/>
  <c r="AK11" i="157"/>
  <c r="AJ11" i="157"/>
  <c r="AI11" i="157"/>
  <c r="AH11" i="157"/>
  <c r="AG11" i="157"/>
  <c r="AF11" i="157"/>
  <c r="AE11" i="157"/>
  <c r="AD11" i="157"/>
  <c r="Z11" i="157"/>
  <c r="Y11" i="157"/>
  <c r="X11" i="157"/>
  <c r="W11" i="157"/>
  <c r="V11" i="157"/>
  <c r="U11" i="157"/>
  <c r="T11" i="157"/>
  <c r="S11" i="157"/>
  <c r="R11" i="157"/>
  <c r="Q11" i="157"/>
  <c r="J11" i="157"/>
  <c r="AK10" i="157"/>
  <c r="AJ10" i="157"/>
  <c r="AI10" i="157"/>
  <c r="AH10" i="157"/>
  <c r="AG10" i="157"/>
  <c r="AF10" i="157"/>
  <c r="AE10" i="157"/>
  <c r="AD10" i="157"/>
  <c r="Z10" i="157"/>
  <c r="Y10" i="157"/>
  <c r="X10" i="157"/>
  <c r="W10" i="157"/>
  <c r="V10" i="157"/>
  <c r="U10" i="157"/>
  <c r="T10" i="157"/>
  <c r="S10" i="157"/>
  <c r="R10" i="157"/>
  <c r="Q10" i="157"/>
  <c r="J10" i="157"/>
  <c r="AK9" i="157"/>
  <c r="AJ9" i="157"/>
  <c r="AI9" i="157"/>
  <c r="AH9" i="157"/>
  <c r="AG9" i="157"/>
  <c r="AF9" i="157"/>
  <c r="AE9" i="157"/>
  <c r="AD9" i="157"/>
  <c r="Z9" i="157"/>
  <c r="Y9" i="157"/>
  <c r="X9" i="157"/>
  <c r="W9" i="157"/>
  <c r="V9" i="157"/>
  <c r="U9" i="157"/>
  <c r="T9" i="157"/>
  <c r="S9" i="157"/>
  <c r="R9" i="157"/>
  <c r="Q9" i="157"/>
  <c r="J9" i="157"/>
  <c r="AK8" i="157"/>
  <c r="AJ8" i="157"/>
  <c r="AI8" i="157"/>
  <c r="AH8" i="157"/>
  <c r="AG8" i="157"/>
  <c r="AF8" i="157"/>
  <c r="AE8" i="157"/>
  <c r="AD8" i="157"/>
  <c r="Z8" i="157"/>
  <c r="Y8" i="157"/>
  <c r="X8" i="157"/>
  <c r="W8" i="157"/>
  <c r="V8" i="157"/>
  <c r="U8" i="157"/>
  <c r="T8" i="157"/>
  <c r="S8" i="157"/>
  <c r="R8" i="157"/>
  <c r="Q8" i="157"/>
  <c r="J8" i="157"/>
  <c r="AK7" i="157"/>
  <c r="AJ7" i="157"/>
  <c r="AI7" i="157"/>
  <c r="AH7" i="157"/>
  <c r="AG7" i="157"/>
  <c r="AF7" i="157"/>
  <c r="AE7" i="157"/>
  <c r="AD7" i="157"/>
  <c r="Z7" i="157"/>
  <c r="Y7" i="157"/>
  <c r="X7" i="157"/>
  <c r="W7" i="157"/>
  <c r="V7" i="157"/>
  <c r="U7" i="157"/>
  <c r="T7" i="157"/>
  <c r="S7" i="157"/>
  <c r="R7" i="157"/>
  <c r="Q7" i="157"/>
  <c r="J7" i="157"/>
  <c r="AK6" i="157"/>
  <c r="AJ6" i="157"/>
  <c r="AI6" i="157"/>
  <c r="AH6" i="157"/>
  <c r="AG6" i="157"/>
  <c r="AF6" i="157"/>
  <c r="AE6" i="157"/>
  <c r="AD6" i="157"/>
  <c r="Z6" i="157"/>
  <c r="Y6" i="157"/>
  <c r="X6" i="157"/>
  <c r="W6" i="157"/>
  <c r="V6" i="157"/>
  <c r="U6" i="157"/>
  <c r="T6" i="157"/>
  <c r="S6" i="157"/>
  <c r="R6" i="157"/>
  <c r="Q6" i="157"/>
  <c r="K6" i="157"/>
  <c r="N6" i="157" s="1"/>
  <c r="J6" i="157"/>
  <c r="E7" i="157"/>
  <c r="E8" i="157"/>
  <c r="E9" i="157"/>
  <c r="E10" i="157"/>
  <c r="E11" i="157"/>
  <c r="E12" i="157"/>
  <c r="E13" i="157"/>
  <c r="E14" i="157"/>
  <c r="E15" i="157"/>
  <c r="E16" i="157"/>
  <c r="E17" i="157"/>
  <c r="E18" i="157"/>
  <c r="E6" i="157"/>
  <c r="AA41" i="157"/>
  <c r="D41" i="157"/>
  <c r="C41" i="157"/>
  <c r="E39" i="157"/>
  <c r="B39" i="157"/>
  <c r="E38" i="157"/>
  <c r="B38" i="157"/>
  <c r="E37" i="157"/>
  <c r="B37" i="157"/>
  <c r="E36" i="157"/>
  <c r="B36" i="157"/>
  <c r="E35" i="157"/>
  <c r="B35" i="157"/>
  <c r="E34" i="157"/>
  <c r="B34" i="157"/>
  <c r="E33" i="157"/>
  <c r="B33" i="157"/>
  <c r="E32" i="157"/>
  <c r="B32" i="157"/>
  <c r="E31" i="157"/>
  <c r="B31" i="157"/>
  <c r="E30" i="157"/>
  <c r="B30" i="157"/>
  <c r="E29" i="157"/>
  <c r="B29" i="157"/>
  <c r="E28" i="157"/>
  <c r="B28" i="157"/>
  <c r="E27" i="157"/>
  <c r="B27" i="157"/>
  <c r="E26" i="157"/>
  <c r="B26" i="157"/>
  <c r="E25" i="157"/>
  <c r="B25" i="157"/>
  <c r="E24" i="157"/>
  <c r="B24" i="157"/>
  <c r="E23" i="157"/>
  <c r="B23" i="157"/>
  <c r="E22" i="157"/>
  <c r="B22" i="157"/>
  <c r="E21" i="157"/>
  <c r="B21" i="157"/>
  <c r="E20" i="157"/>
  <c r="B20" i="157"/>
  <c r="B19" i="157"/>
  <c r="B18" i="157"/>
  <c r="B17" i="157"/>
  <c r="B16" i="157"/>
  <c r="B15" i="157"/>
  <c r="B14" i="157"/>
  <c r="B13" i="157"/>
  <c r="B12" i="157"/>
  <c r="B11" i="157"/>
  <c r="B10" i="157"/>
  <c r="B9" i="157"/>
  <c r="B8" i="157"/>
  <c r="B7" i="157"/>
  <c r="B6" i="157"/>
  <c r="AK39" i="156"/>
  <c r="AJ39" i="156"/>
  <c r="AI39" i="156"/>
  <c r="AH39" i="156"/>
  <c r="AG39" i="156"/>
  <c r="AF39" i="156"/>
  <c r="AE39" i="156"/>
  <c r="AD39" i="156"/>
  <c r="Z39" i="156"/>
  <c r="Y39" i="156"/>
  <c r="X39" i="156"/>
  <c r="W39" i="156"/>
  <c r="V39" i="156"/>
  <c r="U39" i="156"/>
  <c r="T39" i="156"/>
  <c r="S39" i="156"/>
  <c r="R39" i="156"/>
  <c r="Q39" i="156"/>
  <c r="J39" i="156"/>
  <c r="AK38" i="156"/>
  <c r="AJ38" i="156"/>
  <c r="AI38" i="156"/>
  <c r="AH38" i="156"/>
  <c r="AG38" i="156"/>
  <c r="AF38" i="156"/>
  <c r="AE38" i="156"/>
  <c r="AD38" i="156"/>
  <c r="Z38" i="156"/>
  <c r="Y38" i="156"/>
  <c r="X38" i="156"/>
  <c r="W38" i="156"/>
  <c r="V38" i="156"/>
  <c r="U38" i="156"/>
  <c r="T38" i="156"/>
  <c r="S38" i="156"/>
  <c r="R38" i="156"/>
  <c r="Q38" i="156"/>
  <c r="J38" i="156"/>
  <c r="AK37" i="156"/>
  <c r="AJ37" i="156"/>
  <c r="AI37" i="156"/>
  <c r="AH37" i="156"/>
  <c r="AG37" i="156"/>
  <c r="AF37" i="156"/>
  <c r="AE37" i="156"/>
  <c r="AD37" i="156"/>
  <c r="Z37" i="156"/>
  <c r="Y37" i="156"/>
  <c r="X37" i="156"/>
  <c r="W37" i="156"/>
  <c r="V37" i="156"/>
  <c r="U37" i="156"/>
  <c r="T37" i="156"/>
  <c r="S37" i="156"/>
  <c r="R37" i="156"/>
  <c r="Q37" i="156"/>
  <c r="J37" i="156"/>
  <c r="AK36" i="156"/>
  <c r="AJ36" i="156"/>
  <c r="AI36" i="156"/>
  <c r="AH36" i="156"/>
  <c r="AG36" i="156"/>
  <c r="AF36" i="156"/>
  <c r="AE36" i="156"/>
  <c r="AD36" i="156"/>
  <c r="Z36" i="156"/>
  <c r="Y36" i="156"/>
  <c r="X36" i="156"/>
  <c r="W36" i="156"/>
  <c r="V36" i="156"/>
  <c r="U36" i="156"/>
  <c r="T36" i="156"/>
  <c r="S36" i="156"/>
  <c r="R36" i="156"/>
  <c r="Q36" i="156"/>
  <c r="J36" i="156"/>
  <c r="AK35" i="156"/>
  <c r="AJ35" i="156"/>
  <c r="AI35" i="156"/>
  <c r="AH35" i="156"/>
  <c r="AG35" i="156"/>
  <c r="AF35" i="156"/>
  <c r="AE35" i="156"/>
  <c r="AD35" i="156"/>
  <c r="Z35" i="156"/>
  <c r="Y35" i="156"/>
  <c r="X35" i="156"/>
  <c r="W35" i="156"/>
  <c r="V35" i="156"/>
  <c r="U35" i="156"/>
  <c r="T35" i="156"/>
  <c r="S35" i="156"/>
  <c r="R35" i="156"/>
  <c r="Q35" i="156"/>
  <c r="J35" i="156"/>
  <c r="AK34" i="156"/>
  <c r="AJ34" i="156"/>
  <c r="AI34" i="156"/>
  <c r="AH34" i="156"/>
  <c r="AG34" i="156"/>
  <c r="AF34" i="156"/>
  <c r="AE34" i="156"/>
  <c r="AD34" i="156"/>
  <c r="Z34" i="156"/>
  <c r="Y34" i="156"/>
  <c r="X34" i="156"/>
  <c r="W34" i="156"/>
  <c r="V34" i="156"/>
  <c r="U34" i="156"/>
  <c r="T34" i="156"/>
  <c r="S34" i="156"/>
  <c r="R34" i="156"/>
  <c r="Q34" i="156"/>
  <c r="J34" i="156"/>
  <c r="AK33" i="156"/>
  <c r="AJ33" i="156"/>
  <c r="AI33" i="156"/>
  <c r="AH33" i="156"/>
  <c r="AG33" i="156"/>
  <c r="AF33" i="156"/>
  <c r="AE33" i="156"/>
  <c r="AD33" i="156"/>
  <c r="Z33" i="156"/>
  <c r="Y33" i="156"/>
  <c r="X33" i="156"/>
  <c r="W33" i="156"/>
  <c r="V33" i="156"/>
  <c r="U33" i="156"/>
  <c r="T33" i="156"/>
  <c r="S33" i="156"/>
  <c r="R33" i="156"/>
  <c r="Q33" i="156"/>
  <c r="J33" i="156"/>
  <c r="AK32" i="156"/>
  <c r="AJ32" i="156"/>
  <c r="AI32" i="156"/>
  <c r="AH32" i="156"/>
  <c r="AG32" i="156"/>
  <c r="AF32" i="156"/>
  <c r="AE32" i="156"/>
  <c r="AD32" i="156"/>
  <c r="Z32" i="156"/>
  <c r="Y32" i="156"/>
  <c r="X32" i="156"/>
  <c r="W32" i="156"/>
  <c r="V32" i="156"/>
  <c r="U32" i="156"/>
  <c r="T32" i="156"/>
  <c r="S32" i="156"/>
  <c r="R32" i="156"/>
  <c r="Q32" i="156"/>
  <c r="J32" i="156"/>
  <c r="AK31" i="156"/>
  <c r="AJ31" i="156"/>
  <c r="AI31" i="156"/>
  <c r="AH31" i="156"/>
  <c r="AG31" i="156"/>
  <c r="AF31" i="156"/>
  <c r="AE31" i="156"/>
  <c r="AD31" i="156"/>
  <c r="Z31" i="156"/>
  <c r="Y31" i="156"/>
  <c r="X31" i="156"/>
  <c r="W31" i="156"/>
  <c r="V31" i="156"/>
  <c r="U31" i="156"/>
  <c r="T31" i="156"/>
  <c r="S31" i="156"/>
  <c r="R31" i="156"/>
  <c r="Q31" i="156"/>
  <c r="J31" i="156"/>
  <c r="AK30" i="156"/>
  <c r="AJ30" i="156"/>
  <c r="AI30" i="156"/>
  <c r="AH30" i="156"/>
  <c r="AG30" i="156"/>
  <c r="AF30" i="156"/>
  <c r="AE30" i="156"/>
  <c r="AD30" i="156"/>
  <c r="Z30" i="156"/>
  <c r="Y30" i="156"/>
  <c r="X30" i="156"/>
  <c r="W30" i="156"/>
  <c r="V30" i="156"/>
  <c r="U30" i="156"/>
  <c r="T30" i="156"/>
  <c r="S30" i="156"/>
  <c r="R30" i="156"/>
  <c r="Q30" i="156"/>
  <c r="J30" i="156"/>
  <c r="AK29" i="156"/>
  <c r="AJ29" i="156"/>
  <c r="AI29" i="156"/>
  <c r="AH29" i="156"/>
  <c r="AG29" i="156"/>
  <c r="AF29" i="156"/>
  <c r="AE29" i="156"/>
  <c r="AD29" i="156"/>
  <c r="Z29" i="156"/>
  <c r="Y29" i="156"/>
  <c r="X29" i="156"/>
  <c r="W29" i="156"/>
  <c r="V29" i="156"/>
  <c r="U29" i="156"/>
  <c r="T29" i="156"/>
  <c r="S29" i="156"/>
  <c r="R29" i="156"/>
  <c r="Q29" i="156"/>
  <c r="J29" i="156"/>
  <c r="AK28" i="156"/>
  <c r="AJ28" i="156"/>
  <c r="AI28" i="156"/>
  <c r="AH28" i="156"/>
  <c r="AG28" i="156"/>
  <c r="AF28" i="156"/>
  <c r="AE28" i="156"/>
  <c r="AD28" i="156"/>
  <c r="Z28" i="156"/>
  <c r="Y28" i="156"/>
  <c r="X28" i="156"/>
  <c r="W28" i="156"/>
  <c r="V28" i="156"/>
  <c r="U28" i="156"/>
  <c r="T28" i="156"/>
  <c r="S28" i="156"/>
  <c r="R28" i="156"/>
  <c r="Q28" i="156"/>
  <c r="J28" i="156"/>
  <c r="AK27" i="156"/>
  <c r="AJ27" i="156"/>
  <c r="AI27" i="156"/>
  <c r="AH27" i="156"/>
  <c r="AG27" i="156"/>
  <c r="AF27" i="156"/>
  <c r="AE27" i="156"/>
  <c r="AD27" i="156"/>
  <c r="Z27" i="156"/>
  <c r="Y27" i="156"/>
  <c r="X27" i="156"/>
  <c r="W27" i="156"/>
  <c r="V27" i="156"/>
  <c r="U27" i="156"/>
  <c r="T27" i="156"/>
  <c r="S27" i="156"/>
  <c r="R27" i="156"/>
  <c r="Q27" i="156"/>
  <c r="J27" i="156"/>
  <c r="AK26" i="156"/>
  <c r="AJ26" i="156"/>
  <c r="AI26" i="156"/>
  <c r="AH26" i="156"/>
  <c r="AG26" i="156"/>
  <c r="AF26" i="156"/>
  <c r="AE26" i="156"/>
  <c r="AD26" i="156"/>
  <c r="Z26" i="156"/>
  <c r="Y26" i="156"/>
  <c r="X26" i="156"/>
  <c r="W26" i="156"/>
  <c r="V26" i="156"/>
  <c r="U26" i="156"/>
  <c r="T26" i="156"/>
  <c r="S26" i="156"/>
  <c r="R26" i="156"/>
  <c r="Q26" i="156"/>
  <c r="J26" i="156"/>
  <c r="AK25" i="156"/>
  <c r="AJ25" i="156"/>
  <c r="AI25" i="156"/>
  <c r="AH25" i="156"/>
  <c r="AG25" i="156"/>
  <c r="AF25" i="156"/>
  <c r="AE25" i="156"/>
  <c r="AD25" i="156"/>
  <c r="Z25" i="156"/>
  <c r="Y25" i="156"/>
  <c r="X25" i="156"/>
  <c r="W25" i="156"/>
  <c r="V25" i="156"/>
  <c r="U25" i="156"/>
  <c r="T25" i="156"/>
  <c r="S25" i="156"/>
  <c r="R25" i="156"/>
  <c r="Q25" i="156"/>
  <c r="J25" i="156"/>
  <c r="AK24" i="156"/>
  <c r="AJ24" i="156"/>
  <c r="AI24" i="156"/>
  <c r="AH24" i="156"/>
  <c r="AG24" i="156"/>
  <c r="AF24" i="156"/>
  <c r="AE24" i="156"/>
  <c r="AD24" i="156"/>
  <c r="Z24" i="156"/>
  <c r="Y24" i="156"/>
  <c r="X24" i="156"/>
  <c r="W24" i="156"/>
  <c r="V24" i="156"/>
  <c r="U24" i="156"/>
  <c r="T24" i="156"/>
  <c r="S24" i="156"/>
  <c r="R24" i="156"/>
  <c r="Q24" i="156"/>
  <c r="J24" i="156"/>
  <c r="AK23" i="156"/>
  <c r="AJ23" i="156"/>
  <c r="AI23" i="156"/>
  <c r="AH23" i="156"/>
  <c r="AG23" i="156"/>
  <c r="AF23" i="156"/>
  <c r="AE23" i="156"/>
  <c r="AD23" i="156"/>
  <c r="Z23" i="156"/>
  <c r="Y23" i="156"/>
  <c r="X23" i="156"/>
  <c r="W23" i="156"/>
  <c r="V23" i="156"/>
  <c r="U23" i="156"/>
  <c r="T23" i="156"/>
  <c r="S23" i="156"/>
  <c r="R23" i="156"/>
  <c r="Q23" i="156"/>
  <c r="J23" i="156"/>
  <c r="AK22" i="156"/>
  <c r="AJ22" i="156"/>
  <c r="AI22" i="156"/>
  <c r="AH22" i="156"/>
  <c r="AG22" i="156"/>
  <c r="AF22" i="156"/>
  <c r="AE22" i="156"/>
  <c r="AD22" i="156"/>
  <c r="Z22" i="156"/>
  <c r="Y22" i="156"/>
  <c r="X22" i="156"/>
  <c r="W22" i="156"/>
  <c r="V22" i="156"/>
  <c r="U22" i="156"/>
  <c r="T22" i="156"/>
  <c r="S22" i="156"/>
  <c r="R22" i="156"/>
  <c r="Q22" i="156"/>
  <c r="J22" i="156"/>
  <c r="AK21" i="156"/>
  <c r="AJ21" i="156"/>
  <c r="AI21" i="156"/>
  <c r="AH21" i="156"/>
  <c r="AG21" i="156"/>
  <c r="AF21" i="156"/>
  <c r="AE21" i="156"/>
  <c r="AD21" i="156"/>
  <c r="Z21" i="156"/>
  <c r="Y21" i="156"/>
  <c r="X21" i="156"/>
  <c r="W21" i="156"/>
  <c r="V21" i="156"/>
  <c r="U21" i="156"/>
  <c r="T21" i="156"/>
  <c r="S21" i="156"/>
  <c r="R21" i="156"/>
  <c r="Q21" i="156"/>
  <c r="J21" i="156"/>
  <c r="AK20" i="156"/>
  <c r="AJ20" i="156"/>
  <c r="AI20" i="156"/>
  <c r="AH20" i="156"/>
  <c r="AG20" i="156"/>
  <c r="AF20" i="156"/>
  <c r="AE20" i="156"/>
  <c r="AD20" i="156"/>
  <c r="Z20" i="156"/>
  <c r="Y20" i="156"/>
  <c r="X20" i="156"/>
  <c r="W20" i="156"/>
  <c r="V20" i="156"/>
  <c r="U20" i="156"/>
  <c r="T20" i="156"/>
  <c r="S20" i="156"/>
  <c r="R20" i="156"/>
  <c r="Q20" i="156"/>
  <c r="J20" i="156"/>
  <c r="AK18" i="156"/>
  <c r="AJ18" i="156"/>
  <c r="AI18" i="156"/>
  <c r="AH18" i="156"/>
  <c r="AG18" i="156"/>
  <c r="AF18" i="156"/>
  <c r="AE18" i="156"/>
  <c r="AD18" i="156"/>
  <c r="Z18" i="156"/>
  <c r="Y18" i="156"/>
  <c r="X18" i="156"/>
  <c r="W18" i="156"/>
  <c r="V18" i="156"/>
  <c r="U18" i="156"/>
  <c r="T18" i="156"/>
  <c r="S18" i="156"/>
  <c r="R18" i="156"/>
  <c r="Q18" i="156"/>
  <c r="J18" i="156"/>
  <c r="AK17" i="156"/>
  <c r="AJ17" i="156"/>
  <c r="AI17" i="156"/>
  <c r="AH17" i="156"/>
  <c r="AG17" i="156"/>
  <c r="AF17" i="156"/>
  <c r="AE17" i="156"/>
  <c r="AD17" i="156"/>
  <c r="Z17" i="156"/>
  <c r="Y17" i="156"/>
  <c r="X17" i="156"/>
  <c r="W17" i="156"/>
  <c r="V17" i="156"/>
  <c r="U17" i="156"/>
  <c r="T17" i="156"/>
  <c r="S17" i="156"/>
  <c r="R17" i="156"/>
  <c r="Q17" i="156"/>
  <c r="J17" i="156"/>
  <c r="AK16" i="156"/>
  <c r="AJ16" i="156"/>
  <c r="AI16" i="156"/>
  <c r="AH16" i="156"/>
  <c r="AG16" i="156"/>
  <c r="AF16" i="156"/>
  <c r="AE16" i="156"/>
  <c r="AD16" i="156"/>
  <c r="Z16" i="156"/>
  <c r="Y16" i="156"/>
  <c r="X16" i="156"/>
  <c r="W16" i="156"/>
  <c r="V16" i="156"/>
  <c r="U16" i="156"/>
  <c r="T16" i="156"/>
  <c r="S16" i="156"/>
  <c r="R16" i="156"/>
  <c r="Q16" i="156"/>
  <c r="J16" i="156"/>
  <c r="AK15" i="156"/>
  <c r="AJ15" i="156"/>
  <c r="AI15" i="156"/>
  <c r="AH15" i="156"/>
  <c r="AG15" i="156"/>
  <c r="AF15" i="156"/>
  <c r="AE15" i="156"/>
  <c r="AD15" i="156"/>
  <c r="Z15" i="156"/>
  <c r="Y15" i="156"/>
  <c r="X15" i="156"/>
  <c r="W15" i="156"/>
  <c r="V15" i="156"/>
  <c r="U15" i="156"/>
  <c r="T15" i="156"/>
  <c r="S15" i="156"/>
  <c r="R15" i="156"/>
  <c r="Q15" i="156"/>
  <c r="J15" i="156"/>
  <c r="AK14" i="156"/>
  <c r="AJ14" i="156"/>
  <c r="AI14" i="156"/>
  <c r="AH14" i="156"/>
  <c r="AG14" i="156"/>
  <c r="AF14" i="156"/>
  <c r="AE14" i="156"/>
  <c r="AD14" i="156"/>
  <c r="Z14" i="156"/>
  <c r="Y14" i="156"/>
  <c r="X14" i="156"/>
  <c r="W14" i="156"/>
  <c r="V14" i="156"/>
  <c r="U14" i="156"/>
  <c r="T14" i="156"/>
  <c r="S14" i="156"/>
  <c r="R14" i="156"/>
  <c r="Q14" i="156"/>
  <c r="J14" i="156"/>
  <c r="AK13" i="156"/>
  <c r="AJ13" i="156"/>
  <c r="AI13" i="156"/>
  <c r="AH13" i="156"/>
  <c r="AG13" i="156"/>
  <c r="AF13" i="156"/>
  <c r="AE13" i="156"/>
  <c r="AD13" i="156"/>
  <c r="Z13" i="156"/>
  <c r="Y13" i="156"/>
  <c r="X13" i="156"/>
  <c r="W13" i="156"/>
  <c r="V13" i="156"/>
  <c r="U13" i="156"/>
  <c r="T13" i="156"/>
  <c r="S13" i="156"/>
  <c r="R13" i="156"/>
  <c r="Q13" i="156"/>
  <c r="J13" i="156"/>
  <c r="AK12" i="156"/>
  <c r="AJ12" i="156"/>
  <c r="AI12" i="156"/>
  <c r="AH12" i="156"/>
  <c r="AG12" i="156"/>
  <c r="AF12" i="156"/>
  <c r="AE12" i="156"/>
  <c r="AD12" i="156"/>
  <c r="Z12" i="156"/>
  <c r="Y12" i="156"/>
  <c r="X12" i="156"/>
  <c r="W12" i="156"/>
  <c r="V12" i="156"/>
  <c r="U12" i="156"/>
  <c r="T12" i="156"/>
  <c r="S12" i="156"/>
  <c r="R12" i="156"/>
  <c r="Q12" i="156"/>
  <c r="J12" i="156"/>
  <c r="AK11" i="156"/>
  <c r="AJ11" i="156"/>
  <c r="AI11" i="156"/>
  <c r="AH11" i="156"/>
  <c r="AG11" i="156"/>
  <c r="AF11" i="156"/>
  <c r="AE11" i="156"/>
  <c r="AD11" i="156"/>
  <c r="Z11" i="156"/>
  <c r="Y11" i="156"/>
  <c r="X11" i="156"/>
  <c r="W11" i="156"/>
  <c r="V11" i="156"/>
  <c r="U11" i="156"/>
  <c r="T11" i="156"/>
  <c r="S11" i="156"/>
  <c r="R11" i="156"/>
  <c r="Q11" i="156"/>
  <c r="J11" i="156"/>
  <c r="AK10" i="156"/>
  <c r="AJ10" i="156"/>
  <c r="AI10" i="156"/>
  <c r="AH10" i="156"/>
  <c r="AG10" i="156"/>
  <c r="AF10" i="156"/>
  <c r="AE10" i="156"/>
  <c r="AD10" i="156"/>
  <c r="Z10" i="156"/>
  <c r="Y10" i="156"/>
  <c r="X10" i="156"/>
  <c r="W10" i="156"/>
  <c r="V10" i="156"/>
  <c r="U10" i="156"/>
  <c r="T10" i="156"/>
  <c r="S10" i="156"/>
  <c r="R10" i="156"/>
  <c r="Q10" i="156"/>
  <c r="J10" i="156"/>
  <c r="AK9" i="156"/>
  <c r="AJ9" i="156"/>
  <c r="AI9" i="156"/>
  <c r="AH9" i="156"/>
  <c r="AG9" i="156"/>
  <c r="AF9" i="156"/>
  <c r="AE9" i="156"/>
  <c r="AD9" i="156"/>
  <c r="Z9" i="156"/>
  <c r="Y9" i="156"/>
  <c r="X9" i="156"/>
  <c r="W9" i="156"/>
  <c r="V9" i="156"/>
  <c r="U9" i="156"/>
  <c r="T9" i="156"/>
  <c r="S9" i="156"/>
  <c r="R9" i="156"/>
  <c r="Q9" i="156"/>
  <c r="J9" i="156"/>
  <c r="AK8" i="156"/>
  <c r="AJ8" i="156"/>
  <c r="AI8" i="156"/>
  <c r="AH8" i="156"/>
  <c r="AG8" i="156"/>
  <c r="AF8" i="156"/>
  <c r="AE8" i="156"/>
  <c r="AD8" i="156"/>
  <c r="Z8" i="156"/>
  <c r="Y8" i="156"/>
  <c r="X8" i="156"/>
  <c r="W8" i="156"/>
  <c r="V8" i="156"/>
  <c r="U8" i="156"/>
  <c r="T8" i="156"/>
  <c r="S8" i="156"/>
  <c r="R8" i="156"/>
  <c r="Q8" i="156"/>
  <c r="J8" i="156"/>
  <c r="AK7" i="156"/>
  <c r="AJ7" i="156"/>
  <c r="AI7" i="156"/>
  <c r="AH7" i="156"/>
  <c r="AG7" i="156"/>
  <c r="AF7" i="156"/>
  <c r="AE7" i="156"/>
  <c r="AD7" i="156"/>
  <c r="Z7" i="156"/>
  <c r="Y7" i="156"/>
  <c r="X7" i="156"/>
  <c r="W7" i="156"/>
  <c r="V7" i="156"/>
  <c r="U7" i="156"/>
  <c r="T7" i="156"/>
  <c r="S7" i="156"/>
  <c r="R7" i="156"/>
  <c r="Q7" i="156"/>
  <c r="J7" i="156"/>
  <c r="AK6" i="156"/>
  <c r="AJ6" i="156"/>
  <c r="AI6" i="156"/>
  <c r="AH6" i="156"/>
  <c r="AG6" i="156"/>
  <c r="AF6" i="156"/>
  <c r="AE6" i="156"/>
  <c r="AD6" i="156"/>
  <c r="Z6" i="156"/>
  <c r="Y6" i="156"/>
  <c r="X6" i="156"/>
  <c r="W6" i="156"/>
  <c r="V6" i="156"/>
  <c r="U6" i="156"/>
  <c r="T6" i="156"/>
  <c r="S6" i="156"/>
  <c r="R6" i="156"/>
  <c r="Q6" i="156"/>
  <c r="K6" i="156"/>
  <c r="L6" i="156" s="1"/>
  <c r="J6" i="156"/>
  <c r="E7" i="156"/>
  <c r="E8" i="156"/>
  <c r="E9" i="156"/>
  <c r="E10" i="156"/>
  <c r="E11" i="156"/>
  <c r="E12" i="156"/>
  <c r="E13" i="156"/>
  <c r="E14" i="156"/>
  <c r="E15" i="156"/>
  <c r="E16" i="156"/>
  <c r="E17" i="156"/>
  <c r="E18" i="156"/>
  <c r="E6" i="156"/>
  <c r="AA41" i="156"/>
  <c r="D41" i="156"/>
  <c r="C41" i="156"/>
  <c r="E39" i="156"/>
  <c r="B39" i="156"/>
  <c r="E38" i="156"/>
  <c r="B38" i="156"/>
  <c r="E37" i="156"/>
  <c r="B37" i="156"/>
  <c r="E36" i="156"/>
  <c r="B36" i="156"/>
  <c r="E35" i="156"/>
  <c r="B35" i="156"/>
  <c r="E34" i="156"/>
  <c r="B34" i="156"/>
  <c r="E33" i="156"/>
  <c r="B33" i="156"/>
  <c r="E32" i="156"/>
  <c r="B32" i="156"/>
  <c r="E31" i="156"/>
  <c r="B31" i="156"/>
  <c r="E30" i="156"/>
  <c r="B30" i="156"/>
  <c r="E29" i="156"/>
  <c r="B29" i="156"/>
  <c r="E28" i="156"/>
  <c r="B28" i="156"/>
  <c r="E27" i="156"/>
  <c r="B27" i="156"/>
  <c r="E26" i="156"/>
  <c r="B26" i="156"/>
  <c r="E25" i="156"/>
  <c r="B25" i="156"/>
  <c r="E24" i="156"/>
  <c r="B24" i="156"/>
  <c r="E23" i="156"/>
  <c r="B23" i="156"/>
  <c r="E22" i="156"/>
  <c r="B22" i="156"/>
  <c r="E21" i="156"/>
  <c r="B21" i="156"/>
  <c r="E20" i="156"/>
  <c r="B20" i="156"/>
  <c r="B19" i="156"/>
  <c r="B18" i="156"/>
  <c r="B17" i="156"/>
  <c r="B16" i="156"/>
  <c r="B15" i="156"/>
  <c r="B14" i="156"/>
  <c r="B13" i="156"/>
  <c r="B12" i="156"/>
  <c r="B11" i="156"/>
  <c r="B10" i="156"/>
  <c r="B9" i="156"/>
  <c r="B8" i="156"/>
  <c r="B7" i="156"/>
  <c r="B6" i="156"/>
  <c r="T8" i="155"/>
  <c r="T12" i="155"/>
  <c r="T16" i="155"/>
  <c r="T21" i="155"/>
  <c r="T25" i="155"/>
  <c r="T29" i="155"/>
  <c r="T33" i="155"/>
  <c r="T37" i="155"/>
  <c r="T7" i="155"/>
  <c r="AK39" i="155"/>
  <c r="AJ39" i="155"/>
  <c r="AI39" i="155"/>
  <c r="AH39" i="155"/>
  <c r="AG39" i="155"/>
  <c r="AF39" i="155"/>
  <c r="AE39" i="155"/>
  <c r="AD39" i="155"/>
  <c r="Z39" i="155"/>
  <c r="Y39" i="155"/>
  <c r="X39" i="155"/>
  <c r="W39" i="155"/>
  <c r="V39" i="155"/>
  <c r="U39" i="155"/>
  <c r="T39" i="155"/>
  <c r="S39" i="155"/>
  <c r="R39" i="155"/>
  <c r="Q39" i="155"/>
  <c r="J39" i="155"/>
  <c r="AK38" i="155"/>
  <c r="AJ38" i="155"/>
  <c r="AI38" i="155"/>
  <c r="AH38" i="155"/>
  <c r="AG38" i="155"/>
  <c r="AF38" i="155"/>
  <c r="AE38" i="155"/>
  <c r="AD38" i="155"/>
  <c r="Z38" i="155"/>
  <c r="Y38" i="155"/>
  <c r="X38" i="155"/>
  <c r="W38" i="155"/>
  <c r="V38" i="155"/>
  <c r="U38" i="155"/>
  <c r="T38" i="155"/>
  <c r="S38" i="155"/>
  <c r="R38" i="155"/>
  <c r="Q38" i="155"/>
  <c r="J38" i="155"/>
  <c r="AK37" i="155"/>
  <c r="AJ37" i="155"/>
  <c r="AI37" i="155"/>
  <c r="AH37" i="155"/>
  <c r="AG37" i="155"/>
  <c r="AF37" i="155"/>
  <c r="AE37" i="155"/>
  <c r="AD37" i="155"/>
  <c r="Z37" i="155"/>
  <c r="Y37" i="155"/>
  <c r="X37" i="155"/>
  <c r="W37" i="155"/>
  <c r="V37" i="155"/>
  <c r="U37" i="155"/>
  <c r="S37" i="155"/>
  <c r="R37" i="155"/>
  <c r="Q37" i="155"/>
  <c r="J37" i="155"/>
  <c r="AK36" i="155"/>
  <c r="AJ36" i="155"/>
  <c r="AI36" i="155"/>
  <c r="AH36" i="155"/>
  <c r="AG36" i="155"/>
  <c r="AF36" i="155"/>
  <c r="AE36" i="155"/>
  <c r="AD36" i="155"/>
  <c r="Z36" i="155"/>
  <c r="Y36" i="155"/>
  <c r="X36" i="155"/>
  <c r="W36" i="155"/>
  <c r="V36" i="155"/>
  <c r="U36" i="155"/>
  <c r="T36" i="155"/>
  <c r="S36" i="155"/>
  <c r="R36" i="155"/>
  <c r="Q36" i="155"/>
  <c r="J36" i="155"/>
  <c r="AK35" i="155"/>
  <c r="AJ35" i="155"/>
  <c r="AI35" i="155"/>
  <c r="AH35" i="155"/>
  <c r="AG35" i="155"/>
  <c r="AF35" i="155"/>
  <c r="AE35" i="155"/>
  <c r="AD35" i="155"/>
  <c r="Z35" i="155"/>
  <c r="Y35" i="155"/>
  <c r="X35" i="155"/>
  <c r="W35" i="155"/>
  <c r="V35" i="155"/>
  <c r="U35" i="155"/>
  <c r="T35" i="155"/>
  <c r="S35" i="155"/>
  <c r="R35" i="155"/>
  <c r="Q35" i="155"/>
  <c r="J35" i="155"/>
  <c r="AK34" i="155"/>
  <c r="AJ34" i="155"/>
  <c r="AI34" i="155"/>
  <c r="AH34" i="155"/>
  <c r="AG34" i="155"/>
  <c r="AF34" i="155"/>
  <c r="AE34" i="155"/>
  <c r="AD34" i="155"/>
  <c r="Z34" i="155"/>
  <c r="Y34" i="155"/>
  <c r="X34" i="155"/>
  <c r="W34" i="155"/>
  <c r="V34" i="155"/>
  <c r="U34" i="155"/>
  <c r="T34" i="155"/>
  <c r="S34" i="155"/>
  <c r="R34" i="155"/>
  <c r="Q34" i="155"/>
  <c r="J34" i="155"/>
  <c r="AK33" i="155"/>
  <c r="AJ33" i="155"/>
  <c r="AI33" i="155"/>
  <c r="AH33" i="155"/>
  <c r="AG33" i="155"/>
  <c r="AF33" i="155"/>
  <c r="AE33" i="155"/>
  <c r="AD33" i="155"/>
  <c r="Z33" i="155"/>
  <c r="Y33" i="155"/>
  <c r="X33" i="155"/>
  <c r="W33" i="155"/>
  <c r="V33" i="155"/>
  <c r="U33" i="155"/>
  <c r="S33" i="155"/>
  <c r="R33" i="155"/>
  <c r="Q33" i="155"/>
  <c r="J33" i="155"/>
  <c r="AK32" i="155"/>
  <c r="AJ32" i="155"/>
  <c r="AI32" i="155"/>
  <c r="AH32" i="155"/>
  <c r="AG32" i="155"/>
  <c r="AF32" i="155"/>
  <c r="AE32" i="155"/>
  <c r="AD32" i="155"/>
  <c r="Z32" i="155"/>
  <c r="Y32" i="155"/>
  <c r="X32" i="155"/>
  <c r="W32" i="155"/>
  <c r="V32" i="155"/>
  <c r="U32" i="155"/>
  <c r="T32" i="155"/>
  <c r="S32" i="155"/>
  <c r="R32" i="155"/>
  <c r="Q32" i="155"/>
  <c r="J32" i="155"/>
  <c r="AK31" i="155"/>
  <c r="AJ31" i="155"/>
  <c r="AI31" i="155"/>
  <c r="AH31" i="155"/>
  <c r="AG31" i="155"/>
  <c r="AF31" i="155"/>
  <c r="AE31" i="155"/>
  <c r="AD31" i="155"/>
  <c r="Z31" i="155"/>
  <c r="Y31" i="155"/>
  <c r="X31" i="155"/>
  <c r="W31" i="155"/>
  <c r="V31" i="155"/>
  <c r="U31" i="155"/>
  <c r="T31" i="155"/>
  <c r="S31" i="155"/>
  <c r="R31" i="155"/>
  <c r="Q31" i="155"/>
  <c r="J31" i="155"/>
  <c r="AK30" i="155"/>
  <c r="AJ30" i="155"/>
  <c r="AI30" i="155"/>
  <c r="AH30" i="155"/>
  <c r="AG30" i="155"/>
  <c r="AF30" i="155"/>
  <c r="AE30" i="155"/>
  <c r="AD30" i="155"/>
  <c r="Z30" i="155"/>
  <c r="Y30" i="155"/>
  <c r="X30" i="155"/>
  <c r="W30" i="155"/>
  <c r="V30" i="155"/>
  <c r="U30" i="155"/>
  <c r="T30" i="155"/>
  <c r="S30" i="155"/>
  <c r="R30" i="155"/>
  <c r="Q30" i="155"/>
  <c r="J30" i="155"/>
  <c r="AK29" i="155"/>
  <c r="AJ29" i="155"/>
  <c r="AI29" i="155"/>
  <c r="AH29" i="155"/>
  <c r="AG29" i="155"/>
  <c r="AF29" i="155"/>
  <c r="AE29" i="155"/>
  <c r="AD29" i="155"/>
  <c r="Z29" i="155"/>
  <c r="Y29" i="155"/>
  <c r="X29" i="155"/>
  <c r="W29" i="155"/>
  <c r="V29" i="155"/>
  <c r="U29" i="155"/>
  <c r="S29" i="155"/>
  <c r="R29" i="155"/>
  <c r="Q29" i="155"/>
  <c r="J29" i="155"/>
  <c r="AK28" i="155"/>
  <c r="AJ28" i="155"/>
  <c r="AI28" i="155"/>
  <c r="AH28" i="155"/>
  <c r="AG28" i="155"/>
  <c r="AF28" i="155"/>
  <c r="AE28" i="155"/>
  <c r="AD28" i="155"/>
  <c r="Z28" i="155"/>
  <c r="Y28" i="155"/>
  <c r="X28" i="155"/>
  <c r="W28" i="155"/>
  <c r="V28" i="155"/>
  <c r="U28" i="155"/>
  <c r="T28" i="155"/>
  <c r="S28" i="155"/>
  <c r="R28" i="155"/>
  <c r="Q28" i="155"/>
  <c r="J28" i="155"/>
  <c r="AK27" i="155"/>
  <c r="AJ27" i="155"/>
  <c r="AI27" i="155"/>
  <c r="AH27" i="155"/>
  <c r="AG27" i="155"/>
  <c r="AF27" i="155"/>
  <c r="AE27" i="155"/>
  <c r="AD27" i="155"/>
  <c r="Z27" i="155"/>
  <c r="Y27" i="155"/>
  <c r="X27" i="155"/>
  <c r="W27" i="155"/>
  <c r="V27" i="155"/>
  <c r="U27" i="155"/>
  <c r="T27" i="155"/>
  <c r="S27" i="155"/>
  <c r="R27" i="155"/>
  <c r="Q27" i="155"/>
  <c r="J27" i="155"/>
  <c r="AK26" i="155"/>
  <c r="AJ26" i="155"/>
  <c r="AI26" i="155"/>
  <c r="AH26" i="155"/>
  <c r="AG26" i="155"/>
  <c r="AF26" i="155"/>
  <c r="AE26" i="155"/>
  <c r="AD26" i="155"/>
  <c r="Z26" i="155"/>
  <c r="Y26" i="155"/>
  <c r="X26" i="155"/>
  <c r="W26" i="155"/>
  <c r="V26" i="155"/>
  <c r="U26" i="155"/>
  <c r="T26" i="155"/>
  <c r="S26" i="155"/>
  <c r="R26" i="155"/>
  <c r="Q26" i="155"/>
  <c r="J26" i="155"/>
  <c r="AK25" i="155"/>
  <c r="AJ25" i="155"/>
  <c r="AI25" i="155"/>
  <c r="AH25" i="155"/>
  <c r="AG25" i="155"/>
  <c r="AF25" i="155"/>
  <c r="AE25" i="155"/>
  <c r="AD25" i="155"/>
  <c r="Z25" i="155"/>
  <c r="Y25" i="155"/>
  <c r="X25" i="155"/>
  <c r="W25" i="155"/>
  <c r="V25" i="155"/>
  <c r="U25" i="155"/>
  <c r="S25" i="155"/>
  <c r="R25" i="155"/>
  <c r="Q25" i="155"/>
  <c r="J25" i="155"/>
  <c r="AK24" i="155"/>
  <c r="AJ24" i="155"/>
  <c r="AI24" i="155"/>
  <c r="AH24" i="155"/>
  <c r="AG24" i="155"/>
  <c r="AF24" i="155"/>
  <c r="AE24" i="155"/>
  <c r="AD24" i="155"/>
  <c r="Z24" i="155"/>
  <c r="Y24" i="155"/>
  <c r="X24" i="155"/>
  <c r="W24" i="155"/>
  <c r="V24" i="155"/>
  <c r="U24" i="155"/>
  <c r="T24" i="155"/>
  <c r="S24" i="155"/>
  <c r="R24" i="155"/>
  <c r="Q24" i="155"/>
  <c r="J24" i="155"/>
  <c r="AK23" i="155"/>
  <c r="AJ23" i="155"/>
  <c r="AI23" i="155"/>
  <c r="AH23" i="155"/>
  <c r="AG23" i="155"/>
  <c r="AF23" i="155"/>
  <c r="AE23" i="155"/>
  <c r="AD23" i="155"/>
  <c r="Z23" i="155"/>
  <c r="Y23" i="155"/>
  <c r="X23" i="155"/>
  <c r="W23" i="155"/>
  <c r="V23" i="155"/>
  <c r="U23" i="155"/>
  <c r="T23" i="155"/>
  <c r="S23" i="155"/>
  <c r="R23" i="155"/>
  <c r="Q23" i="155"/>
  <c r="J23" i="155"/>
  <c r="AK22" i="155"/>
  <c r="AJ22" i="155"/>
  <c r="AI22" i="155"/>
  <c r="AH22" i="155"/>
  <c r="AG22" i="155"/>
  <c r="AF22" i="155"/>
  <c r="AE22" i="155"/>
  <c r="AD22" i="155"/>
  <c r="Z22" i="155"/>
  <c r="Y22" i="155"/>
  <c r="X22" i="155"/>
  <c r="W22" i="155"/>
  <c r="V22" i="155"/>
  <c r="U22" i="155"/>
  <c r="T22" i="155"/>
  <c r="S22" i="155"/>
  <c r="R22" i="155"/>
  <c r="Q22" i="155"/>
  <c r="J22" i="155"/>
  <c r="AK21" i="155"/>
  <c r="AJ21" i="155"/>
  <c r="AI21" i="155"/>
  <c r="AH21" i="155"/>
  <c r="AG21" i="155"/>
  <c r="AF21" i="155"/>
  <c r="AE21" i="155"/>
  <c r="AD21" i="155"/>
  <c r="Z21" i="155"/>
  <c r="Y21" i="155"/>
  <c r="X21" i="155"/>
  <c r="W21" i="155"/>
  <c r="V21" i="155"/>
  <c r="U21" i="155"/>
  <c r="S21" i="155"/>
  <c r="R21" i="155"/>
  <c r="Q21" i="155"/>
  <c r="J21" i="155"/>
  <c r="AK20" i="155"/>
  <c r="AJ20" i="155"/>
  <c r="AI20" i="155"/>
  <c r="AH20" i="155"/>
  <c r="AG20" i="155"/>
  <c r="AF20" i="155"/>
  <c r="AE20" i="155"/>
  <c r="AD20" i="155"/>
  <c r="Z20" i="155"/>
  <c r="Y20" i="155"/>
  <c r="X20" i="155"/>
  <c r="W20" i="155"/>
  <c r="V20" i="155"/>
  <c r="U20" i="155"/>
  <c r="T20" i="155"/>
  <c r="S20" i="155"/>
  <c r="R20" i="155"/>
  <c r="Q20" i="155"/>
  <c r="J20" i="155"/>
  <c r="AK18" i="155"/>
  <c r="AJ18" i="155"/>
  <c r="AI18" i="155"/>
  <c r="AH18" i="155"/>
  <c r="AG18" i="155"/>
  <c r="AF18" i="155"/>
  <c r="AE18" i="155"/>
  <c r="AD18" i="155"/>
  <c r="Z18" i="155"/>
  <c r="Y18" i="155"/>
  <c r="X18" i="155"/>
  <c r="W18" i="155"/>
  <c r="V18" i="155"/>
  <c r="U18" i="155"/>
  <c r="T18" i="155"/>
  <c r="S18" i="155"/>
  <c r="R18" i="155"/>
  <c r="Q18" i="155"/>
  <c r="J18" i="155"/>
  <c r="AK17" i="155"/>
  <c r="AJ17" i="155"/>
  <c r="AI17" i="155"/>
  <c r="AH17" i="155"/>
  <c r="AG17" i="155"/>
  <c r="AF17" i="155"/>
  <c r="AE17" i="155"/>
  <c r="AD17" i="155"/>
  <c r="Z17" i="155"/>
  <c r="Y17" i="155"/>
  <c r="X17" i="155"/>
  <c r="W17" i="155"/>
  <c r="V17" i="155"/>
  <c r="U17" i="155"/>
  <c r="T17" i="155"/>
  <c r="S17" i="155"/>
  <c r="R17" i="155"/>
  <c r="Q17" i="155"/>
  <c r="J17" i="155"/>
  <c r="AK16" i="155"/>
  <c r="AJ16" i="155"/>
  <c r="AI16" i="155"/>
  <c r="AH16" i="155"/>
  <c r="AG16" i="155"/>
  <c r="AF16" i="155"/>
  <c r="AE16" i="155"/>
  <c r="AD16" i="155"/>
  <c r="Z16" i="155"/>
  <c r="Y16" i="155"/>
  <c r="X16" i="155"/>
  <c r="W16" i="155"/>
  <c r="V16" i="155"/>
  <c r="U16" i="155"/>
  <c r="S16" i="155"/>
  <c r="R16" i="155"/>
  <c r="Q16" i="155"/>
  <c r="J16" i="155"/>
  <c r="AK15" i="155"/>
  <c r="AJ15" i="155"/>
  <c r="AI15" i="155"/>
  <c r="AH15" i="155"/>
  <c r="AG15" i="155"/>
  <c r="AF15" i="155"/>
  <c r="AE15" i="155"/>
  <c r="AD15" i="155"/>
  <c r="Z15" i="155"/>
  <c r="Y15" i="155"/>
  <c r="X15" i="155"/>
  <c r="W15" i="155"/>
  <c r="V15" i="155"/>
  <c r="U15" i="155"/>
  <c r="T15" i="155"/>
  <c r="S15" i="155"/>
  <c r="R15" i="155"/>
  <c r="Q15" i="155"/>
  <c r="J15" i="155"/>
  <c r="AK14" i="155"/>
  <c r="AJ14" i="155"/>
  <c r="AI14" i="155"/>
  <c r="AH14" i="155"/>
  <c r="AG14" i="155"/>
  <c r="AF14" i="155"/>
  <c r="AE14" i="155"/>
  <c r="AD14" i="155"/>
  <c r="Z14" i="155"/>
  <c r="Y14" i="155"/>
  <c r="X14" i="155"/>
  <c r="W14" i="155"/>
  <c r="V14" i="155"/>
  <c r="U14" i="155"/>
  <c r="T14" i="155"/>
  <c r="S14" i="155"/>
  <c r="R14" i="155"/>
  <c r="Q14" i="155"/>
  <c r="J14" i="155"/>
  <c r="AK13" i="155"/>
  <c r="AJ13" i="155"/>
  <c r="AI13" i="155"/>
  <c r="AH13" i="155"/>
  <c r="AG13" i="155"/>
  <c r="AF13" i="155"/>
  <c r="AE13" i="155"/>
  <c r="AD13" i="155"/>
  <c r="Z13" i="155"/>
  <c r="Y13" i="155"/>
  <c r="X13" i="155"/>
  <c r="W13" i="155"/>
  <c r="V13" i="155"/>
  <c r="U13" i="155"/>
  <c r="T13" i="155"/>
  <c r="S13" i="155"/>
  <c r="R13" i="155"/>
  <c r="Q13" i="155"/>
  <c r="J13" i="155"/>
  <c r="AK12" i="155"/>
  <c r="AJ12" i="155"/>
  <c r="AI12" i="155"/>
  <c r="AH12" i="155"/>
  <c r="AG12" i="155"/>
  <c r="AF12" i="155"/>
  <c r="AE12" i="155"/>
  <c r="AD12" i="155"/>
  <c r="Z12" i="155"/>
  <c r="Y12" i="155"/>
  <c r="X12" i="155"/>
  <c r="W12" i="155"/>
  <c r="V12" i="155"/>
  <c r="U12" i="155"/>
  <c r="S12" i="155"/>
  <c r="R12" i="155"/>
  <c r="Q12" i="155"/>
  <c r="J12" i="155"/>
  <c r="AK11" i="155"/>
  <c r="AJ11" i="155"/>
  <c r="AI11" i="155"/>
  <c r="AH11" i="155"/>
  <c r="AG11" i="155"/>
  <c r="AF11" i="155"/>
  <c r="AE11" i="155"/>
  <c r="AD11" i="155"/>
  <c r="Z11" i="155"/>
  <c r="Y11" i="155"/>
  <c r="X11" i="155"/>
  <c r="W11" i="155"/>
  <c r="V11" i="155"/>
  <c r="U11" i="155"/>
  <c r="T11" i="155"/>
  <c r="S11" i="155"/>
  <c r="R11" i="155"/>
  <c r="Q11" i="155"/>
  <c r="J11" i="155"/>
  <c r="AK10" i="155"/>
  <c r="AJ10" i="155"/>
  <c r="AI10" i="155"/>
  <c r="AH10" i="155"/>
  <c r="AG10" i="155"/>
  <c r="AF10" i="155"/>
  <c r="AE10" i="155"/>
  <c r="AD10" i="155"/>
  <c r="Z10" i="155"/>
  <c r="Y10" i="155"/>
  <c r="X10" i="155"/>
  <c r="W10" i="155"/>
  <c r="V10" i="155"/>
  <c r="U10" i="155"/>
  <c r="T10" i="155"/>
  <c r="S10" i="155"/>
  <c r="R10" i="155"/>
  <c r="Q10" i="155"/>
  <c r="J10" i="155"/>
  <c r="AK9" i="155"/>
  <c r="AJ9" i="155"/>
  <c r="AI9" i="155"/>
  <c r="AH9" i="155"/>
  <c r="AG9" i="155"/>
  <c r="AF9" i="155"/>
  <c r="AE9" i="155"/>
  <c r="AD9" i="155"/>
  <c r="Z9" i="155"/>
  <c r="Y9" i="155"/>
  <c r="X9" i="155"/>
  <c r="W9" i="155"/>
  <c r="V9" i="155"/>
  <c r="U9" i="155"/>
  <c r="T9" i="155"/>
  <c r="S9" i="155"/>
  <c r="R9" i="155"/>
  <c r="Q9" i="155"/>
  <c r="J9" i="155"/>
  <c r="AK8" i="155"/>
  <c r="AJ8" i="155"/>
  <c r="AI8" i="155"/>
  <c r="AH8" i="155"/>
  <c r="AG8" i="155"/>
  <c r="AF8" i="155"/>
  <c r="AE8" i="155"/>
  <c r="AD8" i="155"/>
  <c r="Z8" i="155"/>
  <c r="Y8" i="155"/>
  <c r="X8" i="155"/>
  <c r="W8" i="155"/>
  <c r="V8" i="155"/>
  <c r="U8" i="155"/>
  <c r="S8" i="155"/>
  <c r="R8" i="155"/>
  <c r="Q8" i="155"/>
  <c r="J8" i="155"/>
  <c r="AK7" i="155"/>
  <c r="AJ7" i="155"/>
  <c r="AI7" i="155"/>
  <c r="AH7" i="155"/>
  <c r="AG7" i="155"/>
  <c r="AF7" i="155"/>
  <c r="AE7" i="155"/>
  <c r="AD7" i="155"/>
  <c r="Z7" i="155"/>
  <c r="Y7" i="155"/>
  <c r="X7" i="155"/>
  <c r="W7" i="155"/>
  <c r="V7" i="155"/>
  <c r="U7" i="155"/>
  <c r="S7" i="155"/>
  <c r="R7" i="155"/>
  <c r="Q7" i="155"/>
  <c r="J7" i="155"/>
  <c r="AK6" i="155"/>
  <c r="AJ6" i="155"/>
  <c r="AI6" i="155"/>
  <c r="AH6" i="155"/>
  <c r="AG6" i="155"/>
  <c r="AF6" i="155"/>
  <c r="AE6" i="155"/>
  <c r="AD6" i="155"/>
  <c r="Z6" i="155"/>
  <c r="Y6" i="155"/>
  <c r="X6" i="155"/>
  <c r="W6" i="155"/>
  <c r="V6" i="155"/>
  <c r="U6" i="155"/>
  <c r="S6" i="155"/>
  <c r="R6" i="155"/>
  <c r="Q6" i="155"/>
  <c r="K6" i="155"/>
  <c r="O6" i="155" s="1"/>
  <c r="J6" i="155"/>
  <c r="E7" i="155"/>
  <c r="E8" i="155"/>
  <c r="E9" i="155"/>
  <c r="E10" i="155"/>
  <c r="E11" i="155"/>
  <c r="E12" i="155"/>
  <c r="E13" i="155"/>
  <c r="E14" i="155"/>
  <c r="E15" i="155"/>
  <c r="E16" i="155"/>
  <c r="E17" i="155"/>
  <c r="E18" i="155"/>
  <c r="E6" i="155"/>
  <c r="AA41" i="155"/>
  <c r="D41" i="155"/>
  <c r="C41" i="155"/>
  <c r="E39" i="155"/>
  <c r="B39" i="155"/>
  <c r="E38" i="155"/>
  <c r="B38" i="155"/>
  <c r="E37" i="155"/>
  <c r="B37" i="155"/>
  <c r="E36" i="155"/>
  <c r="B36" i="155"/>
  <c r="E35" i="155"/>
  <c r="B35" i="155"/>
  <c r="E34" i="155"/>
  <c r="B34" i="155"/>
  <c r="E33" i="155"/>
  <c r="B33" i="155"/>
  <c r="E32" i="155"/>
  <c r="B32" i="155"/>
  <c r="E31" i="155"/>
  <c r="B31" i="155"/>
  <c r="E30" i="155"/>
  <c r="B30" i="155"/>
  <c r="E29" i="155"/>
  <c r="B29" i="155"/>
  <c r="E28" i="155"/>
  <c r="B28" i="155"/>
  <c r="E27" i="155"/>
  <c r="B27" i="155"/>
  <c r="E26" i="155"/>
  <c r="B26" i="155"/>
  <c r="E25" i="155"/>
  <c r="B25" i="155"/>
  <c r="E24" i="155"/>
  <c r="B24" i="155"/>
  <c r="E23" i="155"/>
  <c r="B23" i="155"/>
  <c r="E22" i="155"/>
  <c r="B22" i="155"/>
  <c r="E21" i="155"/>
  <c r="B21" i="155"/>
  <c r="E20" i="155"/>
  <c r="B20" i="155"/>
  <c r="B19" i="155"/>
  <c r="B18" i="155"/>
  <c r="B17" i="155"/>
  <c r="B16" i="155"/>
  <c r="B15" i="155"/>
  <c r="B14" i="155"/>
  <c r="B13" i="155"/>
  <c r="B12" i="155"/>
  <c r="B11" i="155"/>
  <c r="B10" i="155"/>
  <c r="B9" i="155"/>
  <c r="B8" i="155"/>
  <c r="B7" i="155"/>
  <c r="B6" i="155"/>
  <c r="AK39" i="154"/>
  <c r="AJ39" i="154"/>
  <c r="AI39" i="154"/>
  <c r="AH39" i="154"/>
  <c r="AG39" i="154"/>
  <c r="AF39" i="154"/>
  <c r="AE39" i="154"/>
  <c r="AD39" i="154"/>
  <c r="Z39" i="154"/>
  <c r="Y39" i="154"/>
  <c r="X39" i="154"/>
  <c r="W39" i="154"/>
  <c r="V39" i="154"/>
  <c r="U39" i="154"/>
  <c r="S39" i="154"/>
  <c r="R39" i="154"/>
  <c r="Q39" i="154"/>
  <c r="J39" i="154"/>
  <c r="AK38" i="154"/>
  <c r="AJ38" i="154"/>
  <c r="AI38" i="154"/>
  <c r="AH38" i="154"/>
  <c r="AG38" i="154"/>
  <c r="AF38" i="154"/>
  <c r="AE38" i="154"/>
  <c r="AD38" i="154"/>
  <c r="Z38" i="154"/>
  <c r="Y38" i="154"/>
  <c r="X38" i="154"/>
  <c r="W38" i="154"/>
  <c r="V38" i="154"/>
  <c r="U38" i="154"/>
  <c r="S38" i="154"/>
  <c r="R38" i="154"/>
  <c r="Q38" i="154"/>
  <c r="J38" i="154"/>
  <c r="AK37" i="154"/>
  <c r="AJ37" i="154"/>
  <c r="AI37" i="154"/>
  <c r="AH37" i="154"/>
  <c r="AG37" i="154"/>
  <c r="AF37" i="154"/>
  <c r="AE37" i="154"/>
  <c r="AD37" i="154"/>
  <c r="Z37" i="154"/>
  <c r="Y37" i="154"/>
  <c r="X37" i="154"/>
  <c r="W37" i="154"/>
  <c r="V37" i="154"/>
  <c r="U37" i="154"/>
  <c r="S37" i="154"/>
  <c r="R37" i="154"/>
  <c r="Q37" i="154"/>
  <c r="J37" i="154"/>
  <c r="AK36" i="154"/>
  <c r="AJ36" i="154"/>
  <c r="AI36" i="154"/>
  <c r="AH36" i="154"/>
  <c r="AG36" i="154"/>
  <c r="AF36" i="154"/>
  <c r="AE36" i="154"/>
  <c r="AD36" i="154"/>
  <c r="Z36" i="154"/>
  <c r="Y36" i="154"/>
  <c r="X36" i="154"/>
  <c r="W36" i="154"/>
  <c r="V36" i="154"/>
  <c r="U36" i="154"/>
  <c r="S36" i="154"/>
  <c r="R36" i="154"/>
  <c r="Q36" i="154"/>
  <c r="J36" i="154"/>
  <c r="AK35" i="154"/>
  <c r="AJ35" i="154"/>
  <c r="AI35" i="154"/>
  <c r="AH35" i="154"/>
  <c r="AG35" i="154"/>
  <c r="AF35" i="154"/>
  <c r="AE35" i="154"/>
  <c r="AD35" i="154"/>
  <c r="Z35" i="154"/>
  <c r="Y35" i="154"/>
  <c r="X35" i="154"/>
  <c r="W35" i="154"/>
  <c r="V35" i="154"/>
  <c r="U35" i="154"/>
  <c r="S35" i="154"/>
  <c r="R35" i="154"/>
  <c r="Q35" i="154"/>
  <c r="J35" i="154"/>
  <c r="AK34" i="154"/>
  <c r="AJ34" i="154"/>
  <c r="AI34" i="154"/>
  <c r="AH34" i="154"/>
  <c r="AG34" i="154"/>
  <c r="AF34" i="154"/>
  <c r="AE34" i="154"/>
  <c r="AD34" i="154"/>
  <c r="Z34" i="154"/>
  <c r="Y34" i="154"/>
  <c r="X34" i="154"/>
  <c r="W34" i="154"/>
  <c r="V34" i="154"/>
  <c r="U34" i="154"/>
  <c r="S34" i="154"/>
  <c r="R34" i="154"/>
  <c r="Q34" i="154"/>
  <c r="J34" i="154"/>
  <c r="AK33" i="154"/>
  <c r="AJ33" i="154"/>
  <c r="AI33" i="154"/>
  <c r="AH33" i="154"/>
  <c r="AG33" i="154"/>
  <c r="AF33" i="154"/>
  <c r="AE33" i="154"/>
  <c r="AD33" i="154"/>
  <c r="Z33" i="154"/>
  <c r="Y33" i="154"/>
  <c r="X33" i="154"/>
  <c r="W33" i="154"/>
  <c r="V33" i="154"/>
  <c r="U33" i="154"/>
  <c r="S33" i="154"/>
  <c r="R33" i="154"/>
  <c r="Q33" i="154"/>
  <c r="J33" i="154"/>
  <c r="AK32" i="154"/>
  <c r="AJ32" i="154"/>
  <c r="AI32" i="154"/>
  <c r="AH32" i="154"/>
  <c r="AG32" i="154"/>
  <c r="AF32" i="154"/>
  <c r="AE32" i="154"/>
  <c r="AD32" i="154"/>
  <c r="Z32" i="154"/>
  <c r="Y32" i="154"/>
  <c r="X32" i="154"/>
  <c r="W32" i="154"/>
  <c r="V32" i="154"/>
  <c r="U32" i="154"/>
  <c r="T32" i="154"/>
  <c r="S32" i="154"/>
  <c r="R32" i="154"/>
  <c r="Q32" i="154"/>
  <c r="J32" i="154"/>
  <c r="AK31" i="154"/>
  <c r="AJ31" i="154"/>
  <c r="AI31" i="154"/>
  <c r="AH31" i="154"/>
  <c r="AG31" i="154"/>
  <c r="AF31" i="154"/>
  <c r="AE31" i="154"/>
  <c r="AD31" i="154"/>
  <c r="Z31" i="154"/>
  <c r="Y31" i="154"/>
  <c r="X31" i="154"/>
  <c r="W31" i="154"/>
  <c r="V31" i="154"/>
  <c r="U31" i="154"/>
  <c r="S31" i="154"/>
  <c r="R31" i="154"/>
  <c r="Q31" i="154"/>
  <c r="J31" i="154"/>
  <c r="AK30" i="154"/>
  <c r="AJ30" i="154"/>
  <c r="AI30" i="154"/>
  <c r="AH30" i="154"/>
  <c r="AG30" i="154"/>
  <c r="AF30" i="154"/>
  <c r="AE30" i="154"/>
  <c r="AD30" i="154"/>
  <c r="Z30" i="154"/>
  <c r="Y30" i="154"/>
  <c r="X30" i="154"/>
  <c r="W30" i="154"/>
  <c r="V30" i="154"/>
  <c r="U30" i="154"/>
  <c r="S30" i="154"/>
  <c r="R30" i="154"/>
  <c r="Q30" i="154"/>
  <c r="J30" i="154"/>
  <c r="AK29" i="154"/>
  <c r="AJ29" i="154"/>
  <c r="AI29" i="154"/>
  <c r="AH29" i="154"/>
  <c r="AG29" i="154"/>
  <c r="AF29" i="154"/>
  <c r="AE29" i="154"/>
  <c r="AD29" i="154"/>
  <c r="Z29" i="154"/>
  <c r="Y29" i="154"/>
  <c r="X29" i="154"/>
  <c r="W29" i="154"/>
  <c r="V29" i="154"/>
  <c r="U29" i="154"/>
  <c r="S29" i="154"/>
  <c r="R29" i="154"/>
  <c r="Q29" i="154"/>
  <c r="J29" i="154"/>
  <c r="AK28" i="154"/>
  <c r="AJ28" i="154"/>
  <c r="AI28" i="154"/>
  <c r="AH28" i="154"/>
  <c r="AG28" i="154"/>
  <c r="AF28" i="154"/>
  <c r="AE28" i="154"/>
  <c r="AD28" i="154"/>
  <c r="Z28" i="154"/>
  <c r="Y28" i="154"/>
  <c r="X28" i="154"/>
  <c r="W28" i="154"/>
  <c r="V28" i="154"/>
  <c r="U28" i="154"/>
  <c r="T28" i="154"/>
  <c r="S28" i="154"/>
  <c r="R28" i="154"/>
  <c r="Q28" i="154"/>
  <c r="J28" i="154"/>
  <c r="AK27" i="154"/>
  <c r="AJ27" i="154"/>
  <c r="AI27" i="154"/>
  <c r="AH27" i="154"/>
  <c r="AG27" i="154"/>
  <c r="AF27" i="154"/>
  <c r="AE27" i="154"/>
  <c r="AD27" i="154"/>
  <c r="Z27" i="154"/>
  <c r="Y27" i="154"/>
  <c r="X27" i="154"/>
  <c r="W27" i="154"/>
  <c r="V27" i="154"/>
  <c r="U27" i="154"/>
  <c r="S27" i="154"/>
  <c r="R27" i="154"/>
  <c r="Q27" i="154"/>
  <c r="J27" i="154"/>
  <c r="AK26" i="154"/>
  <c r="AJ26" i="154"/>
  <c r="AI26" i="154"/>
  <c r="AH26" i="154"/>
  <c r="AG26" i="154"/>
  <c r="AF26" i="154"/>
  <c r="AE26" i="154"/>
  <c r="AD26" i="154"/>
  <c r="Z26" i="154"/>
  <c r="Y26" i="154"/>
  <c r="X26" i="154"/>
  <c r="W26" i="154"/>
  <c r="V26" i="154"/>
  <c r="U26" i="154"/>
  <c r="S26" i="154"/>
  <c r="R26" i="154"/>
  <c r="Q26" i="154"/>
  <c r="J26" i="154"/>
  <c r="AK25" i="154"/>
  <c r="AJ25" i="154"/>
  <c r="AI25" i="154"/>
  <c r="AH25" i="154"/>
  <c r="AG25" i="154"/>
  <c r="AF25" i="154"/>
  <c r="AE25" i="154"/>
  <c r="AD25" i="154"/>
  <c r="Z25" i="154"/>
  <c r="Y25" i="154"/>
  <c r="X25" i="154"/>
  <c r="W25" i="154"/>
  <c r="V25" i="154"/>
  <c r="U25" i="154"/>
  <c r="S25" i="154"/>
  <c r="R25" i="154"/>
  <c r="Q25" i="154"/>
  <c r="J25" i="154"/>
  <c r="AK24" i="154"/>
  <c r="AJ24" i="154"/>
  <c r="AI24" i="154"/>
  <c r="AH24" i="154"/>
  <c r="AG24" i="154"/>
  <c r="AF24" i="154"/>
  <c r="AE24" i="154"/>
  <c r="AD24" i="154"/>
  <c r="Z24" i="154"/>
  <c r="Y24" i="154"/>
  <c r="X24" i="154"/>
  <c r="W24" i="154"/>
  <c r="V24" i="154"/>
  <c r="U24" i="154"/>
  <c r="S24" i="154"/>
  <c r="R24" i="154"/>
  <c r="Q24" i="154"/>
  <c r="J24" i="154"/>
  <c r="AK23" i="154"/>
  <c r="AJ23" i="154"/>
  <c r="AI23" i="154"/>
  <c r="AH23" i="154"/>
  <c r="AG23" i="154"/>
  <c r="AF23" i="154"/>
  <c r="AE23" i="154"/>
  <c r="AD23" i="154"/>
  <c r="Z23" i="154"/>
  <c r="Y23" i="154"/>
  <c r="X23" i="154"/>
  <c r="W23" i="154"/>
  <c r="V23" i="154"/>
  <c r="U23" i="154"/>
  <c r="S23" i="154"/>
  <c r="R23" i="154"/>
  <c r="Q23" i="154"/>
  <c r="J23" i="154"/>
  <c r="AK22" i="154"/>
  <c r="AJ22" i="154"/>
  <c r="AI22" i="154"/>
  <c r="AH22" i="154"/>
  <c r="AG22" i="154"/>
  <c r="AF22" i="154"/>
  <c r="AE22" i="154"/>
  <c r="AD22" i="154"/>
  <c r="Z22" i="154"/>
  <c r="Y22" i="154"/>
  <c r="X22" i="154"/>
  <c r="W22" i="154"/>
  <c r="V22" i="154"/>
  <c r="U22" i="154"/>
  <c r="S22" i="154"/>
  <c r="R22" i="154"/>
  <c r="Q22" i="154"/>
  <c r="J22" i="154"/>
  <c r="AK21" i="154"/>
  <c r="AJ21" i="154"/>
  <c r="AI21" i="154"/>
  <c r="AH21" i="154"/>
  <c r="AG21" i="154"/>
  <c r="AF21" i="154"/>
  <c r="AE21" i="154"/>
  <c r="AD21" i="154"/>
  <c r="Z21" i="154"/>
  <c r="Y21" i="154"/>
  <c r="X21" i="154"/>
  <c r="W21" i="154"/>
  <c r="V21" i="154"/>
  <c r="U21" i="154"/>
  <c r="S21" i="154"/>
  <c r="R21" i="154"/>
  <c r="Q21" i="154"/>
  <c r="J21" i="154"/>
  <c r="AK20" i="154"/>
  <c r="AJ20" i="154"/>
  <c r="AI20" i="154"/>
  <c r="AH20" i="154"/>
  <c r="AG20" i="154"/>
  <c r="AF20" i="154"/>
  <c r="AE20" i="154"/>
  <c r="AD20" i="154"/>
  <c r="Z20" i="154"/>
  <c r="Y20" i="154"/>
  <c r="X20" i="154"/>
  <c r="W20" i="154"/>
  <c r="V20" i="154"/>
  <c r="U20" i="154"/>
  <c r="S20" i="154"/>
  <c r="R20" i="154"/>
  <c r="Q20" i="154"/>
  <c r="J20" i="154"/>
  <c r="AK18" i="154"/>
  <c r="AJ18" i="154"/>
  <c r="AI18" i="154"/>
  <c r="AH18" i="154"/>
  <c r="AG18" i="154"/>
  <c r="AF18" i="154"/>
  <c r="AE18" i="154"/>
  <c r="AD18" i="154"/>
  <c r="Z18" i="154"/>
  <c r="Y18" i="154"/>
  <c r="X18" i="154"/>
  <c r="W18" i="154"/>
  <c r="V18" i="154"/>
  <c r="U18" i="154"/>
  <c r="S18" i="154"/>
  <c r="R18" i="154"/>
  <c r="Q18" i="154"/>
  <c r="J18" i="154"/>
  <c r="AK17" i="154"/>
  <c r="AJ17" i="154"/>
  <c r="AI17" i="154"/>
  <c r="AH17" i="154"/>
  <c r="AG17" i="154"/>
  <c r="AF17" i="154"/>
  <c r="AE17" i="154"/>
  <c r="AD17" i="154"/>
  <c r="Z17" i="154"/>
  <c r="Y17" i="154"/>
  <c r="X17" i="154"/>
  <c r="W17" i="154"/>
  <c r="V17" i="154"/>
  <c r="U17" i="154"/>
  <c r="S17" i="154"/>
  <c r="R17" i="154"/>
  <c r="Q17" i="154"/>
  <c r="J17" i="154"/>
  <c r="AK16" i="154"/>
  <c r="AJ16" i="154"/>
  <c r="AI16" i="154"/>
  <c r="AH16" i="154"/>
  <c r="AG16" i="154"/>
  <c r="AF16" i="154"/>
  <c r="AE16" i="154"/>
  <c r="AD16" i="154"/>
  <c r="Z16" i="154"/>
  <c r="Y16" i="154"/>
  <c r="X16" i="154"/>
  <c r="W16" i="154"/>
  <c r="V16" i="154"/>
  <c r="U16" i="154"/>
  <c r="S16" i="154"/>
  <c r="R16" i="154"/>
  <c r="Q16" i="154"/>
  <c r="J16" i="154"/>
  <c r="AK15" i="154"/>
  <c r="AJ15" i="154"/>
  <c r="AI15" i="154"/>
  <c r="AH15" i="154"/>
  <c r="AG15" i="154"/>
  <c r="AF15" i="154"/>
  <c r="AE15" i="154"/>
  <c r="AD15" i="154"/>
  <c r="Z15" i="154"/>
  <c r="Y15" i="154"/>
  <c r="X15" i="154"/>
  <c r="W15" i="154"/>
  <c r="V15" i="154"/>
  <c r="U15" i="154"/>
  <c r="S15" i="154"/>
  <c r="R15" i="154"/>
  <c r="Q15" i="154"/>
  <c r="J15" i="154"/>
  <c r="AK14" i="154"/>
  <c r="AJ14" i="154"/>
  <c r="AI14" i="154"/>
  <c r="AH14" i="154"/>
  <c r="AG14" i="154"/>
  <c r="AF14" i="154"/>
  <c r="AE14" i="154"/>
  <c r="AD14" i="154"/>
  <c r="Z14" i="154"/>
  <c r="Y14" i="154"/>
  <c r="X14" i="154"/>
  <c r="W14" i="154"/>
  <c r="V14" i="154"/>
  <c r="U14" i="154"/>
  <c r="S14" i="154"/>
  <c r="R14" i="154"/>
  <c r="Q14" i="154"/>
  <c r="J14" i="154"/>
  <c r="AK13" i="154"/>
  <c r="AJ13" i="154"/>
  <c r="AI13" i="154"/>
  <c r="AH13" i="154"/>
  <c r="AG13" i="154"/>
  <c r="AF13" i="154"/>
  <c r="AE13" i="154"/>
  <c r="AD13" i="154"/>
  <c r="Z13" i="154"/>
  <c r="Y13" i="154"/>
  <c r="X13" i="154"/>
  <c r="W13" i="154"/>
  <c r="V13" i="154"/>
  <c r="U13" i="154"/>
  <c r="S13" i="154"/>
  <c r="R13" i="154"/>
  <c r="Q13" i="154"/>
  <c r="J13" i="154"/>
  <c r="AK12" i="154"/>
  <c r="AJ12" i="154"/>
  <c r="AI12" i="154"/>
  <c r="AH12" i="154"/>
  <c r="AG12" i="154"/>
  <c r="AF12" i="154"/>
  <c r="AE12" i="154"/>
  <c r="AD12" i="154"/>
  <c r="Z12" i="154"/>
  <c r="Y12" i="154"/>
  <c r="X12" i="154"/>
  <c r="W12" i="154"/>
  <c r="V12" i="154"/>
  <c r="U12" i="154"/>
  <c r="S12" i="154"/>
  <c r="R12" i="154"/>
  <c r="Q12" i="154"/>
  <c r="J12" i="154"/>
  <c r="AK11" i="154"/>
  <c r="AJ11" i="154"/>
  <c r="AI11" i="154"/>
  <c r="AH11" i="154"/>
  <c r="AG11" i="154"/>
  <c r="AF11" i="154"/>
  <c r="AE11" i="154"/>
  <c r="AD11" i="154"/>
  <c r="Z11" i="154"/>
  <c r="Y11" i="154"/>
  <c r="X11" i="154"/>
  <c r="W11" i="154"/>
  <c r="V11" i="154"/>
  <c r="U11" i="154"/>
  <c r="S11" i="154"/>
  <c r="R11" i="154"/>
  <c r="Q11" i="154"/>
  <c r="J11" i="154"/>
  <c r="AK10" i="154"/>
  <c r="AJ10" i="154"/>
  <c r="AI10" i="154"/>
  <c r="AH10" i="154"/>
  <c r="AG10" i="154"/>
  <c r="AF10" i="154"/>
  <c r="AE10" i="154"/>
  <c r="AD10" i="154"/>
  <c r="Z10" i="154"/>
  <c r="Y10" i="154"/>
  <c r="X10" i="154"/>
  <c r="W10" i="154"/>
  <c r="V10" i="154"/>
  <c r="U10" i="154"/>
  <c r="S10" i="154"/>
  <c r="R10" i="154"/>
  <c r="Q10" i="154"/>
  <c r="J10" i="154"/>
  <c r="AK9" i="154"/>
  <c r="AJ9" i="154"/>
  <c r="AI9" i="154"/>
  <c r="AH9" i="154"/>
  <c r="AG9" i="154"/>
  <c r="AF9" i="154"/>
  <c r="AE9" i="154"/>
  <c r="AD9" i="154"/>
  <c r="Z9" i="154"/>
  <c r="Y9" i="154"/>
  <c r="X9" i="154"/>
  <c r="W9" i="154"/>
  <c r="V9" i="154"/>
  <c r="U9" i="154"/>
  <c r="S9" i="154"/>
  <c r="R9" i="154"/>
  <c r="Q9" i="154"/>
  <c r="J9" i="154"/>
  <c r="AK8" i="154"/>
  <c r="AJ8" i="154"/>
  <c r="AI8" i="154"/>
  <c r="AH8" i="154"/>
  <c r="AG8" i="154"/>
  <c r="AF8" i="154"/>
  <c r="AE8" i="154"/>
  <c r="AD8" i="154"/>
  <c r="Z8" i="154"/>
  <c r="Y8" i="154"/>
  <c r="X8" i="154"/>
  <c r="W8" i="154"/>
  <c r="V8" i="154"/>
  <c r="U8" i="154"/>
  <c r="S8" i="154"/>
  <c r="R8" i="154"/>
  <c r="Q8" i="154"/>
  <c r="J8" i="154"/>
  <c r="AK7" i="154"/>
  <c r="AJ7" i="154"/>
  <c r="AI7" i="154"/>
  <c r="AH7" i="154"/>
  <c r="AG7" i="154"/>
  <c r="AF7" i="154"/>
  <c r="AE7" i="154"/>
  <c r="AD7" i="154"/>
  <c r="Z7" i="154"/>
  <c r="Y7" i="154"/>
  <c r="X7" i="154"/>
  <c r="W7" i="154"/>
  <c r="V7" i="154"/>
  <c r="U7" i="154"/>
  <c r="S7" i="154"/>
  <c r="R7" i="154"/>
  <c r="Q7" i="154"/>
  <c r="J7" i="154"/>
  <c r="AK6" i="154"/>
  <c r="AJ6" i="154"/>
  <c r="AI6" i="154"/>
  <c r="AH6" i="154"/>
  <c r="AG6" i="154"/>
  <c r="AF6" i="154"/>
  <c r="AE6" i="154"/>
  <c r="AD6" i="154"/>
  <c r="Z6" i="154"/>
  <c r="Y6" i="154"/>
  <c r="X6" i="154"/>
  <c r="W6" i="154"/>
  <c r="V6" i="154"/>
  <c r="U6" i="154"/>
  <c r="S6" i="154"/>
  <c r="R6" i="154"/>
  <c r="Q6" i="154"/>
  <c r="K6" i="154"/>
  <c r="M6" i="154" s="1"/>
  <c r="J6" i="154"/>
  <c r="E7" i="154"/>
  <c r="E8" i="154"/>
  <c r="E9" i="154"/>
  <c r="E10" i="154"/>
  <c r="E11" i="154"/>
  <c r="E12" i="154"/>
  <c r="E13" i="154"/>
  <c r="E14" i="154"/>
  <c r="E15" i="154"/>
  <c r="E16" i="154"/>
  <c r="E17" i="154"/>
  <c r="E18" i="154"/>
  <c r="E6" i="154"/>
  <c r="AA41" i="154"/>
  <c r="D41" i="154"/>
  <c r="C41" i="154"/>
  <c r="E39" i="154"/>
  <c r="B39" i="154"/>
  <c r="E38" i="154"/>
  <c r="B38" i="154"/>
  <c r="E37" i="154"/>
  <c r="B37" i="154"/>
  <c r="E36" i="154"/>
  <c r="B36" i="154"/>
  <c r="E35" i="154"/>
  <c r="B35" i="154"/>
  <c r="E34" i="154"/>
  <c r="B34" i="154"/>
  <c r="E33" i="154"/>
  <c r="B33" i="154"/>
  <c r="E32" i="154"/>
  <c r="B32" i="154"/>
  <c r="E31" i="154"/>
  <c r="B31" i="154"/>
  <c r="E30" i="154"/>
  <c r="B30" i="154"/>
  <c r="E29" i="154"/>
  <c r="B29" i="154"/>
  <c r="E28" i="154"/>
  <c r="B28" i="154"/>
  <c r="E27" i="154"/>
  <c r="B27" i="154"/>
  <c r="E26" i="154"/>
  <c r="B26" i="154"/>
  <c r="E25" i="154"/>
  <c r="B25" i="154"/>
  <c r="E24" i="154"/>
  <c r="B24" i="154"/>
  <c r="E23" i="154"/>
  <c r="B23" i="154"/>
  <c r="E22" i="154"/>
  <c r="B22" i="154"/>
  <c r="E21" i="154"/>
  <c r="B21" i="154"/>
  <c r="E20" i="154"/>
  <c r="B20" i="154"/>
  <c r="B19" i="154"/>
  <c r="B18" i="154"/>
  <c r="B17" i="154"/>
  <c r="B16" i="154"/>
  <c r="B15" i="154"/>
  <c r="B14" i="154"/>
  <c r="B13" i="154"/>
  <c r="B12" i="154"/>
  <c r="B11" i="154"/>
  <c r="B10" i="154"/>
  <c r="B9" i="154"/>
  <c r="B8" i="154"/>
  <c r="B7" i="154"/>
  <c r="B6" i="154"/>
  <c r="AK6" i="150"/>
  <c r="AJ6" i="150"/>
  <c r="AI6" i="150"/>
  <c r="AH6" i="150"/>
  <c r="AF6" i="150"/>
  <c r="AE6" i="150"/>
  <c r="AD6" i="150"/>
  <c r="Z6" i="150"/>
  <c r="Y6" i="150"/>
  <c r="X6" i="150"/>
  <c r="W6" i="150"/>
  <c r="V6" i="150"/>
  <c r="U6" i="150"/>
  <c r="T6" i="150"/>
  <c r="S6" i="150"/>
  <c r="R6" i="150"/>
  <c r="Q6" i="150"/>
  <c r="K6" i="150"/>
  <c r="J6" i="150"/>
  <c r="AK39" i="153"/>
  <c r="AJ39" i="153"/>
  <c r="AI39" i="153"/>
  <c r="AH39" i="153"/>
  <c r="AG39" i="153"/>
  <c r="AF39" i="153"/>
  <c r="AE39" i="153"/>
  <c r="AD39" i="153"/>
  <c r="Z39" i="153"/>
  <c r="Y39" i="153"/>
  <c r="X39" i="153"/>
  <c r="W39" i="153"/>
  <c r="V39" i="153"/>
  <c r="U39" i="153"/>
  <c r="S39" i="153"/>
  <c r="R39" i="153"/>
  <c r="Q39" i="153"/>
  <c r="J39" i="153"/>
  <c r="AK38" i="153"/>
  <c r="AJ38" i="153"/>
  <c r="AI38" i="153"/>
  <c r="AH38" i="153"/>
  <c r="AG38" i="153"/>
  <c r="AF38" i="153"/>
  <c r="AE38" i="153"/>
  <c r="AD38" i="153"/>
  <c r="Z38" i="153"/>
  <c r="Y38" i="153"/>
  <c r="X38" i="153"/>
  <c r="W38" i="153"/>
  <c r="V38" i="153"/>
  <c r="U38" i="153"/>
  <c r="S38" i="153"/>
  <c r="R38" i="153"/>
  <c r="Q38" i="153"/>
  <c r="J38" i="153"/>
  <c r="AK37" i="153"/>
  <c r="AJ37" i="153"/>
  <c r="AI37" i="153"/>
  <c r="AH37" i="153"/>
  <c r="AG37" i="153"/>
  <c r="AF37" i="153"/>
  <c r="AE37" i="153"/>
  <c r="AD37" i="153"/>
  <c r="Z37" i="153"/>
  <c r="Y37" i="153"/>
  <c r="X37" i="153"/>
  <c r="W37" i="153"/>
  <c r="V37" i="153"/>
  <c r="U37" i="153"/>
  <c r="S37" i="153"/>
  <c r="R37" i="153"/>
  <c r="Q37" i="153"/>
  <c r="J37" i="153"/>
  <c r="AK36" i="153"/>
  <c r="AJ36" i="153"/>
  <c r="AI36" i="153"/>
  <c r="AH36" i="153"/>
  <c r="AG36" i="153"/>
  <c r="AF36" i="153"/>
  <c r="AE36" i="153"/>
  <c r="AD36" i="153"/>
  <c r="Z36" i="153"/>
  <c r="Y36" i="153"/>
  <c r="X36" i="153"/>
  <c r="W36" i="153"/>
  <c r="V36" i="153"/>
  <c r="U36" i="153"/>
  <c r="S36" i="153"/>
  <c r="R36" i="153"/>
  <c r="Q36" i="153"/>
  <c r="J36" i="153"/>
  <c r="AK35" i="153"/>
  <c r="AJ35" i="153"/>
  <c r="AI35" i="153"/>
  <c r="AH35" i="153"/>
  <c r="AG35" i="153"/>
  <c r="AF35" i="153"/>
  <c r="AE35" i="153"/>
  <c r="AD35" i="153"/>
  <c r="Z35" i="153"/>
  <c r="Y35" i="153"/>
  <c r="X35" i="153"/>
  <c r="W35" i="153"/>
  <c r="V35" i="153"/>
  <c r="U35" i="153"/>
  <c r="S35" i="153"/>
  <c r="R35" i="153"/>
  <c r="Q35" i="153"/>
  <c r="J35" i="153"/>
  <c r="AK34" i="153"/>
  <c r="AJ34" i="153"/>
  <c r="AI34" i="153"/>
  <c r="AH34" i="153"/>
  <c r="AG34" i="153"/>
  <c r="AF34" i="153"/>
  <c r="AE34" i="153"/>
  <c r="AD34" i="153"/>
  <c r="Z34" i="153"/>
  <c r="Y34" i="153"/>
  <c r="X34" i="153"/>
  <c r="W34" i="153"/>
  <c r="V34" i="153"/>
  <c r="U34" i="153"/>
  <c r="S34" i="153"/>
  <c r="R34" i="153"/>
  <c r="Q34" i="153"/>
  <c r="J34" i="153"/>
  <c r="AK33" i="153"/>
  <c r="AJ33" i="153"/>
  <c r="AI33" i="153"/>
  <c r="AH33" i="153"/>
  <c r="AG33" i="153"/>
  <c r="AF33" i="153"/>
  <c r="AE33" i="153"/>
  <c r="AD33" i="153"/>
  <c r="Z33" i="153"/>
  <c r="Y33" i="153"/>
  <c r="X33" i="153"/>
  <c r="W33" i="153"/>
  <c r="V33" i="153"/>
  <c r="U33" i="153"/>
  <c r="S33" i="153"/>
  <c r="R33" i="153"/>
  <c r="Q33" i="153"/>
  <c r="J33" i="153"/>
  <c r="AK32" i="153"/>
  <c r="AJ32" i="153"/>
  <c r="AI32" i="153"/>
  <c r="AH32" i="153"/>
  <c r="AG32" i="153"/>
  <c r="AF32" i="153"/>
  <c r="AE32" i="153"/>
  <c r="AD32" i="153"/>
  <c r="Z32" i="153"/>
  <c r="Y32" i="153"/>
  <c r="X32" i="153"/>
  <c r="W32" i="153"/>
  <c r="V32" i="153"/>
  <c r="U32" i="153"/>
  <c r="S32" i="153"/>
  <c r="R32" i="153"/>
  <c r="Q32" i="153"/>
  <c r="J32" i="153"/>
  <c r="AK31" i="153"/>
  <c r="AJ31" i="153"/>
  <c r="AI31" i="153"/>
  <c r="AH31" i="153"/>
  <c r="AG31" i="153"/>
  <c r="AF31" i="153"/>
  <c r="AE31" i="153"/>
  <c r="AD31" i="153"/>
  <c r="Z31" i="153"/>
  <c r="Y31" i="153"/>
  <c r="X31" i="153"/>
  <c r="W31" i="153"/>
  <c r="V31" i="153"/>
  <c r="U31" i="153"/>
  <c r="S31" i="153"/>
  <c r="R31" i="153"/>
  <c r="Q31" i="153"/>
  <c r="J31" i="153"/>
  <c r="AK30" i="153"/>
  <c r="AJ30" i="153"/>
  <c r="AI30" i="153"/>
  <c r="AH30" i="153"/>
  <c r="AG30" i="153"/>
  <c r="AF30" i="153"/>
  <c r="AE30" i="153"/>
  <c r="AD30" i="153"/>
  <c r="Z30" i="153"/>
  <c r="Y30" i="153"/>
  <c r="X30" i="153"/>
  <c r="W30" i="153"/>
  <c r="V30" i="153"/>
  <c r="U30" i="153"/>
  <c r="S30" i="153"/>
  <c r="R30" i="153"/>
  <c r="Q30" i="153"/>
  <c r="J30" i="153"/>
  <c r="AK29" i="153"/>
  <c r="AJ29" i="153"/>
  <c r="AI29" i="153"/>
  <c r="AH29" i="153"/>
  <c r="AG29" i="153"/>
  <c r="AF29" i="153"/>
  <c r="AE29" i="153"/>
  <c r="AD29" i="153"/>
  <c r="Z29" i="153"/>
  <c r="Y29" i="153"/>
  <c r="X29" i="153"/>
  <c r="W29" i="153"/>
  <c r="V29" i="153"/>
  <c r="U29" i="153"/>
  <c r="S29" i="153"/>
  <c r="R29" i="153"/>
  <c r="Q29" i="153"/>
  <c r="J29" i="153"/>
  <c r="AK28" i="153"/>
  <c r="AJ28" i="153"/>
  <c r="AI28" i="153"/>
  <c r="AH28" i="153"/>
  <c r="AG28" i="153"/>
  <c r="AF28" i="153"/>
  <c r="AE28" i="153"/>
  <c r="AD28" i="153"/>
  <c r="Z28" i="153"/>
  <c r="Y28" i="153"/>
  <c r="X28" i="153"/>
  <c r="W28" i="153"/>
  <c r="V28" i="153"/>
  <c r="U28" i="153"/>
  <c r="S28" i="153"/>
  <c r="R28" i="153"/>
  <c r="Q28" i="153"/>
  <c r="J28" i="153"/>
  <c r="AK27" i="153"/>
  <c r="AJ27" i="153"/>
  <c r="AI27" i="153"/>
  <c r="AH27" i="153"/>
  <c r="AG27" i="153"/>
  <c r="AF27" i="153"/>
  <c r="AE27" i="153"/>
  <c r="AD27" i="153"/>
  <c r="Z27" i="153"/>
  <c r="Y27" i="153"/>
  <c r="X27" i="153"/>
  <c r="W27" i="153"/>
  <c r="V27" i="153"/>
  <c r="U27" i="153"/>
  <c r="S27" i="153"/>
  <c r="R27" i="153"/>
  <c r="Q27" i="153"/>
  <c r="J27" i="153"/>
  <c r="AK26" i="153"/>
  <c r="AJ26" i="153"/>
  <c r="AI26" i="153"/>
  <c r="AH26" i="153"/>
  <c r="AG26" i="153"/>
  <c r="AF26" i="153"/>
  <c r="AE26" i="153"/>
  <c r="AD26" i="153"/>
  <c r="Z26" i="153"/>
  <c r="Y26" i="153"/>
  <c r="X26" i="153"/>
  <c r="W26" i="153"/>
  <c r="V26" i="153"/>
  <c r="U26" i="153"/>
  <c r="S26" i="153"/>
  <c r="R26" i="153"/>
  <c r="Q26" i="153"/>
  <c r="J26" i="153"/>
  <c r="AK25" i="153"/>
  <c r="AJ25" i="153"/>
  <c r="AI25" i="153"/>
  <c r="AH25" i="153"/>
  <c r="AG25" i="153"/>
  <c r="AF25" i="153"/>
  <c r="AE25" i="153"/>
  <c r="AD25" i="153"/>
  <c r="Z25" i="153"/>
  <c r="Y25" i="153"/>
  <c r="X25" i="153"/>
  <c r="W25" i="153"/>
  <c r="V25" i="153"/>
  <c r="U25" i="153"/>
  <c r="S25" i="153"/>
  <c r="R25" i="153"/>
  <c r="Q25" i="153"/>
  <c r="J25" i="153"/>
  <c r="AK24" i="153"/>
  <c r="AJ24" i="153"/>
  <c r="AI24" i="153"/>
  <c r="AH24" i="153"/>
  <c r="AG24" i="153"/>
  <c r="AF24" i="153"/>
  <c r="AE24" i="153"/>
  <c r="AD24" i="153"/>
  <c r="Z24" i="153"/>
  <c r="Y24" i="153"/>
  <c r="X24" i="153"/>
  <c r="W24" i="153"/>
  <c r="V24" i="153"/>
  <c r="U24" i="153"/>
  <c r="S24" i="153"/>
  <c r="R24" i="153"/>
  <c r="Q24" i="153"/>
  <c r="J24" i="153"/>
  <c r="AK23" i="153"/>
  <c r="AJ23" i="153"/>
  <c r="AI23" i="153"/>
  <c r="AH23" i="153"/>
  <c r="AG23" i="153"/>
  <c r="AF23" i="153"/>
  <c r="AE23" i="153"/>
  <c r="AD23" i="153"/>
  <c r="Z23" i="153"/>
  <c r="Y23" i="153"/>
  <c r="X23" i="153"/>
  <c r="W23" i="153"/>
  <c r="V23" i="153"/>
  <c r="U23" i="153"/>
  <c r="S23" i="153"/>
  <c r="R23" i="153"/>
  <c r="Q23" i="153"/>
  <c r="J23" i="153"/>
  <c r="AK22" i="153"/>
  <c r="AJ22" i="153"/>
  <c r="AI22" i="153"/>
  <c r="AH22" i="153"/>
  <c r="AG22" i="153"/>
  <c r="AF22" i="153"/>
  <c r="AE22" i="153"/>
  <c r="AD22" i="153"/>
  <c r="Z22" i="153"/>
  <c r="Y22" i="153"/>
  <c r="X22" i="153"/>
  <c r="W22" i="153"/>
  <c r="V22" i="153"/>
  <c r="U22" i="153"/>
  <c r="S22" i="153"/>
  <c r="R22" i="153"/>
  <c r="Q22" i="153"/>
  <c r="J22" i="153"/>
  <c r="AK21" i="153"/>
  <c r="AJ21" i="153"/>
  <c r="AI21" i="153"/>
  <c r="AH21" i="153"/>
  <c r="AG21" i="153"/>
  <c r="AF21" i="153"/>
  <c r="AE21" i="153"/>
  <c r="AD21" i="153"/>
  <c r="Z21" i="153"/>
  <c r="Y21" i="153"/>
  <c r="X21" i="153"/>
  <c r="W21" i="153"/>
  <c r="V21" i="153"/>
  <c r="U21" i="153"/>
  <c r="S21" i="153"/>
  <c r="R21" i="153"/>
  <c r="Q21" i="153"/>
  <c r="J21" i="153"/>
  <c r="AK20" i="153"/>
  <c r="AJ20" i="153"/>
  <c r="AI20" i="153"/>
  <c r="AH20" i="153"/>
  <c r="AG20" i="153"/>
  <c r="AF20" i="153"/>
  <c r="AE20" i="153"/>
  <c r="AD20" i="153"/>
  <c r="Z20" i="153"/>
  <c r="Y20" i="153"/>
  <c r="X20" i="153"/>
  <c r="W20" i="153"/>
  <c r="V20" i="153"/>
  <c r="U20" i="153"/>
  <c r="S20" i="153"/>
  <c r="R20" i="153"/>
  <c r="Q20" i="153"/>
  <c r="J20" i="153"/>
  <c r="AK18" i="153"/>
  <c r="AJ18" i="153"/>
  <c r="AI18" i="153"/>
  <c r="AH18" i="153"/>
  <c r="AG18" i="153"/>
  <c r="AF18" i="153"/>
  <c r="AE18" i="153"/>
  <c r="AD18" i="153"/>
  <c r="Z18" i="153"/>
  <c r="Y18" i="153"/>
  <c r="X18" i="153"/>
  <c r="W18" i="153"/>
  <c r="V18" i="153"/>
  <c r="U18" i="153"/>
  <c r="S18" i="153"/>
  <c r="R18" i="153"/>
  <c r="Q18" i="153"/>
  <c r="J18" i="153"/>
  <c r="AK17" i="153"/>
  <c r="AJ17" i="153"/>
  <c r="AI17" i="153"/>
  <c r="AH17" i="153"/>
  <c r="AG17" i="153"/>
  <c r="AF17" i="153"/>
  <c r="AE17" i="153"/>
  <c r="AD17" i="153"/>
  <c r="Z17" i="153"/>
  <c r="Y17" i="153"/>
  <c r="X17" i="153"/>
  <c r="W17" i="153"/>
  <c r="V17" i="153"/>
  <c r="U17" i="153"/>
  <c r="S17" i="153"/>
  <c r="R17" i="153"/>
  <c r="Q17" i="153"/>
  <c r="J17" i="153"/>
  <c r="AK16" i="153"/>
  <c r="AJ16" i="153"/>
  <c r="AI16" i="153"/>
  <c r="AH16" i="153"/>
  <c r="AG16" i="153"/>
  <c r="AF16" i="153"/>
  <c r="AE16" i="153"/>
  <c r="AD16" i="153"/>
  <c r="Z16" i="153"/>
  <c r="Y16" i="153"/>
  <c r="X16" i="153"/>
  <c r="W16" i="153"/>
  <c r="V16" i="153"/>
  <c r="U16" i="153"/>
  <c r="S16" i="153"/>
  <c r="R16" i="153"/>
  <c r="Q16" i="153"/>
  <c r="J16" i="153"/>
  <c r="AK15" i="153"/>
  <c r="AJ15" i="153"/>
  <c r="AI15" i="153"/>
  <c r="AH15" i="153"/>
  <c r="AG15" i="153"/>
  <c r="AF15" i="153"/>
  <c r="AE15" i="153"/>
  <c r="AD15" i="153"/>
  <c r="Z15" i="153"/>
  <c r="Y15" i="153"/>
  <c r="X15" i="153"/>
  <c r="W15" i="153"/>
  <c r="V15" i="153"/>
  <c r="U15" i="153"/>
  <c r="S15" i="153"/>
  <c r="R15" i="153"/>
  <c r="Q15" i="153"/>
  <c r="J15" i="153"/>
  <c r="AK14" i="153"/>
  <c r="AJ14" i="153"/>
  <c r="AI14" i="153"/>
  <c r="AH14" i="153"/>
  <c r="AG14" i="153"/>
  <c r="AF14" i="153"/>
  <c r="AE14" i="153"/>
  <c r="AD14" i="153"/>
  <c r="Z14" i="153"/>
  <c r="Y14" i="153"/>
  <c r="X14" i="153"/>
  <c r="W14" i="153"/>
  <c r="V14" i="153"/>
  <c r="U14" i="153"/>
  <c r="S14" i="153"/>
  <c r="R14" i="153"/>
  <c r="Q14" i="153"/>
  <c r="J14" i="153"/>
  <c r="AK13" i="153"/>
  <c r="AJ13" i="153"/>
  <c r="AI13" i="153"/>
  <c r="AH13" i="153"/>
  <c r="AG13" i="153"/>
  <c r="AF13" i="153"/>
  <c r="AE13" i="153"/>
  <c r="AD13" i="153"/>
  <c r="Z13" i="153"/>
  <c r="Y13" i="153"/>
  <c r="X13" i="153"/>
  <c r="W13" i="153"/>
  <c r="V13" i="153"/>
  <c r="U13" i="153"/>
  <c r="S13" i="153"/>
  <c r="R13" i="153"/>
  <c r="Q13" i="153"/>
  <c r="J13" i="153"/>
  <c r="AK12" i="153"/>
  <c r="AJ12" i="153"/>
  <c r="AI12" i="153"/>
  <c r="AH12" i="153"/>
  <c r="AG12" i="153"/>
  <c r="AF12" i="153"/>
  <c r="AE12" i="153"/>
  <c r="AD12" i="153"/>
  <c r="Z12" i="153"/>
  <c r="Y12" i="153"/>
  <c r="X12" i="153"/>
  <c r="W12" i="153"/>
  <c r="V12" i="153"/>
  <c r="U12" i="153"/>
  <c r="S12" i="153"/>
  <c r="R12" i="153"/>
  <c r="Q12" i="153"/>
  <c r="J12" i="153"/>
  <c r="AK11" i="153"/>
  <c r="AJ11" i="153"/>
  <c r="AI11" i="153"/>
  <c r="AH11" i="153"/>
  <c r="AG11" i="153"/>
  <c r="AF11" i="153"/>
  <c r="AE11" i="153"/>
  <c r="AD11" i="153"/>
  <c r="Z11" i="153"/>
  <c r="Y11" i="153"/>
  <c r="X11" i="153"/>
  <c r="W11" i="153"/>
  <c r="V11" i="153"/>
  <c r="U11" i="153"/>
  <c r="T11" i="153"/>
  <c r="S11" i="153"/>
  <c r="R11" i="153"/>
  <c r="Q11" i="153"/>
  <c r="J11" i="153"/>
  <c r="AK10" i="153"/>
  <c r="AJ10" i="153"/>
  <c r="AI10" i="153"/>
  <c r="AH10" i="153"/>
  <c r="AG10" i="153"/>
  <c r="AF10" i="153"/>
  <c r="AE10" i="153"/>
  <c r="AD10" i="153"/>
  <c r="Z10" i="153"/>
  <c r="Y10" i="153"/>
  <c r="X10" i="153"/>
  <c r="W10" i="153"/>
  <c r="V10" i="153"/>
  <c r="U10" i="153"/>
  <c r="S10" i="153"/>
  <c r="R10" i="153"/>
  <c r="Q10" i="153"/>
  <c r="J10" i="153"/>
  <c r="AK9" i="153"/>
  <c r="AJ9" i="153"/>
  <c r="AI9" i="153"/>
  <c r="AH9" i="153"/>
  <c r="AG9" i="153"/>
  <c r="AF9" i="153"/>
  <c r="AE9" i="153"/>
  <c r="AD9" i="153"/>
  <c r="Z9" i="153"/>
  <c r="Y9" i="153"/>
  <c r="X9" i="153"/>
  <c r="W9" i="153"/>
  <c r="V9" i="153"/>
  <c r="U9" i="153"/>
  <c r="S9" i="153"/>
  <c r="R9" i="153"/>
  <c r="Q9" i="153"/>
  <c r="J9" i="153"/>
  <c r="AK8" i="153"/>
  <c r="AJ8" i="153"/>
  <c r="AI8" i="153"/>
  <c r="AH8" i="153"/>
  <c r="AG8" i="153"/>
  <c r="AF8" i="153"/>
  <c r="AE8" i="153"/>
  <c r="AD8" i="153"/>
  <c r="Z8" i="153"/>
  <c r="Y8" i="153"/>
  <c r="X8" i="153"/>
  <c r="W8" i="153"/>
  <c r="V8" i="153"/>
  <c r="U8" i="153"/>
  <c r="S8" i="153"/>
  <c r="R8" i="153"/>
  <c r="Q8" i="153"/>
  <c r="J8" i="153"/>
  <c r="AK7" i="153"/>
  <c r="AJ7" i="153"/>
  <c r="AI7" i="153"/>
  <c r="AH7" i="153"/>
  <c r="AG7" i="153"/>
  <c r="AF7" i="153"/>
  <c r="AE7" i="153"/>
  <c r="AD7" i="153"/>
  <c r="Z7" i="153"/>
  <c r="Y7" i="153"/>
  <c r="X7" i="153"/>
  <c r="W7" i="153"/>
  <c r="V7" i="153"/>
  <c r="U7" i="153"/>
  <c r="S7" i="153"/>
  <c r="R7" i="153"/>
  <c r="Q7" i="153"/>
  <c r="J7" i="153"/>
  <c r="AK6" i="153"/>
  <c r="AJ6" i="153"/>
  <c r="AI6" i="153"/>
  <c r="AH6" i="153"/>
  <c r="AG6" i="153"/>
  <c r="AF6" i="153"/>
  <c r="AE6" i="153"/>
  <c r="AD6" i="153"/>
  <c r="Z6" i="153"/>
  <c r="Y6" i="153"/>
  <c r="X6" i="153"/>
  <c r="W6" i="153"/>
  <c r="V6" i="153"/>
  <c r="U6" i="153"/>
  <c r="S6" i="153"/>
  <c r="R6" i="153"/>
  <c r="Q6" i="153"/>
  <c r="K6" i="153"/>
  <c r="J6" i="153"/>
  <c r="E6" i="153"/>
  <c r="E8" i="153"/>
  <c r="E9" i="153"/>
  <c r="E10" i="153"/>
  <c r="E11" i="153"/>
  <c r="E12" i="153"/>
  <c r="E13" i="153"/>
  <c r="E14" i="153"/>
  <c r="E15" i="153"/>
  <c r="E16" i="153"/>
  <c r="E17" i="153"/>
  <c r="E18" i="153"/>
  <c r="E7" i="153"/>
  <c r="AA41" i="153"/>
  <c r="D41" i="153"/>
  <c r="C41" i="153"/>
  <c r="E39" i="153"/>
  <c r="B39" i="153"/>
  <c r="E38" i="153"/>
  <c r="B38" i="153"/>
  <c r="E37" i="153"/>
  <c r="B37" i="153"/>
  <c r="E36" i="153"/>
  <c r="B36" i="153"/>
  <c r="E35" i="153"/>
  <c r="B35" i="153"/>
  <c r="E34" i="153"/>
  <c r="B34" i="153"/>
  <c r="E33" i="153"/>
  <c r="B33" i="153"/>
  <c r="E32" i="153"/>
  <c r="B32" i="153"/>
  <c r="E31" i="153"/>
  <c r="B31" i="153"/>
  <c r="E30" i="153"/>
  <c r="B30" i="153"/>
  <c r="E29" i="153"/>
  <c r="B29" i="153"/>
  <c r="E28" i="153"/>
  <c r="B28" i="153"/>
  <c r="E27" i="153"/>
  <c r="B27" i="153"/>
  <c r="E26" i="153"/>
  <c r="B26" i="153"/>
  <c r="E25" i="153"/>
  <c r="B25" i="153"/>
  <c r="E24" i="153"/>
  <c r="B24" i="153"/>
  <c r="E23" i="153"/>
  <c r="B23" i="153"/>
  <c r="E22" i="153"/>
  <c r="B22" i="153"/>
  <c r="E21" i="153"/>
  <c r="B21" i="153"/>
  <c r="E20" i="153"/>
  <c r="B20" i="153"/>
  <c r="B19" i="153"/>
  <c r="B18" i="153"/>
  <c r="B17" i="153"/>
  <c r="B16" i="153"/>
  <c r="B15" i="153"/>
  <c r="B14" i="153"/>
  <c r="B13" i="153"/>
  <c r="B12" i="153"/>
  <c r="B11" i="153"/>
  <c r="B10" i="153"/>
  <c r="B9" i="153"/>
  <c r="B8" i="153"/>
  <c r="B7" i="153"/>
  <c r="B6" i="153"/>
  <c r="F20" i="147"/>
  <c r="F38" i="147"/>
  <c r="E41" i="147"/>
  <c r="G20" i="147"/>
  <c r="G38" i="147"/>
  <c r="I2" i="147"/>
  <c r="K7" i="164" l="1"/>
  <c r="V7" i="164"/>
  <c r="J7" i="164"/>
  <c r="O6" i="150"/>
  <c r="AJ7" i="164"/>
  <c r="Q7" i="164"/>
  <c r="AK7" i="164"/>
  <c r="R7" i="164"/>
  <c r="Z7" i="164"/>
  <c r="S7" i="164"/>
  <c r="AD7" i="164"/>
  <c r="AE7" i="164"/>
  <c r="AJ41" i="156"/>
  <c r="X41" i="156"/>
  <c r="AK41" i="156"/>
  <c r="Q41" i="156"/>
  <c r="L6" i="153"/>
  <c r="AI41" i="157"/>
  <c r="S41" i="157"/>
  <c r="AF41" i="156"/>
  <c r="W41" i="157"/>
  <c r="AK41" i="157"/>
  <c r="U41" i="156"/>
  <c r="Y41" i="156"/>
  <c r="T41" i="156"/>
  <c r="AG41" i="156"/>
  <c r="AG41" i="157"/>
  <c r="J41" i="157"/>
  <c r="AE41" i="157"/>
  <c r="E41" i="157"/>
  <c r="L6" i="157"/>
  <c r="M6" i="157"/>
  <c r="Q41" i="157"/>
  <c r="U41" i="157"/>
  <c r="Y41" i="157"/>
  <c r="AD41" i="157"/>
  <c r="AH41" i="157"/>
  <c r="R41" i="157"/>
  <c r="V41" i="157"/>
  <c r="Z41" i="157"/>
  <c r="O6" i="157"/>
  <c r="AF41" i="157"/>
  <c r="AJ41" i="157"/>
  <c r="T41" i="157"/>
  <c r="X41" i="157"/>
  <c r="J41" i="156"/>
  <c r="R41" i="156"/>
  <c r="V41" i="156"/>
  <c r="Z41" i="156"/>
  <c r="AE41" i="156"/>
  <c r="AI41" i="156"/>
  <c r="N6" i="156"/>
  <c r="M6" i="156"/>
  <c r="AD41" i="156"/>
  <c r="AH41" i="156"/>
  <c r="O6" i="156"/>
  <c r="S41" i="156"/>
  <c r="W41" i="156"/>
  <c r="E41" i="156"/>
  <c r="L6" i="154"/>
  <c r="N6" i="153"/>
  <c r="X41" i="153"/>
  <c r="N6" i="154"/>
  <c r="AH41" i="154"/>
  <c r="V41" i="154"/>
  <c r="O6" i="154"/>
  <c r="AF41" i="154"/>
  <c r="AI41" i="153"/>
  <c r="AD41" i="154"/>
  <c r="J41" i="154"/>
  <c r="R41" i="154"/>
  <c r="AJ41" i="154"/>
  <c r="Z41" i="154"/>
  <c r="Y41" i="155"/>
  <c r="Q41" i="155"/>
  <c r="U41" i="155"/>
  <c r="AD41" i="155"/>
  <c r="AH41" i="155"/>
  <c r="J41" i="155"/>
  <c r="L6" i="155"/>
  <c r="N6" i="155"/>
  <c r="M6" i="155"/>
  <c r="R41" i="155"/>
  <c r="V41" i="155"/>
  <c r="Z41" i="155"/>
  <c r="AE41" i="155"/>
  <c r="AI41" i="155"/>
  <c r="E41" i="155"/>
  <c r="W41" i="155"/>
  <c r="AF41" i="155"/>
  <c r="X41" i="155"/>
  <c r="S41" i="155"/>
  <c r="AJ41" i="155"/>
  <c r="AG41" i="155"/>
  <c r="AK41" i="155"/>
  <c r="E41" i="154"/>
  <c r="X41" i="154"/>
  <c r="AG41" i="154"/>
  <c r="U41" i="154"/>
  <c r="AK41" i="154"/>
  <c r="Q41" i="154"/>
  <c r="Y41" i="154"/>
  <c r="AE41" i="154"/>
  <c r="AI41" i="154"/>
  <c r="S41" i="154"/>
  <c r="W41" i="154"/>
  <c r="L6" i="150"/>
  <c r="M6" i="150"/>
  <c r="N6" i="150"/>
  <c r="AJ41" i="153"/>
  <c r="E41" i="153"/>
  <c r="AF41" i="153"/>
  <c r="M6" i="153"/>
  <c r="O6" i="153"/>
  <c r="J41" i="153"/>
  <c r="S41" i="153"/>
  <c r="W41" i="153"/>
  <c r="AK41" i="153"/>
  <c r="U41" i="153"/>
  <c r="AD41" i="153"/>
  <c r="AG41" i="153"/>
  <c r="Q41" i="153"/>
  <c r="Y41" i="153"/>
  <c r="AH41" i="153"/>
  <c r="R41" i="153"/>
  <c r="V41" i="153"/>
  <c r="Z41" i="153"/>
  <c r="AE41" i="153"/>
  <c r="L7" i="164" l="1"/>
  <c r="J6" i="165"/>
  <c r="I6" i="165"/>
  <c r="N7" i="164"/>
  <c r="M7" i="164"/>
  <c r="W7" i="164"/>
  <c r="O7" i="164"/>
  <c r="K6" i="165" l="1"/>
  <c r="F6" i="165"/>
  <c r="D6" i="165"/>
  <c r="G6" i="165"/>
  <c r="E6" i="165"/>
  <c r="T6" i="155"/>
  <c r="T41" i="155" s="1"/>
  <c r="T27" i="154" l="1"/>
  <c r="T8" i="154"/>
  <c r="T7" i="154" l="1"/>
  <c r="T9" i="154" l="1"/>
  <c r="T10" i="154"/>
  <c r="T12" i="154"/>
  <c r="T13" i="154"/>
  <c r="T14" i="154"/>
  <c r="T15" i="154"/>
  <c r="T16" i="154"/>
  <c r="T17" i="154"/>
  <c r="T18" i="154"/>
  <c r="T20" i="154"/>
  <c r="T21" i="154"/>
  <c r="T22" i="154"/>
  <c r="T23" i="154"/>
  <c r="T24" i="154"/>
  <c r="T25" i="154"/>
  <c r="T26" i="154"/>
  <c r="T29" i="154"/>
  <c r="T30" i="154"/>
  <c r="T31" i="154"/>
  <c r="T33" i="154"/>
  <c r="T34" i="154"/>
  <c r="T35" i="154"/>
  <c r="T36" i="154"/>
  <c r="T37" i="154"/>
  <c r="T38" i="154"/>
  <c r="T39" i="154"/>
  <c r="T11" i="154" l="1"/>
  <c r="T6" i="154"/>
  <c r="T41" i="154" l="1"/>
  <c r="T7" i="153"/>
  <c r="T14" i="153" l="1"/>
  <c r="T29" i="153"/>
  <c r="T15" i="153"/>
  <c r="T18" i="153"/>
  <c r="T23" i="153"/>
  <c r="T26" i="153"/>
  <c r="T33" i="153"/>
  <c r="T36" i="153"/>
  <c r="T25" i="153"/>
  <c r="T39" i="153"/>
  <c r="T12" i="153"/>
  <c r="T16" i="153"/>
  <c r="T20" i="153"/>
  <c r="T27" i="153"/>
  <c r="T30" i="153"/>
  <c r="T34" i="153"/>
  <c r="T37" i="153"/>
  <c r="T17" i="153"/>
  <c r="T22" i="153"/>
  <c r="T32" i="153"/>
  <c r="T35" i="153"/>
  <c r="T13" i="153"/>
  <c r="T21" i="153"/>
  <c r="T24" i="153"/>
  <c r="T28" i="153"/>
  <c r="T31" i="153"/>
  <c r="T38" i="153"/>
  <c r="T8" i="153"/>
  <c r="T10" i="153"/>
  <c r="T9" i="153"/>
  <c r="T6" i="153"/>
  <c r="T41" i="153" l="1"/>
  <c r="C34" i="147" l="1"/>
  <c r="C35" i="164" l="1"/>
  <c r="G34" i="147"/>
  <c r="F34" i="147"/>
  <c r="C34" i="165" l="1"/>
  <c r="J37" i="147"/>
  <c r="K37" i="147"/>
  <c r="O37" i="147" s="1"/>
  <c r="P37" i="147"/>
  <c r="Q37" i="147"/>
  <c r="R37" i="147"/>
  <c r="S37" i="147"/>
  <c r="T37" i="147"/>
  <c r="U37" i="147"/>
  <c r="V37" i="147"/>
  <c r="W37" i="147"/>
  <c r="X37" i="147"/>
  <c r="Y37" i="147"/>
  <c r="Z37" i="147"/>
  <c r="AB37" i="147"/>
  <c r="AC37" i="147"/>
  <c r="AD37" i="147"/>
  <c r="AE37" i="147"/>
  <c r="AF37" i="147"/>
  <c r="AG37" i="147"/>
  <c r="AH37" i="147"/>
  <c r="AI37" i="147"/>
  <c r="AJ37" i="147"/>
  <c r="AK37" i="147"/>
  <c r="AL37" i="147"/>
  <c r="J39" i="147"/>
  <c r="K39" i="147"/>
  <c r="O39" i="147" s="1"/>
  <c r="P39" i="147"/>
  <c r="Q39" i="147"/>
  <c r="R39" i="147"/>
  <c r="S39" i="147"/>
  <c r="T39" i="147"/>
  <c r="U39" i="147"/>
  <c r="V39" i="147"/>
  <c r="W39" i="147"/>
  <c r="X39" i="147"/>
  <c r="Y39" i="147"/>
  <c r="Z39" i="147"/>
  <c r="AB39" i="147"/>
  <c r="AC39" i="147"/>
  <c r="AD39" i="147"/>
  <c r="AE39" i="147"/>
  <c r="AF39" i="147"/>
  <c r="AG39" i="147"/>
  <c r="AH39" i="147"/>
  <c r="AI39" i="147"/>
  <c r="AJ39" i="147"/>
  <c r="AK39" i="147"/>
  <c r="AL39" i="147"/>
  <c r="B7" i="147"/>
  <c r="B8" i="147"/>
  <c r="B9" i="147"/>
  <c r="B10" i="147"/>
  <c r="B11" i="147"/>
  <c r="B12" i="147"/>
  <c r="B13" i="147"/>
  <c r="B14" i="147"/>
  <c r="B15" i="147"/>
  <c r="B16" i="147"/>
  <c r="B17" i="147"/>
  <c r="B18" i="147"/>
  <c r="B19" i="147"/>
  <c r="B20" i="147"/>
  <c r="B21" i="147"/>
  <c r="B22" i="147"/>
  <c r="B23" i="147"/>
  <c r="B24" i="147"/>
  <c r="B25" i="147"/>
  <c r="B26" i="147"/>
  <c r="B27" i="147"/>
  <c r="B28" i="147"/>
  <c r="B29" i="147"/>
  <c r="B30" i="147"/>
  <c r="B31" i="147"/>
  <c r="B32" i="147"/>
  <c r="B33" i="147"/>
  <c r="B34" i="147"/>
  <c r="B35" i="147"/>
  <c r="B36" i="147"/>
  <c r="B37" i="147"/>
  <c r="B38" i="147"/>
  <c r="B39" i="147"/>
  <c r="B6" i="147"/>
  <c r="N39" i="147" l="1"/>
  <c r="N37" i="147"/>
  <c r="M39" i="147"/>
  <c r="M37" i="147"/>
  <c r="L39" i="147" l="1"/>
  <c r="L37" i="147"/>
  <c r="AG7" i="147" l="1"/>
  <c r="AG8" i="147"/>
  <c r="AG9" i="147"/>
  <c r="AG10" i="147"/>
  <c r="AG11" i="147"/>
  <c r="AG12" i="147"/>
  <c r="AG13" i="147"/>
  <c r="AG14" i="147"/>
  <c r="AG15" i="147"/>
  <c r="AG16" i="147"/>
  <c r="AG17" i="147"/>
  <c r="AG18" i="147"/>
  <c r="AG21" i="147"/>
  <c r="AG22" i="147"/>
  <c r="AG23" i="147"/>
  <c r="AG24" i="147"/>
  <c r="AG25" i="147"/>
  <c r="AG26" i="147"/>
  <c r="AG27" i="147"/>
  <c r="AG28" i="147"/>
  <c r="AG29" i="147"/>
  <c r="AG30" i="147"/>
  <c r="AG31" i="147"/>
  <c r="AG32" i="147"/>
  <c r="AG33" i="147"/>
  <c r="AG35" i="147"/>
  <c r="AG36" i="147"/>
  <c r="AG6" i="147"/>
  <c r="G6" i="147" l="1"/>
  <c r="D37" i="147" l="1"/>
  <c r="D38" i="164" s="1"/>
  <c r="D39" i="147"/>
  <c r="D40" i="164" s="1"/>
  <c r="AL7" i="147" l="1"/>
  <c r="AL8" i="147"/>
  <c r="AL9" i="147"/>
  <c r="AL10" i="147"/>
  <c r="AL11" i="147"/>
  <c r="AL12" i="147"/>
  <c r="AL13" i="147"/>
  <c r="AL14" i="147"/>
  <c r="AL15" i="147"/>
  <c r="AL16" i="147"/>
  <c r="AL17" i="147"/>
  <c r="AL18" i="147"/>
  <c r="AL21" i="147"/>
  <c r="AL22" i="147"/>
  <c r="AL23" i="147"/>
  <c r="AL24" i="147"/>
  <c r="AL25" i="147"/>
  <c r="AL26" i="147"/>
  <c r="AL27" i="147"/>
  <c r="AL28" i="147"/>
  <c r="AL29" i="147"/>
  <c r="AL30" i="147"/>
  <c r="AL31" i="147"/>
  <c r="AL32" i="147"/>
  <c r="AL33" i="147"/>
  <c r="AL35" i="147"/>
  <c r="AL36" i="147"/>
  <c r="AL6" i="147"/>
  <c r="AK7" i="147"/>
  <c r="AK8" i="147"/>
  <c r="AK9" i="147"/>
  <c r="AK10" i="147"/>
  <c r="AK11" i="147"/>
  <c r="AK12" i="147"/>
  <c r="AK13" i="147"/>
  <c r="AK14" i="147"/>
  <c r="AK15" i="147"/>
  <c r="AK16" i="147"/>
  <c r="AK17" i="147"/>
  <c r="AK18" i="147"/>
  <c r="AK21" i="147"/>
  <c r="AK22" i="147"/>
  <c r="AK23" i="147"/>
  <c r="AK24" i="147"/>
  <c r="AK25" i="147"/>
  <c r="AK26" i="147"/>
  <c r="AK27" i="147"/>
  <c r="AK28" i="147"/>
  <c r="AK29" i="147"/>
  <c r="AK30" i="147"/>
  <c r="AK31" i="147"/>
  <c r="AK32" i="147"/>
  <c r="AK33" i="147"/>
  <c r="AK35" i="147"/>
  <c r="AK36" i="147"/>
  <c r="AK6" i="147"/>
  <c r="AJ7" i="147"/>
  <c r="AJ8" i="147"/>
  <c r="AJ9" i="147"/>
  <c r="AJ10" i="147"/>
  <c r="AJ11" i="147"/>
  <c r="AJ12" i="147"/>
  <c r="AJ13" i="147"/>
  <c r="AJ14" i="147"/>
  <c r="AJ15" i="147"/>
  <c r="AJ16" i="147"/>
  <c r="AJ17" i="147"/>
  <c r="AJ18" i="147"/>
  <c r="AJ21" i="147"/>
  <c r="AJ22" i="147"/>
  <c r="AJ23" i="147"/>
  <c r="AJ24" i="147"/>
  <c r="AJ25" i="147"/>
  <c r="AJ26" i="147"/>
  <c r="AJ27" i="147"/>
  <c r="AJ28" i="147"/>
  <c r="AJ29" i="147"/>
  <c r="AJ30" i="147"/>
  <c r="AJ31" i="147"/>
  <c r="AJ32" i="147"/>
  <c r="AJ33" i="147"/>
  <c r="AJ35" i="147"/>
  <c r="AJ36" i="147"/>
  <c r="AJ6" i="147"/>
  <c r="AI7" i="147"/>
  <c r="AI8" i="147"/>
  <c r="AI9" i="147"/>
  <c r="AI10" i="147"/>
  <c r="AI11" i="147"/>
  <c r="AI12" i="147"/>
  <c r="AI13" i="147"/>
  <c r="AI14" i="147"/>
  <c r="AI15" i="147"/>
  <c r="AI16" i="147"/>
  <c r="AI17" i="147"/>
  <c r="AI18" i="147"/>
  <c r="AI21" i="147"/>
  <c r="AI22" i="147"/>
  <c r="AI23" i="147"/>
  <c r="AI24" i="147"/>
  <c r="AI25" i="147"/>
  <c r="AI26" i="147"/>
  <c r="AI27" i="147"/>
  <c r="AI28" i="147"/>
  <c r="AI29" i="147"/>
  <c r="AI30" i="147"/>
  <c r="AI31" i="147"/>
  <c r="AI32" i="147"/>
  <c r="AI33" i="147"/>
  <c r="AI35" i="147"/>
  <c r="AI36" i="147"/>
  <c r="AI6" i="147"/>
  <c r="AH7" i="147"/>
  <c r="AH8" i="147"/>
  <c r="AH9" i="147"/>
  <c r="AH10" i="147"/>
  <c r="AH11" i="147"/>
  <c r="AH12" i="147"/>
  <c r="AH13" i="147"/>
  <c r="AH14" i="147"/>
  <c r="AH15" i="147"/>
  <c r="AH16" i="147"/>
  <c r="AH17" i="147"/>
  <c r="AH18" i="147"/>
  <c r="AH21" i="147"/>
  <c r="AH22" i="147"/>
  <c r="AH23" i="147"/>
  <c r="AH24" i="147"/>
  <c r="AH25" i="147"/>
  <c r="AH26" i="147"/>
  <c r="AH27" i="147"/>
  <c r="AH28" i="147"/>
  <c r="AH29" i="147"/>
  <c r="AH30" i="147"/>
  <c r="AH31" i="147"/>
  <c r="AH32" i="147"/>
  <c r="AH33" i="147"/>
  <c r="AH35" i="147"/>
  <c r="AH36" i="147"/>
  <c r="AH6" i="147"/>
  <c r="AF7" i="147"/>
  <c r="AF8" i="147"/>
  <c r="AF9" i="147"/>
  <c r="AF10" i="147"/>
  <c r="AF11" i="147"/>
  <c r="AF12" i="147"/>
  <c r="AF13" i="147"/>
  <c r="AF14" i="147"/>
  <c r="AF15" i="147"/>
  <c r="AF16" i="147"/>
  <c r="AF17" i="147"/>
  <c r="AF18" i="147"/>
  <c r="AF21" i="147"/>
  <c r="AF22" i="147"/>
  <c r="AF23" i="147"/>
  <c r="AF24" i="147"/>
  <c r="AF25" i="147"/>
  <c r="AF26" i="147"/>
  <c r="AF27" i="147"/>
  <c r="AF28" i="147"/>
  <c r="AF29" i="147"/>
  <c r="AF30" i="147"/>
  <c r="AF31" i="147"/>
  <c r="AF32" i="147"/>
  <c r="AF33" i="147"/>
  <c r="AF35" i="147"/>
  <c r="AF36" i="147"/>
  <c r="AF6" i="147"/>
  <c r="AE8" i="147"/>
  <c r="AE9" i="147"/>
  <c r="AE10" i="147"/>
  <c r="AE11" i="147"/>
  <c r="AE12" i="147"/>
  <c r="AE13" i="147"/>
  <c r="AE14" i="147"/>
  <c r="AE15" i="147"/>
  <c r="AE16" i="147"/>
  <c r="AE17" i="147"/>
  <c r="AE18" i="147"/>
  <c r="AE21" i="147"/>
  <c r="AE22" i="147"/>
  <c r="AE23" i="147"/>
  <c r="AE24" i="147"/>
  <c r="AE25" i="147"/>
  <c r="AE26" i="147"/>
  <c r="AE27" i="147"/>
  <c r="AE28" i="147"/>
  <c r="AE29" i="147"/>
  <c r="AE30" i="147"/>
  <c r="AE31" i="147"/>
  <c r="AE32" i="147"/>
  <c r="AE33" i="147"/>
  <c r="AE35" i="147"/>
  <c r="AE36" i="147"/>
  <c r="AE7" i="147"/>
  <c r="AD8" i="147"/>
  <c r="AD9" i="147"/>
  <c r="AD10" i="147"/>
  <c r="AD11" i="147"/>
  <c r="AD12" i="147"/>
  <c r="AD13" i="147"/>
  <c r="AD14" i="147"/>
  <c r="AD15" i="147"/>
  <c r="AD16" i="147"/>
  <c r="AD17" i="147"/>
  <c r="AD18" i="147"/>
  <c r="AD21" i="147"/>
  <c r="AD22" i="147"/>
  <c r="AD23" i="147"/>
  <c r="AD24" i="147"/>
  <c r="AD25" i="147"/>
  <c r="AD26" i="147"/>
  <c r="AD27" i="147"/>
  <c r="AD28" i="147"/>
  <c r="AD29" i="147"/>
  <c r="AD30" i="147"/>
  <c r="AD31" i="147"/>
  <c r="AD32" i="147"/>
  <c r="AD33" i="147"/>
  <c r="AD35" i="147"/>
  <c r="AD36" i="147"/>
  <c r="AC8" i="147"/>
  <c r="AC9" i="147"/>
  <c r="AC10" i="147"/>
  <c r="AC11" i="147"/>
  <c r="AC12" i="147"/>
  <c r="AC13" i="147"/>
  <c r="AC14" i="147"/>
  <c r="AC15" i="147"/>
  <c r="AC16" i="147"/>
  <c r="AC17" i="147"/>
  <c r="AC18" i="147"/>
  <c r="AC21" i="147"/>
  <c r="AC22" i="147"/>
  <c r="AC23" i="147"/>
  <c r="AC24" i="147"/>
  <c r="AC25" i="147"/>
  <c r="AC26" i="147"/>
  <c r="AC27" i="147"/>
  <c r="AC28" i="147"/>
  <c r="AC29" i="147"/>
  <c r="AC30" i="147"/>
  <c r="AC31" i="147"/>
  <c r="AC32" i="147"/>
  <c r="AC33" i="147"/>
  <c r="AC35" i="147"/>
  <c r="AC36" i="147"/>
  <c r="AC7" i="147"/>
  <c r="AB8" i="147"/>
  <c r="AB9" i="147"/>
  <c r="AB10" i="147"/>
  <c r="AB11" i="147"/>
  <c r="AB12" i="147"/>
  <c r="AB13" i="147"/>
  <c r="AB14" i="147"/>
  <c r="AB15" i="147"/>
  <c r="AB16" i="147"/>
  <c r="AB17" i="147"/>
  <c r="AB18" i="147"/>
  <c r="AB21" i="147"/>
  <c r="AB22" i="147"/>
  <c r="AB23" i="147"/>
  <c r="AB24" i="147"/>
  <c r="AB25" i="147"/>
  <c r="AB26" i="147"/>
  <c r="AB27" i="147"/>
  <c r="AB28" i="147"/>
  <c r="AB29" i="147"/>
  <c r="AB30" i="147"/>
  <c r="AB31" i="147"/>
  <c r="AB32" i="147"/>
  <c r="AB33" i="147"/>
  <c r="AB35" i="147"/>
  <c r="AB36" i="147"/>
  <c r="AB7" i="147"/>
  <c r="Z8" i="147"/>
  <c r="Z9" i="147"/>
  <c r="Z10" i="147"/>
  <c r="Z11" i="147"/>
  <c r="Z12" i="147"/>
  <c r="Z13" i="147"/>
  <c r="Z14" i="147"/>
  <c r="Z15" i="147"/>
  <c r="Z16" i="147"/>
  <c r="Z17" i="147"/>
  <c r="Z18" i="147"/>
  <c r="Z21" i="147"/>
  <c r="Z22" i="147"/>
  <c r="Z23" i="147"/>
  <c r="Z24" i="147"/>
  <c r="Z25" i="147"/>
  <c r="Z26" i="147"/>
  <c r="Z27" i="147"/>
  <c r="Z28" i="147"/>
  <c r="Z29" i="147"/>
  <c r="Z30" i="147"/>
  <c r="Z31" i="147"/>
  <c r="Z32" i="147"/>
  <c r="Z33" i="147"/>
  <c r="Z35" i="147"/>
  <c r="Z36" i="147"/>
  <c r="Z7" i="147"/>
  <c r="Y8" i="147"/>
  <c r="Y9" i="147"/>
  <c r="Y10" i="147"/>
  <c r="Y11" i="147"/>
  <c r="Y12" i="147"/>
  <c r="Y13" i="147"/>
  <c r="Y14" i="147"/>
  <c r="Y15" i="147"/>
  <c r="Y16" i="147"/>
  <c r="Y17" i="147"/>
  <c r="Y18" i="147"/>
  <c r="Y21" i="147"/>
  <c r="Y22" i="147"/>
  <c r="Y23" i="147"/>
  <c r="Y24" i="147"/>
  <c r="Y25" i="147"/>
  <c r="Y26" i="147"/>
  <c r="Y27" i="147"/>
  <c r="Y28" i="147"/>
  <c r="Y29" i="147"/>
  <c r="Y30" i="147"/>
  <c r="Y31" i="147"/>
  <c r="Y32" i="147"/>
  <c r="Y33" i="147"/>
  <c r="Y35" i="147"/>
  <c r="Y36" i="147"/>
  <c r="Y7" i="147"/>
  <c r="X8" i="147"/>
  <c r="X9" i="147"/>
  <c r="X10" i="147"/>
  <c r="X11" i="147"/>
  <c r="X12" i="147"/>
  <c r="X13" i="147"/>
  <c r="X14" i="147"/>
  <c r="X15" i="147"/>
  <c r="X16" i="147"/>
  <c r="X17" i="147"/>
  <c r="X18" i="147"/>
  <c r="X21" i="147"/>
  <c r="X22" i="147"/>
  <c r="X23" i="147"/>
  <c r="X24" i="147"/>
  <c r="X25" i="147"/>
  <c r="X26" i="147"/>
  <c r="X27" i="147"/>
  <c r="X28" i="147"/>
  <c r="X29" i="147"/>
  <c r="X30" i="147"/>
  <c r="X31" i="147"/>
  <c r="X32" i="147"/>
  <c r="X33" i="147"/>
  <c r="X35" i="147"/>
  <c r="X36" i="147"/>
  <c r="X7" i="147"/>
  <c r="W8" i="147"/>
  <c r="W9" i="147"/>
  <c r="W10" i="147"/>
  <c r="W11" i="147"/>
  <c r="W12" i="147"/>
  <c r="W13" i="147"/>
  <c r="W14" i="147"/>
  <c r="W15" i="147"/>
  <c r="W16" i="147"/>
  <c r="W17" i="147"/>
  <c r="W18" i="147"/>
  <c r="W21" i="147"/>
  <c r="W22" i="147"/>
  <c r="W23" i="147"/>
  <c r="W24" i="147"/>
  <c r="W25" i="147"/>
  <c r="W26" i="147"/>
  <c r="W27" i="147"/>
  <c r="W28" i="147"/>
  <c r="W29" i="147"/>
  <c r="W30" i="147"/>
  <c r="W31" i="147"/>
  <c r="W32" i="147"/>
  <c r="W33" i="147"/>
  <c r="W35" i="147"/>
  <c r="W36" i="147"/>
  <c r="W7" i="147"/>
  <c r="V8" i="147"/>
  <c r="V9" i="147"/>
  <c r="V10" i="147"/>
  <c r="V11" i="147"/>
  <c r="V12" i="147"/>
  <c r="V13" i="147"/>
  <c r="V14" i="147"/>
  <c r="V15" i="147"/>
  <c r="V17" i="147"/>
  <c r="V18" i="147"/>
  <c r="V21" i="147"/>
  <c r="V22" i="147"/>
  <c r="V23" i="147"/>
  <c r="V24" i="147"/>
  <c r="V25" i="147"/>
  <c r="V26" i="147"/>
  <c r="V27" i="147"/>
  <c r="V28" i="147"/>
  <c r="V29" i="147"/>
  <c r="V30" i="147"/>
  <c r="V31" i="147"/>
  <c r="V32" i="147"/>
  <c r="V33" i="147"/>
  <c r="V35" i="147"/>
  <c r="V36" i="147"/>
  <c r="V7" i="147"/>
  <c r="U8" i="147"/>
  <c r="U9" i="147"/>
  <c r="U10" i="147"/>
  <c r="U11" i="147"/>
  <c r="U12" i="147"/>
  <c r="U13" i="147"/>
  <c r="U14" i="147"/>
  <c r="U15" i="147"/>
  <c r="U16" i="147"/>
  <c r="U17" i="147"/>
  <c r="U18" i="147"/>
  <c r="U21" i="147"/>
  <c r="U22" i="147"/>
  <c r="U23" i="147"/>
  <c r="U24" i="147"/>
  <c r="U25" i="147"/>
  <c r="U26" i="147"/>
  <c r="U27" i="147"/>
  <c r="U28" i="147"/>
  <c r="U29" i="147"/>
  <c r="U30" i="147"/>
  <c r="U31" i="147"/>
  <c r="U32" i="147"/>
  <c r="U33" i="147"/>
  <c r="U35" i="147"/>
  <c r="U36" i="147"/>
  <c r="U7" i="147"/>
  <c r="T8" i="147"/>
  <c r="T9" i="147"/>
  <c r="T10" i="147"/>
  <c r="T11" i="147"/>
  <c r="T12" i="147"/>
  <c r="T13" i="147"/>
  <c r="T14" i="147"/>
  <c r="T15" i="147"/>
  <c r="T16" i="147"/>
  <c r="T17" i="147"/>
  <c r="T18" i="147"/>
  <c r="T21" i="147"/>
  <c r="T22" i="147"/>
  <c r="T23" i="147"/>
  <c r="T24" i="147"/>
  <c r="T25" i="147"/>
  <c r="T26" i="147"/>
  <c r="T27" i="147"/>
  <c r="T28" i="147"/>
  <c r="T29" i="147"/>
  <c r="T30" i="147"/>
  <c r="T31" i="147"/>
  <c r="T32" i="147"/>
  <c r="T33" i="147"/>
  <c r="T35" i="147"/>
  <c r="T36" i="147"/>
  <c r="S8" i="147"/>
  <c r="S9" i="147"/>
  <c r="S10" i="147"/>
  <c r="S11" i="147"/>
  <c r="S12" i="147"/>
  <c r="S13" i="147"/>
  <c r="S14" i="147"/>
  <c r="S15" i="147"/>
  <c r="S17" i="147"/>
  <c r="S18" i="147"/>
  <c r="S21" i="147"/>
  <c r="S22" i="147"/>
  <c r="S23" i="147"/>
  <c r="S24" i="147"/>
  <c r="S25" i="147"/>
  <c r="S26" i="147"/>
  <c r="S27" i="147"/>
  <c r="S28" i="147"/>
  <c r="S29" i="147"/>
  <c r="S30" i="147"/>
  <c r="S31" i="147"/>
  <c r="S32" i="147"/>
  <c r="S33" i="147"/>
  <c r="S35" i="147"/>
  <c r="S36" i="147"/>
  <c r="S7" i="147"/>
  <c r="R8" i="147"/>
  <c r="R9" i="147"/>
  <c r="R10" i="147"/>
  <c r="R11" i="147"/>
  <c r="R12" i="147"/>
  <c r="R13" i="147"/>
  <c r="R14" i="147"/>
  <c r="R15" i="147"/>
  <c r="R16" i="147"/>
  <c r="R17" i="147"/>
  <c r="R18" i="147"/>
  <c r="R21" i="147"/>
  <c r="R22" i="147"/>
  <c r="R23" i="147"/>
  <c r="R24" i="147"/>
  <c r="R25" i="147"/>
  <c r="R26" i="147"/>
  <c r="R27" i="147"/>
  <c r="R28" i="147"/>
  <c r="R29" i="147"/>
  <c r="R30" i="147"/>
  <c r="R31" i="147"/>
  <c r="R32" i="147"/>
  <c r="R33" i="147"/>
  <c r="R35" i="147"/>
  <c r="R36" i="147"/>
  <c r="R7" i="147"/>
  <c r="Q8" i="147"/>
  <c r="Q9" i="147"/>
  <c r="Q10" i="147"/>
  <c r="Q11" i="147"/>
  <c r="Q12" i="147"/>
  <c r="Q13" i="147"/>
  <c r="Q14" i="147"/>
  <c r="Q15" i="147"/>
  <c r="Q16" i="147"/>
  <c r="Q17" i="147"/>
  <c r="Q18" i="147"/>
  <c r="Q21" i="147"/>
  <c r="Q22" i="147"/>
  <c r="Q23" i="147"/>
  <c r="Q24" i="147"/>
  <c r="Q25" i="147"/>
  <c r="Q26" i="147"/>
  <c r="Q27" i="147"/>
  <c r="Q28" i="147"/>
  <c r="Q29" i="147"/>
  <c r="Q30" i="147"/>
  <c r="Q31" i="147"/>
  <c r="Q32" i="147"/>
  <c r="Q33" i="147"/>
  <c r="Q35" i="147"/>
  <c r="Q36" i="147"/>
  <c r="Q7" i="147"/>
  <c r="P8" i="147"/>
  <c r="P9" i="147"/>
  <c r="P10" i="147"/>
  <c r="P11" i="147"/>
  <c r="P12" i="147"/>
  <c r="P13" i="147"/>
  <c r="P14" i="147"/>
  <c r="P15" i="147"/>
  <c r="P16" i="147"/>
  <c r="P17" i="147"/>
  <c r="P18" i="147"/>
  <c r="P21" i="147"/>
  <c r="P22" i="147"/>
  <c r="P23" i="147"/>
  <c r="P24" i="147"/>
  <c r="P25" i="147"/>
  <c r="P26" i="147"/>
  <c r="P27" i="147"/>
  <c r="P28" i="147"/>
  <c r="P29" i="147"/>
  <c r="P30" i="147"/>
  <c r="P31" i="147"/>
  <c r="P32" i="147"/>
  <c r="P33" i="147"/>
  <c r="P35" i="147"/>
  <c r="P36" i="147"/>
  <c r="P7" i="147"/>
  <c r="K8" i="147"/>
  <c r="K9" i="147"/>
  <c r="K10" i="147"/>
  <c r="K11" i="147"/>
  <c r="K12" i="147"/>
  <c r="K13" i="147"/>
  <c r="K14" i="147"/>
  <c r="K15" i="147"/>
  <c r="K16" i="147"/>
  <c r="K17" i="147"/>
  <c r="K18" i="147"/>
  <c r="K21" i="147"/>
  <c r="K22" i="147"/>
  <c r="K23" i="147"/>
  <c r="K24" i="147"/>
  <c r="K25" i="147"/>
  <c r="K26" i="147"/>
  <c r="K27" i="147"/>
  <c r="K28" i="147"/>
  <c r="K29" i="147"/>
  <c r="K30" i="147"/>
  <c r="K31" i="147"/>
  <c r="K32" i="147"/>
  <c r="K33" i="147"/>
  <c r="K35" i="147"/>
  <c r="K36" i="147"/>
  <c r="K7" i="147"/>
  <c r="J8" i="147"/>
  <c r="J9" i="147"/>
  <c r="J10" i="147"/>
  <c r="J11" i="147"/>
  <c r="J12" i="147"/>
  <c r="J13" i="147"/>
  <c r="J14" i="147"/>
  <c r="J15" i="147"/>
  <c r="J16" i="147"/>
  <c r="J17" i="147"/>
  <c r="J18" i="147"/>
  <c r="J21" i="147"/>
  <c r="J22" i="147"/>
  <c r="J23" i="147"/>
  <c r="J24" i="147"/>
  <c r="J25" i="147"/>
  <c r="J26" i="147"/>
  <c r="J27" i="147"/>
  <c r="J28" i="147"/>
  <c r="J29" i="147"/>
  <c r="J30" i="147"/>
  <c r="J31" i="147"/>
  <c r="J32" i="147"/>
  <c r="J33" i="147"/>
  <c r="J35" i="147"/>
  <c r="J36" i="147"/>
  <c r="J7" i="147"/>
  <c r="AD7" i="147"/>
  <c r="AL41" i="147" l="1"/>
  <c r="D8" i="147" l="1"/>
  <c r="D9" i="164" s="1"/>
  <c r="D9" i="147"/>
  <c r="D10" i="164" s="1"/>
  <c r="D10" i="147"/>
  <c r="D11" i="164" s="1"/>
  <c r="D11" i="147"/>
  <c r="D12" i="164" s="1"/>
  <c r="D12" i="147"/>
  <c r="D13" i="164" s="1"/>
  <c r="D13" i="147"/>
  <c r="D14" i="164" s="1"/>
  <c r="D14" i="147"/>
  <c r="D15" i="164" s="1"/>
  <c r="D15" i="147"/>
  <c r="D16" i="164" s="1"/>
  <c r="D16" i="147"/>
  <c r="D17" i="164" s="1"/>
  <c r="D17" i="147"/>
  <c r="D18" i="164" s="1"/>
  <c r="D18" i="147"/>
  <c r="D19" i="164" s="1"/>
  <c r="D21" i="147"/>
  <c r="D22" i="164" s="1"/>
  <c r="D22" i="147"/>
  <c r="D23" i="164" s="1"/>
  <c r="D23" i="147"/>
  <c r="D24" i="164" s="1"/>
  <c r="D24" i="147"/>
  <c r="D25" i="164" s="1"/>
  <c r="D25" i="147"/>
  <c r="D26" i="164" s="1"/>
  <c r="D26" i="147"/>
  <c r="D27" i="164" s="1"/>
  <c r="D27" i="147"/>
  <c r="D28" i="164" s="1"/>
  <c r="D29" i="164"/>
  <c r="D29" i="147"/>
  <c r="D30" i="164" s="1"/>
  <c r="D30" i="147"/>
  <c r="D31" i="164" s="1"/>
  <c r="D31" i="147"/>
  <c r="D32" i="164" s="1"/>
  <c r="D32" i="147"/>
  <c r="D33" i="164" s="1"/>
  <c r="D33" i="147"/>
  <c r="D34" i="164" s="1"/>
  <c r="D35" i="147"/>
  <c r="D36" i="164" s="1"/>
  <c r="D37" i="164"/>
  <c r="D8" i="164"/>
  <c r="D6" i="147"/>
  <c r="D7" i="164" s="1"/>
  <c r="C6" i="165" l="1"/>
  <c r="D42" i="164"/>
  <c r="E44" i="164" s="1"/>
  <c r="F6" i="147"/>
  <c r="AK20" i="150"/>
  <c r="AK21" i="164" s="1"/>
  <c r="AJ20" i="150"/>
  <c r="AJ21" i="164" s="1"/>
  <c r="AI20" i="150"/>
  <c r="AI21" i="164" s="1"/>
  <c r="AH20" i="150"/>
  <c r="AH21" i="164" s="1"/>
  <c r="AG20" i="150"/>
  <c r="AG21" i="164" s="1"/>
  <c r="AF20" i="150"/>
  <c r="AF21" i="164" s="1"/>
  <c r="AE20" i="150"/>
  <c r="AD20" i="150"/>
  <c r="AD21" i="164" s="1"/>
  <c r="Z20" i="150"/>
  <c r="Z21" i="164" s="1"/>
  <c r="Y20" i="150"/>
  <c r="X20" i="150"/>
  <c r="W20" i="150"/>
  <c r="V20" i="150"/>
  <c r="V21" i="164" s="1"/>
  <c r="U20" i="150"/>
  <c r="T20" i="150"/>
  <c r="S20" i="150"/>
  <c r="S21" i="164" s="1"/>
  <c r="R20" i="150"/>
  <c r="Q20" i="150"/>
  <c r="J20" i="150"/>
  <c r="J21" i="164" s="1"/>
  <c r="E20" i="150"/>
  <c r="B20" i="150"/>
  <c r="W21" i="164" l="1"/>
  <c r="Q21" i="164"/>
  <c r="R21" i="164"/>
  <c r="AE21" i="164"/>
  <c r="Q8" i="150"/>
  <c r="Q9" i="150"/>
  <c r="Q10" i="150"/>
  <c r="Q11" i="150"/>
  <c r="Q12" i="150"/>
  <c r="Q13" i="150"/>
  <c r="Q14" i="150"/>
  <c r="Q15" i="150"/>
  <c r="Q16" i="150"/>
  <c r="Q17" i="150"/>
  <c r="Q18" i="150"/>
  <c r="Q21" i="150"/>
  <c r="Q22" i="150"/>
  <c r="Q23" i="150"/>
  <c r="Q24" i="150"/>
  <c r="Q25" i="150"/>
  <c r="Q26" i="150"/>
  <c r="Q27" i="150"/>
  <c r="Q28" i="150"/>
  <c r="Q29" i="150"/>
  <c r="Q30" i="150"/>
  <c r="Q31" i="150"/>
  <c r="Q32" i="150"/>
  <c r="Q33" i="150"/>
  <c r="Q34" i="150"/>
  <c r="Q35" i="150"/>
  <c r="Q36" i="150"/>
  <c r="Q37" i="150"/>
  <c r="Q38" i="150"/>
  <c r="Q39" i="150"/>
  <c r="Q7" i="150"/>
  <c r="R8" i="150"/>
  <c r="R9" i="150"/>
  <c r="R10" i="150"/>
  <c r="R11" i="150"/>
  <c r="R12" i="150"/>
  <c r="R13" i="150"/>
  <c r="R14" i="150"/>
  <c r="R15" i="150"/>
  <c r="R16" i="150"/>
  <c r="R17" i="150"/>
  <c r="R18" i="150"/>
  <c r="R21" i="150"/>
  <c r="R22" i="150"/>
  <c r="R23" i="150"/>
  <c r="R24" i="150"/>
  <c r="R25" i="150"/>
  <c r="R26" i="150"/>
  <c r="R27" i="150"/>
  <c r="R28" i="150"/>
  <c r="R29" i="150"/>
  <c r="R30" i="150"/>
  <c r="R31" i="150"/>
  <c r="R32" i="150"/>
  <c r="R33" i="150"/>
  <c r="R34" i="150"/>
  <c r="R35" i="150"/>
  <c r="R36" i="150"/>
  <c r="R37" i="150"/>
  <c r="R38" i="150"/>
  <c r="R39" i="150"/>
  <c r="AK38" i="150"/>
  <c r="AK39" i="164" s="1"/>
  <c r="AJ38" i="150"/>
  <c r="AJ39" i="164" s="1"/>
  <c r="AI38" i="150"/>
  <c r="AI39" i="164" s="1"/>
  <c r="AH38" i="150"/>
  <c r="AH39" i="164" s="1"/>
  <c r="AG38" i="150"/>
  <c r="AG39" i="164" s="1"/>
  <c r="AF38" i="150"/>
  <c r="AF39" i="164" s="1"/>
  <c r="AE38" i="150"/>
  <c r="AD38" i="150"/>
  <c r="AD39" i="164" s="1"/>
  <c r="Z38" i="150"/>
  <c r="Z39" i="164" s="1"/>
  <c r="Y38" i="150"/>
  <c r="X38" i="150"/>
  <c r="W38" i="150"/>
  <c r="V38" i="150"/>
  <c r="V39" i="164" s="1"/>
  <c r="U38" i="150"/>
  <c r="T38" i="150"/>
  <c r="S38" i="150"/>
  <c r="S39" i="164" s="1"/>
  <c r="J38" i="150"/>
  <c r="E38" i="150"/>
  <c r="B38" i="150"/>
  <c r="B7" i="150"/>
  <c r="B8" i="150"/>
  <c r="B9" i="150"/>
  <c r="B10" i="150"/>
  <c r="B11" i="150"/>
  <c r="B12" i="150"/>
  <c r="B13" i="150"/>
  <c r="B14" i="150"/>
  <c r="B15" i="150"/>
  <c r="B16" i="150"/>
  <c r="B17" i="150"/>
  <c r="B18" i="150"/>
  <c r="B19" i="150"/>
  <c r="B21" i="150"/>
  <c r="B22" i="150"/>
  <c r="B23" i="150"/>
  <c r="B24" i="150"/>
  <c r="B25" i="150"/>
  <c r="B26" i="150"/>
  <c r="B27" i="150"/>
  <c r="B28" i="150"/>
  <c r="B29" i="150"/>
  <c r="B30" i="150"/>
  <c r="B31" i="150"/>
  <c r="B32" i="150"/>
  <c r="B33" i="150"/>
  <c r="B34" i="150"/>
  <c r="B35" i="150"/>
  <c r="B36" i="150"/>
  <c r="B37" i="150"/>
  <c r="B39" i="150"/>
  <c r="B6" i="150"/>
  <c r="AK34" i="150"/>
  <c r="AK35" i="164" s="1"/>
  <c r="AJ34" i="150"/>
  <c r="AJ35" i="164" s="1"/>
  <c r="AI34" i="150"/>
  <c r="AI35" i="164" s="1"/>
  <c r="AH34" i="150"/>
  <c r="AH35" i="164" s="1"/>
  <c r="AG34" i="150"/>
  <c r="AG35" i="164" s="1"/>
  <c r="AF34" i="150"/>
  <c r="AF35" i="164" s="1"/>
  <c r="AE34" i="150"/>
  <c r="AD34" i="150"/>
  <c r="AD35" i="164" s="1"/>
  <c r="Z34" i="150"/>
  <c r="Z35" i="164" s="1"/>
  <c r="Y34" i="150"/>
  <c r="X34" i="150"/>
  <c r="W34" i="150"/>
  <c r="V34" i="150"/>
  <c r="V35" i="164" s="1"/>
  <c r="U34" i="150"/>
  <c r="T34" i="150"/>
  <c r="S34" i="150"/>
  <c r="S35" i="164" s="1"/>
  <c r="J34" i="150"/>
  <c r="J35" i="164" s="1"/>
  <c r="E34" i="150"/>
  <c r="J20" i="165" l="1"/>
  <c r="K20" i="165"/>
  <c r="I20" i="165"/>
  <c r="W35" i="164"/>
  <c r="W39" i="164"/>
  <c r="R40" i="164"/>
  <c r="R32" i="164"/>
  <c r="R24" i="164"/>
  <c r="R14" i="164"/>
  <c r="Q39" i="164"/>
  <c r="Q31" i="164"/>
  <c r="Q23" i="164"/>
  <c r="Q13" i="164"/>
  <c r="AE39" i="164"/>
  <c r="R39" i="164"/>
  <c r="R31" i="164"/>
  <c r="R23" i="164"/>
  <c r="R13" i="164"/>
  <c r="Q38" i="164"/>
  <c r="Q30" i="164"/>
  <c r="Q22" i="164"/>
  <c r="Q12" i="164"/>
  <c r="R38" i="164"/>
  <c r="R30" i="164"/>
  <c r="R22" i="164"/>
  <c r="R12" i="164"/>
  <c r="Q37" i="164"/>
  <c r="Q29" i="164"/>
  <c r="Q19" i="164"/>
  <c r="Q11" i="164"/>
  <c r="R37" i="164"/>
  <c r="R29" i="164"/>
  <c r="R19" i="164"/>
  <c r="R11" i="164"/>
  <c r="Q36" i="164"/>
  <c r="Q28" i="164"/>
  <c r="Q18" i="164"/>
  <c r="Q10" i="164"/>
  <c r="R36" i="164"/>
  <c r="R28" i="164"/>
  <c r="R18" i="164"/>
  <c r="R10" i="164"/>
  <c r="Q35" i="164"/>
  <c r="Q27" i="164"/>
  <c r="Q17" i="164"/>
  <c r="Q9" i="164"/>
  <c r="R35" i="164"/>
  <c r="R27" i="164"/>
  <c r="R17" i="164"/>
  <c r="R9" i="164"/>
  <c r="Q34" i="164"/>
  <c r="Q26" i="164"/>
  <c r="Q16" i="164"/>
  <c r="AE35" i="164"/>
  <c r="R34" i="164"/>
  <c r="R26" i="164"/>
  <c r="R16" i="164"/>
  <c r="Q8" i="164"/>
  <c r="Q33" i="164"/>
  <c r="Q25" i="164"/>
  <c r="Q15" i="164"/>
  <c r="J39" i="164"/>
  <c r="R33" i="164"/>
  <c r="R25" i="164"/>
  <c r="R15" i="164"/>
  <c r="Q40" i="164"/>
  <c r="Q32" i="164"/>
  <c r="Q24" i="164"/>
  <c r="Q14" i="164"/>
  <c r="E8" i="150"/>
  <c r="E9" i="150"/>
  <c r="E10" i="150"/>
  <c r="E11" i="150"/>
  <c r="E12" i="150"/>
  <c r="E13" i="150"/>
  <c r="E14" i="150"/>
  <c r="E15" i="150"/>
  <c r="E16" i="150"/>
  <c r="E17" i="150"/>
  <c r="E18" i="150"/>
  <c r="E21" i="150"/>
  <c r="E22" i="150"/>
  <c r="E23" i="150"/>
  <c r="E24" i="150"/>
  <c r="E25" i="150"/>
  <c r="E26" i="150"/>
  <c r="E27" i="150"/>
  <c r="E28" i="150"/>
  <c r="E29" i="150"/>
  <c r="E30" i="150"/>
  <c r="E31" i="150"/>
  <c r="E32" i="150"/>
  <c r="E33" i="150"/>
  <c r="E35" i="150"/>
  <c r="E36" i="150"/>
  <c r="E37" i="150"/>
  <c r="E39" i="150"/>
  <c r="E7" i="150"/>
  <c r="J8" i="150"/>
  <c r="J9" i="164" s="1"/>
  <c r="S8" i="150"/>
  <c r="S9" i="164" s="1"/>
  <c r="T8" i="150"/>
  <c r="U8" i="150"/>
  <c r="V8" i="150"/>
  <c r="V9" i="164" s="1"/>
  <c r="W8" i="150"/>
  <c r="X8" i="150"/>
  <c r="Y8" i="150"/>
  <c r="Z8" i="150"/>
  <c r="Z9" i="164" s="1"/>
  <c r="AD8" i="150"/>
  <c r="AD9" i="164" s="1"/>
  <c r="AE8" i="150"/>
  <c r="J9" i="150"/>
  <c r="J10" i="164" s="1"/>
  <c r="S9" i="150"/>
  <c r="S10" i="164" s="1"/>
  <c r="T9" i="150"/>
  <c r="U9" i="150"/>
  <c r="V9" i="150"/>
  <c r="V10" i="164" s="1"/>
  <c r="W9" i="150"/>
  <c r="X9" i="150"/>
  <c r="Y9" i="150"/>
  <c r="Z9" i="150"/>
  <c r="Z10" i="164" s="1"/>
  <c r="AD9" i="150"/>
  <c r="AD10" i="164" s="1"/>
  <c r="AE9" i="150"/>
  <c r="J10" i="150"/>
  <c r="J11" i="164" s="1"/>
  <c r="S10" i="150"/>
  <c r="S11" i="164" s="1"/>
  <c r="T10" i="150"/>
  <c r="U10" i="150"/>
  <c r="V10" i="150"/>
  <c r="V11" i="164" s="1"/>
  <c r="W10" i="150"/>
  <c r="X10" i="150"/>
  <c r="Y10" i="150"/>
  <c r="Z10" i="150"/>
  <c r="Z11" i="164" s="1"/>
  <c r="AD10" i="150"/>
  <c r="AD11" i="164" s="1"/>
  <c r="AE10" i="150"/>
  <c r="J11" i="150"/>
  <c r="J12" i="164" s="1"/>
  <c r="S11" i="150"/>
  <c r="S12" i="164" s="1"/>
  <c r="T11" i="150"/>
  <c r="U11" i="150"/>
  <c r="V11" i="150"/>
  <c r="V12" i="164" s="1"/>
  <c r="W11" i="150"/>
  <c r="X11" i="150"/>
  <c r="Y11" i="150"/>
  <c r="Z11" i="150"/>
  <c r="Z12" i="164" s="1"/>
  <c r="AD11" i="150"/>
  <c r="AD12" i="164" s="1"/>
  <c r="AE11" i="150"/>
  <c r="J12" i="150"/>
  <c r="J13" i="164" s="1"/>
  <c r="S12" i="150"/>
  <c r="S13" i="164" s="1"/>
  <c r="T12" i="150"/>
  <c r="U12" i="150"/>
  <c r="V12" i="150"/>
  <c r="V13" i="164" s="1"/>
  <c r="W12" i="150"/>
  <c r="X12" i="150"/>
  <c r="Y12" i="150"/>
  <c r="Z12" i="150"/>
  <c r="Z13" i="164" s="1"/>
  <c r="AD12" i="150"/>
  <c r="AD13" i="164" s="1"/>
  <c r="AE12" i="150"/>
  <c r="J13" i="150"/>
  <c r="J14" i="164" s="1"/>
  <c r="S13" i="150"/>
  <c r="S14" i="164" s="1"/>
  <c r="T13" i="150"/>
  <c r="U13" i="150"/>
  <c r="V13" i="150"/>
  <c r="V14" i="164" s="1"/>
  <c r="W13" i="150"/>
  <c r="X13" i="150"/>
  <c r="Y13" i="150"/>
  <c r="Z13" i="150"/>
  <c r="Z14" i="164" s="1"/>
  <c r="AD13" i="150"/>
  <c r="AD14" i="164" s="1"/>
  <c r="AE13" i="150"/>
  <c r="J14" i="150"/>
  <c r="J15" i="164" s="1"/>
  <c r="S14" i="150"/>
  <c r="S15" i="164" s="1"/>
  <c r="T14" i="150"/>
  <c r="U14" i="150"/>
  <c r="V14" i="150"/>
  <c r="V15" i="164" s="1"/>
  <c r="W14" i="150"/>
  <c r="X14" i="150"/>
  <c r="Y14" i="150"/>
  <c r="Z14" i="150"/>
  <c r="Z15" i="164" s="1"/>
  <c r="AD14" i="150"/>
  <c r="AD15" i="164" s="1"/>
  <c r="AE14" i="150"/>
  <c r="J15" i="150"/>
  <c r="J16" i="164" s="1"/>
  <c r="S15" i="150"/>
  <c r="S16" i="164" s="1"/>
  <c r="T15" i="150"/>
  <c r="U15" i="150"/>
  <c r="V15" i="150"/>
  <c r="V16" i="164" s="1"/>
  <c r="W15" i="150"/>
  <c r="X15" i="150"/>
  <c r="Y15" i="150"/>
  <c r="Z15" i="150"/>
  <c r="Z16" i="164" s="1"/>
  <c r="AD15" i="150"/>
  <c r="AD16" i="164" s="1"/>
  <c r="AE15" i="150"/>
  <c r="J16" i="150"/>
  <c r="J17" i="164" s="1"/>
  <c r="S16" i="150"/>
  <c r="S17" i="164" s="1"/>
  <c r="T16" i="150"/>
  <c r="U16" i="150"/>
  <c r="V16" i="150"/>
  <c r="V17" i="164" s="1"/>
  <c r="W16" i="150"/>
  <c r="X16" i="150"/>
  <c r="Y16" i="150"/>
  <c r="Z16" i="150"/>
  <c r="Z17" i="164" s="1"/>
  <c r="AD16" i="150"/>
  <c r="AD17" i="164" s="1"/>
  <c r="AE16" i="150"/>
  <c r="J17" i="150"/>
  <c r="J18" i="164" s="1"/>
  <c r="S17" i="150"/>
  <c r="S18" i="164" s="1"/>
  <c r="T17" i="150"/>
  <c r="U17" i="150"/>
  <c r="V17" i="150"/>
  <c r="V18" i="164" s="1"/>
  <c r="W17" i="150"/>
  <c r="X17" i="150"/>
  <c r="Y17" i="150"/>
  <c r="Z17" i="150"/>
  <c r="Z18" i="164" s="1"/>
  <c r="AD17" i="150"/>
  <c r="AD18" i="164" s="1"/>
  <c r="AE17" i="150"/>
  <c r="J18" i="150"/>
  <c r="J19" i="164" s="1"/>
  <c r="S18" i="150"/>
  <c r="S19" i="164" s="1"/>
  <c r="T18" i="150"/>
  <c r="U18" i="150"/>
  <c r="V18" i="150"/>
  <c r="V19" i="164" s="1"/>
  <c r="W18" i="150"/>
  <c r="X18" i="150"/>
  <c r="Y18" i="150"/>
  <c r="Z18" i="150"/>
  <c r="Z19" i="164" s="1"/>
  <c r="AD18" i="150"/>
  <c r="AD19" i="164" s="1"/>
  <c r="AE18" i="150"/>
  <c r="J21" i="150"/>
  <c r="J22" i="164" s="1"/>
  <c r="S21" i="150"/>
  <c r="S22" i="164" s="1"/>
  <c r="T21" i="150"/>
  <c r="U21" i="150"/>
  <c r="V21" i="150"/>
  <c r="V22" i="164" s="1"/>
  <c r="W21" i="150"/>
  <c r="X21" i="150"/>
  <c r="Y21" i="150"/>
  <c r="Z21" i="150"/>
  <c r="Z22" i="164" s="1"/>
  <c r="AD21" i="150"/>
  <c r="AD22" i="164" s="1"/>
  <c r="AE21" i="150"/>
  <c r="J22" i="150"/>
  <c r="J23" i="164" s="1"/>
  <c r="S22" i="150"/>
  <c r="S23" i="164" s="1"/>
  <c r="T22" i="150"/>
  <c r="U22" i="150"/>
  <c r="V22" i="150"/>
  <c r="V23" i="164" s="1"/>
  <c r="W22" i="150"/>
  <c r="X22" i="150"/>
  <c r="Y22" i="150"/>
  <c r="Z22" i="150"/>
  <c r="Z23" i="164" s="1"/>
  <c r="AD22" i="150"/>
  <c r="AD23" i="164" s="1"/>
  <c r="AE22" i="150"/>
  <c r="J23" i="150"/>
  <c r="J24" i="164" s="1"/>
  <c r="S23" i="150"/>
  <c r="S24" i="164" s="1"/>
  <c r="T23" i="150"/>
  <c r="U23" i="150"/>
  <c r="V23" i="150"/>
  <c r="V24" i="164" s="1"/>
  <c r="W23" i="150"/>
  <c r="X23" i="150"/>
  <c r="Y23" i="150"/>
  <c r="Z23" i="150"/>
  <c r="Z24" i="164" s="1"/>
  <c r="AD23" i="150"/>
  <c r="AD24" i="164" s="1"/>
  <c r="AE23" i="150"/>
  <c r="J24" i="150"/>
  <c r="J25" i="164" s="1"/>
  <c r="S24" i="150"/>
  <c r="S25" i="164" s="1"/>
  <c r="T24" i="150"/>
  <c r="U24" i="150"/>
  <c r="V24" i="150"/>
  <c r="V25" i="164" s="1"/>
  <c r="W24" i="150"/>
  <c r="X24" i="150"/>
  <c r="Y24" i="150"/>
  <c r="Z24" i="150"/>
  <c r="Z25" i="164" s="1"/>
  <c r="AD24" i="150"/>
  <c r="AD25" i="164" s="1"/>
  <c r="AE24" i="150"/>
  <c r="J25" i="150"/>
  <c r="J26" i="164" s="1"/>
  <c r="S25" i="150"/>
  <c r="S26" i="164" s="1"/>
  <c r="T25" i="150"/>
  <c r="U25" i="150"/>
  <c r="V25" i="150"/>
  <c r="V26" i="164" s="1"/>
  <c r="W25" i="150"/>
  <c r="X25" i="150"/>
  <c r="Y25" i="150"/>
  <c r="Z25" i="150"/>
  <c r="Z26" i="164" s="1"/>
  <c r="AD25" i="150"/>
  <c r="AD26" i="164" s="1"/>
  <c r="AE25" i="150"/>
  <c r="J26" i="150"/>
  <c r="J27" i="164" s="1"/>
  <c r="S26" i="150"/>
  <c r="S27" i="164" s="1"/>
  <c r="T26" i="150"/>
  <c r="U26" i="150"/>
  <c r="V26" i="150"/>
  <c r="V27" i="164" s="1"/>
  <c r="W26" i="150"/>
  <c r="X26" i="150"/>
  <c r="Y26" i="150"/>
  <c r="Z26" i="150"/>
  <c r="Z27" i="164" s="1"/>
  <c r="AD26" i="150"/>
  <c r="AD27" i="164" s="1"/>
  <c r="AE26" i="150"/>
  <c r="J27" i="150"/>
  <c r="J28" i="164" s="1"/>
  <c r="S27" i="150"/>
  <c r="S28" i="164" s="1"/>
  <c r="T27" i="150"/>
  <c r="U27" i="150"/>
  <c r="V27" i="150"/>
  <c r="V28" i="164" s="1"/>
  <c r="W27" i="150"/>
  <c r="X27" i="150"/>
  <c r="Y27" i="150"/>
  <c r="Z27" i="150"/>
  <c r="Z28" i="164" s="1"/>
  <c r="AD27" i="150"/>
  <c r="AD28" i="164" s="1"/>
  <c r="AE27" i="150"/>
  <c r="J28" i="150"/>
  <c r="J29" i="164" s="1"/>
  <c r="S28" i="150"/>
  <c r="S29" i="164" s="1"/>
  <c r="T28" i="150"/>
  <c r="U28" i="150"/>
  <c r="V28" i="150"/>
  <c r="V29" i="164" s="1"/>
  <c r="W28" i="150"/>
  <c r="X28" i="150"/>
  <c r="Y28" i="150"/>
  <c r="Z28" i="150"/>
  <c r="Z29" i="164" s="1"/>
  <c r="AD28" i="150"/>
  <c r="AD29" i="164" s="1"/>
  <c r="AE28" i="150"/>
  <c r="J29" i="150"/>
  <c r="J30" i="164" s="1"/>
  <c r="S29" i="150"/>
  <c r="S30" i="164" s="1"/>
  <c r="T29" i="150"/>
  <c r="U29" i="150"/>
  <c r="V29" i="150"/>
  <c r="V30" i="164" s="1"/>
  <c r="W29" i="150"/>
  <c r="X29" i="150"/>
  <c r="Y29" i="150"/>
  <c r="Z29" i="150"/>
  <c r="Z30" i="164" s="1"/>
  <c r="AD29" i="150"/>
  <c r="AD30" i="164" s="1"/>
  <c r="AE29" i="150"/>
  <c r="J30" i="150"/>
  <c r="J31" i="164" s="1"/>
  <c r="S30" i="150"/>
  <c r="S31" i="164" s="1"/>
  <c r="T30" i="150"/>
  <c r="U30" i="150"/>
  <c r="V30" i="150"/>
  <c r="V31" i="164" s="1"/>
  <c r="W30" i="150"/>
  <c r="X30" i="150"/>
  <c r="Y30" i="150"/>
  <c r="Z30" i="150"/>
  <c r="Z31" i="164" s="1"/>
  <c r="AD30" i="150"/>
  <c r="AD31" i="164" s="1"/>
  <c r="AE30" i="150"/>
  <c r="J31" i="150"/>
  <c r="J32" i="164" s="1"/>
  <c r="S31" i="150"/>
  <c r="S32" i="164" s="1"/>
  <c r="T31" i="150"/>
  <c r="U31" i="150"/>
  <c r="V31" i="150"/>
  <c r="V32" i="164" s="1"/>
  <c r="W31" i="150"/>
  <c r="X31" i="150"/>
  <c r="Y31" i="150"/>
  <c r="Z31" i="150"/>
  <c r="Z32" i="164" s="1"/>
  <c r="AD31" i="150"/>
  <c r="AD32" i="164" s="1"/>
  <c r="AE31" i="150"/>
  <c r="J32" i="150"/>
  <c r="J33" i="164" s="1"/>
  <c r="S32" i="150"/>
  <c r="S33" i="164" s="1"/>
  <c r="T32" i="150"/>
  <c r="U32" i="150"/>
  <c r="V32" i="150"/>
  <c r="V33" i="164" s="1"/>
  <c r="W32" i="150"/>
  <c r="X32" i="150"/>
  <c r="Y32" i="150"/>
  <c r="Z32" i="150"/>
  <c r="Z33" i="164" s="1"/>
  <c r="AD32" i="150"/>
  <c r="AD33" i="164" s="1"/>
  <c r="AE32" i="150"/>
  <c r="J33" i="150"/>
  <c r="J34" i="164" s="1"/>
  <c r="S33" i="150"/>
  <c r="S34" i="164" s="1"/>
  <c r="T33" i="150"/>
  <c r="U33" i="150"/>
  <c r="V33" i="150"/>
  <c r="V34" i="164" s="1"/>
  <c r="W33" i="150"/>
  <c r="X33" i="150"/>
  <c r="Y33" i="150"/>
  <c r="Z33" i="150"/>
  <c r="Z34" i="164" s="1"/>
  <c r="AD33" i="150"/>
  <c r="AD34" i="164" s="1"/>
  <c r="AE33" i="150"/>
  <c r="J35" i="150"/>
  <c r="J36" i="164" s="1"/>
  <c r="S35" i="150"/>
  <c r="S36" i="164" s="1"/>
  <c r="T35" i="150"/>
  <c r="U35" i="150"/>
  <c r="V35" i="150"/>
  <c r="V36" i="164" s="1"/>
  <c r="W35" i="150"/>
  <c r="X35" i="150"/>
  <c r="Y35" i="150"/>
  <c r="Z35" i="150"/>
  <c r="Z36" i="164" s="1"/>
  <c r="AD35" i="150"/>
  <c r="AD36" i="164" s="1"/>
  <c r="AE35" i="150"/>
  <c r="J36" i="150"/>
  <c r="J37" i="164" s="1"/>
  <c r="S36" i="150"/>
  <c r="S37" i="164" s="1"/>
  <c r="T36" i="150"/>
  <c r="U36" i="150"/>
  <c r="V36" i="150"/>
  <c r="V37" i="164" s="1"/>
  <c r="W36" i="150"/>
  <c r="X36" i="150"/>
  <c r="Y36" i="150"/>
  <c r="Z36" i="150"/>
  <c r="Z37" i="164" s="1"/>
  <c r="AD36" i="150"/>
  <c r="AD37" i="164" s="1"/>
  <c r="AE36" i="150"/>
  <c r="J37" i="150"/>
  <c r="S37" i="150"/>
  <c r="S38" i="164" s="1"/>
  <c r="T37" i="150"/>
  <c r="U37" i="150"/>
  <c r="V37" i="150"/>
  <c r="V38" i="164" s="1"/>
  <c r="W37" i="150"/>
  <c r="X37" i="150"/>
  <c r="Y37" i="150"/>
  <c r="Z37" i="150"/>
  <c r="Z38" i="164" s="1"/>
  <c r="AD37" i="150"/>
  <c r="AD38" i="164" s="1"/>
  <c r="AE37" i="150"/>
  <c r="J39" i="150"/>
  <c r="S39" i="150"/>
  <c r="S40" i="164" s="1"/>
  <c r="T39" i="150"/>
  <c r="U39" i="150"/>
  <c r="V39" i="150"/>
  <c r="V40" i="164" s="1"/>
  <c r="W39" i="150"/>
  <c r="X39" i="150"/>
  <c r="Y39" i="150"/>
  <c r="Z39" i="150"/>
  <c r="Z40" i="164" s="1"/>
  <c r="AD39" i="150"/>
  <c r="AD40" i="164" s="1"/>
  <c r="AE39" i="150"/>
  <c r="AD7" i="150"/>
  <c r="AD8" i="164" s="1"/>
  <c r="Z7" i="150"/>
  <c r="Z8" i="164" s="1"/>
  <c r="Y7" i="150"/>
  <c r="X7" i="150"/>
  <c r="W7" i="150"/>
  <c r="V7" i="150"/>
  <c r="V8" i="164" s="1"/>
  <c r="U7" i="150"/>
  <c r="T7" i="150"/>
  <c r="S7" i="150"/>
  <c r="S8" i="164" s="1"/>
  <c r="R7" i="150"/>
  <c r="AE7" i="150"/>
  <c r="AF7" i="150"/>
  <c r="AF8" i="164" s="1"/>
  <c r="AG7" i="150"/>
  <c r="AG8" i="164" s="1"/>
  <c r="AH7" i="150"/>
  <c r="AH8" i="164" s="1"/>
  <c r="AI7" i="150"/>
  <c r="AI8" i="164" s="1"/>
  <c r="AJ7" i="150"/>
  <c r="AJ8" i="164" s="1"/>
  <c r="AK7" i="150"/>
  <c r="AK8" i="164" s="1"/>
  <c r="AF8" i="150"/>
  <c r="AF9" i="164" s="1"/>
  <c r="AG8" i="150"/>
  <c r="AG9" i="164" s="1"/>
  <c r="AH8" i="150"/>
  <c r="AH9" i="164" s="1"/>
  <c r="AI8" i="150"/>
  <c r="AI9" i="164" s="1"/>
  <c r="AJ8" i="150"/>
  <c r="AJ9" i="164" s="1"/>
  <c r="AK8" i="150"/>
  <c r="AK9" i="164" s="1"/>
  <c r="AF9" i="150"/>
  <c r="AF10" i="164" s="1"/>
  <c r="AG9" i="150"/>
  <c r="AG10" i="164" s="1"/>
  <c r="AH9" i="150"/>
  <c r="AH10" i="164" s="1"/>
  <c r="AI9" i="150"/>
  <c r="AI10" i="164" s="1"/>
  <c r="AJ9" i="150"/>
  <c r="AJ10" i="164" s="1"/>
  <c r="AK9" i="150"/>
  <c r="AK10" i="164" s="1"/>
  <c r="AF10" i="150"/>
  <c r="AF11" i="164" s="1"/>
  <c r="AG10" i="150"/>
  <c r="AG11" i="164" s="1"/>
  <c r="AH10" i="150"/>
  <c r="AH11" i="164" s="1"/>
  <c r="AI10" i="150"/>
  <c r="AI11" i="164" s="1"/>
  <c r="AJ10" i="150"/>
  <c r="AJ11" i="164" s="1"/>
  <c r="AK10" i="150"/>
  <c r="AK11" i="164" s="1"/>
  <c r="AF11" i="150"/>
  <c r="AF12" i="164" s="1"/>
  <c r="AG11" i="150"/>
  <c r="AG12" i="164" s="1"/>
  <c r="AH11" i="150"/>
  <c r="AH12" i="164" s="1"/>
  <c r="AI11" i="150"/>
  <c r="AI12" i="164" s="1"/>
  <c r="AJ11" i="150"/>
  <c r="AJ12" i="164" s="1"/>
  <c r="AK11" i="150"/>
  <c r="AK12" i="164" s="1"/>
  <c r="AF12" i="150"/>
  <c r="AF13" i="164" s="1"/>
  <c r="AG12" i="150"/>
  <c r="AG13" i="164" s="1"/>
  <c r="AH12" i="150"/>
  <c r="AH13" i="164" s="1"/>
  <c r="AI12" i="150"/>
  <c r="AI13" i="164" s="1"/>
  <c r="AJ12" i="150"/>
  <c r="AJ13" i="164" s="1"/>
  <c r="AK12" i="150"/>
  <c r="AK13" i="164" s="1"/>
  <c r="AF13" i="150"/>
  <c r="AF14" i="164" s="1"/>
  <c r="AG13" i="150"/>
  <c r="AG14" i="164" s="1"/>
  <c r="AH13" i="150"/>
  <c r="AH14" i="164" s="1"/>
  <c r="AI13" i="150"/>
  <c r="AI14" i="164" s="1"/>
  <c r="AJ13" i="150"/>
  <c r="AJ14" i="164" s="1"/>
  <c r="AK13" i="150"/>
  <c r="AK14" i="164" s="1"/>
  <c r="AF14" i="150"/>
  <c r="AF15" i="164" s="1"/>
  <c r="AG14" i="150"/>
  <c r="AG15" i="164" s="1"/>
  <c r="AH14" i="150"/>
  <c r="AH15" i="164" s="1"/>
  <c r="AI14" i="150"/>
  <c r="AI15" i="164" s="1"/>
  <c r="AJ14" i="150"/>
  <c r="AJ15" i="164" s="1"/>
  <c r="AK14" i="150"/>
  <c r="AK15" i="164" s="1"/>
  <c r="AF15" i="150"/>
  <c r="AF16" i="164" s="1"/>
  <c r="AG15" i="150"/>
  <c r="AG16" i="164" s="1"/>
  <c r="AH15" i="150"/>
  <c r="AH16" i="164" s="1"/>
  <c r="AI15" i="150"/>
  <c r="AI16" i="164" s="1"/>
  <c r="AJ15" i="150"/>
  <c r="AJ16" i="164" s="1"/>
  <c r="AK15" i="150"/>
  <c r="AK16" i="164" s="1"/>
  <c r="AF16" i="150"/>
  <c r="AF17" i="164" s="1"/>
  <c r="AG16" i="150"/>
  <c r="AG17" i="164" s="1"/>
  <c r="AH16" i="150"/>
  <c r="AH17" i="164" s="1"/>
  <c r="AI16" i="150"/>
  <c r="AI17" i="164" s="1"/>
  <c r="AJ16" i="150"/>
  <c r="AJ17" i="164" s="1"/>
  <c r="AK16" i="150"/>
  <c r="AK17" i="164" s="1"/>
  <c r="AF17" i="150"/>
  <c r="AF18" i="164" s="1"/>
  <c r="AG17" i="150"/>
  <c r="AG18" i="164" s="1"/>
  <c r="AH17" i="150"/>
  <c r="AH18" i="164" s="1"/>
  <c r="AI17" i="150"/>
  <c r="AI18" i="164" s="1"/>
  <c r="AJ17" i="150"/>
  <c r="AJ18" i="164" s="1"/>
  <c r="AK17" i="150"/>
  <c r="AK18" i="164" s="1"/>
  <c r="AF18" i="150"/>
  <c r="AF19" i="164" s="1"/>
  <c r="AG18" i="150"/>
  <c r="AG19" i="164" s="1"/>
  <c r="AH18" i="150"/>
  <c r="AH19" i="164" s="1"/>
  <c r="AI18" i="150"/>
  <c r="AI19" i="164" s="1"/>
  <c r="AJ18" i="150"/>
  <c r="AJ19" i="164" s="1"/>
  <c r="AK18" i="150"/>
  <c r="AK19" i="164" s="1"/>
  <c r="AF21" i="150"/>
  <c r="AF22" i="164" s="1"/>
  <c r="AG21" i="150"/>
  <c r="AG22" i="164" s="1"/>
  <c r="AH21" i="150"/>
  <c r="AH22" i="164" s="1"/>
  <c r="AI21" i="150"/>
  <c r="AI22" i="164" s="1"/>
  <c r="AJ21" i="150"/>
  <c r="AJ22" i="164" s="1"/>
  <c r="AK21" i="150"/>
  <c r="AK22" i="164" s="1"/>
  <c r="AF22" i="150"/>
  <c r="AF23" i="164" s="1"/>
  <c r="AG22" i="150"/>
  <c r="AG23" i="164" s="1"/>
  <c r="AH22" i="150"/>
  <c r="AH23" i="164" s="1"/>
  <c r="AI22" i="150"/>
  <c r="AI23" i="164" s="1"/>
  <c r="AJ22" i="150"/>
  <c r="AJ23" i="164" s="1"/>
  <c r="AK22" i="150"/>
  <c r="AK23" i="164" s="1"/>
  <c r="AF23" i="150"/>
  <c r="AF24" i="164" s="1"/>
  <c r="AG23" i="150"/>
  <c r="AG24" i="164" s="1"/>
  <c r="AH23" i="150"/>
  <c r="AH24" i="164" s="1"/>
  <c r="AI23" i="150"/>
  <c r="AJ23" i="150"/>
  <c r="AJ24" i="164" s="1"/>
  <c r="AK23" i="150"/>
  <c r="AK24" i="164" s="1"/>
  <c r="AF24" i="150"/>
  <c r="AF25" i="164" s="1"/>
  <c r="AG24" i="150"/>
  <c r="AG25" i="164" s="1"/>
  <c r="AH24" i="150"/>
  <c r="AH25" i="164" s="1"/>
  <c r="AI24" i="150"/>
  <c r="AI25" i="164" s="1"/>
  <c r="AJ24" i="150"/>
  <c r="AJ25" i="164" s="1"/>
  <c r="AK24" i="150"/>
  <c r="AK25" i="164" s="1"/>
  <c r="AF25" i="150"/>
  <c r="AF26" i="164" s="1"/>
  <c r="AG25" i="150"/>
  <c r="AG26" i="164" s="1"/>
  <c r="AH25" i="150"/>
  <c r="AH26" i="164" s="1"/>
  <c r="AI25" i="150"/>
  <c r="AI26" i="164" s="1"/>
  <c r="AJ25" i="150"/>
  <c r="AJ26" i="164" s="1"/>
  <c r="AK25" i="150"/>
  <c r="AK26" i="164" s="1"/>
  <c r="AF26" i="150"/>
  <c r="AF27" i="164" s="1"/>
  <c r="AG26" i="150"/>
  <c r="AG27" i="164" s="1"/>
  <c r="AH26" i="150"/>
  <c r="AH27" i="164" s="1"/>
  <c r="AI26" i="150"/>
  <c r="AI27" i="164" s="1"/>
  <c r="AJ26" i="150"/>
  <c r="AJ27" i="164" s="1"/>
  <c r="AK26" i="150"/>
  <c r="AK27" i="164" s="1"/>
  <c r="AF27" i="150"/>
  <c r="AF28" i="164" s="1"/>
  <c r="AG27" i="150"/>
  <c r="AG28" i="164" s="1"/>
  <c r="AH27" i="150"/>
  <c r="AH28" i="164" s="1"/>
  <c r="AI27" i="150"/>
  <c r="AI28" i="164" s="1"/>
  <c r="AJ27" i="150"/>
  <c r="AJ28" i="164" s="1"/>
  <c r="AK27" i="150"/>
  <c r="AK28" i="164" s="1"/>
  <c r="AF28" i="150"/>
  <c r="AF29" i="164" s="1"/>
  <c r="AG28" i="150"/>
  <c r="AG29" i="164" s="1"/>
  <c r="AH28" i="150"/>
  <c r="AH29" i="164" s="1"/>
  <c r="AI28" i="150"/>
  <c r="AI29" i="164" s="1"/>
  <c r="AJ28" i="150"/>
  <c r="AJ29" i="164" s="1"/>
  <c r="AK28" i="150"/>
  <c r="AK29" i="164" s="1"/>
  <c r="AF29" i="150"/>
  <c r="AF30" i="164" s="1"/>
  <c r="AG29" i="150"/>
  <c r="AG30" i="164" s="1"/>
  <c r="AH29" i="150"/>
  <c r="AH30" i="164" s="1"/>
  <c r="AI29" i="150"/>
  <c r="AI30" i="164" s="1"/>
  <c r="AJ29" i="150"/>
  <c r="AJ30" i="164" s="1"/>
  <c r="AK29" i="150"/>
  <c r="AK30" i="164" s="1"/>
  <c r="AF30" i="150"/>
  <c r="AF31" i="164" s="1"/>
  <c r="AG30" i="150"/>
  <c r="AG31" i="164" s="1"/>
  <c r="AH30" i="150"/>
  <c r="AH31" i="164" s="1"/>
  <c r="AI30" i="150"/>
  <c r="AI31" i="164" s="1"/>
  <c r="AJ30" i="150"/>
  <c r="AJ31" i="164" s="1"/>
  <c r="AK30" i="150"/>
  <c r="AK31" i="164" s="1"/>
  <c r="AF31" i="150"/>
  <c r="AF32" i="164" s="1"/>
  <c r="AG31" i="150"/>
  <c r="AG32" i="164" s="1"/>
  <c r="AH31" i="150"/>
  <c r="AH32" i="164" s="1"/>
  <c r="AI31" i="150"/>
  <c r="AI32" i="164" s="1"/>
  <c r="AJ31" i="150"/>
  <c r="AJ32" i="164" s="1"/>
  <c r="AK31" i="150"/>
  <c r="AK32" i="164" s="1"/>
  <c r="AF32" i="150"/>
  <c r="AF33" i="164" s="1"/>
  <c r="AG32" i="150"/>
  <c r="AG33" i="164" s="1"/>
  <c r="AH32" i="150"/>
  <c r="AH33" i="164" s="1"/>
  <c r="AI32" i="150"/>
  <c r="AI33" i="164" s="1"/>
  <c r="AJ32" i="150"/>
  <c r="AJ33" i="164" s="1"/>
  <c r="AK32" i="150"/>
  <c r="AK33" i="164" s="1"/>
  <c r="AF33" i="150"/>
  <c r="AF34" i="164" s="1"/>
  <c r="AG33" i="150"/>
  <c r="AG34" i="164" s="1"/>
  <c r="AH33" i="150"/>
  <c r="AH34" i="164" s="1"/>
  <c r="AI33" i="150"/>
  <c r="AI34" i="164" s="1"/>
  <c r="AJ33" i="150"/>
  <c r="AJ34" i="164" s="1"/>
  <c r="AK33" i="150"/>
  <c r="AK34" i="164" s="1"/>
  <c r="AF35" i="150"/>
  <c r="AF36" i="164" s="1"/>
  <c r="AG35" i="150"/>
  <c r="AG36" i="164" s="1"/>
  <c r="AH35" i="150"/>
  <c r="AH36" i="164" s="1"/>
  <c r="AI35" i="150"/>
  <c r="AI36" i="164" s="1"/>
  <c r="AJ35" i="150"/>
  <c r="AJ36" i="164" s="1"/>
  <c r="AK35" i="150"/>
  <c r="AK36" i="164" s="1"/>
  <c r="AF36" i="150"/>
  <c r="AF37" i="164" s="1"/>
  <c r="AG36" i="150"/>
  <c r="AG37" i="164" s="1"/>
  <c r="AH36" i="150"/>
  <c r="AH37" i="164" s="1"/>
  <c r="AI36" i="150"/>
  <c r="AI37" i="164" s="1"/>
  <c r="AJ36" i="150"/>
  <c r="AJ37" i="164" s="1"/>
  <c r="AK36" i="150"/>
  <c r="AK37" i="164" s="1"/>
  <c r="AF37" i="150"/>
  <c r="AF38" i="164" s="1"/>
  <c r="AG37" i="150"/>
  <c r="AG38" i="164" s="1"/>
  <c r="AH37" i="150"/>
  <c r="AH38" i="164" s="1"/>
  <c r="AI37" i="150"/>
  <c r="AI38" i="164" s="1"/>
  <c r="AJ37" i="150"/>
  <c r="AJ38" i="164" s="1"/>
  <c r="AK37" i="150"/>
  <c r="AK38" i="164" s="1"/>
  <c r="AF39" i="150"/>
  <c r="AF40" i="164" s="1"/>
  <c r="AG39" i="150"/>
  <c r="AG40" i="164" s="1"/>
  <c r="AH39" i="150"/>
  <c r="AH40" i="164" s="1"/>
  <c r="AI39" i="150"/>
  <c r="AI40" i="164" s="1"/>
  <c r="AJ39" i="150"/>
  <c r="AJ40" i="164" s="1"/>
  <c r="AK39" i="150"/>
  <c r="AK40" i="164" s="1"/>
  <c r="J7" i="150"/>
  <c r="J8" i="164" s="1"/>
  <c r="J24" i="165" l="1"/>
  <c r="J25" i="165"/>
  <c r="J26" i="165"/>
  <c r="J27" i="165"/>
  <c r="J28" i="165"/>
  <c r="J29" i="165"/>
  <c r="J30" i="165"/>
  <c r="J32" i="165"/>
  <c r="J33" i="165"/>
  <c r="J34" i="165"/>
  <c r="J35" i="165"/>
  <c r="J36" i="165"/>
  <c r="J37" i="165"/>
  <c r="J38" i="165"/>
  <c r="J13" i="165"/>
  <c r="J23" i="165"/>
  <c r="J31" i="165"/>
  <c r="J39" i="165"/>
  <c r="K38" i="165"/>
  <c r="J8" i="165"/>
  <c r="J9" i="165"/>
  <c r="J10" i="165"/>
  <c r="J11" i="165"/>
  <c r="J12" i="165"/>
  <c r="K34" i="165"/>
  <c r="J14" i="165"/>
  <c r="J15" i="165"/>
  <c r="J16" i="165"/>
  <c r="J17" i="165"/>
  <c r="J18" i="165"/>
  <c r="J21" i="165"/>
  <c r="J22" i="165"/>
  <c r="I13" i="165"/>
  <c r="I16" i="165"/>
  <c r="I17" i="165"/>
  <c r="I18" i="165"/>
  <c r="I23" i="165"/>
  <c r="I24" i="165"/>
  <c r="I25" i="165"/>
  <c r="I26" i="165"/>
  <c r="I27" i="165"/>
  <c r="I28" i="165"/>
  <c r="I29" i="165"/>
  <c r="I15" i="165"/>
  <c r="I31" i="165"/>
  <c r="I32" i="165"/>
  <c r="I33" i="165"/>
  <c r="I34" i="165"/>
  <c r="I35" i="165"/>
  <c r="I36" i="165"/>
  <c r="I37" i="165"/>
  <c r="I12" i="165"/>
  <c r="I14" i="165"/>
  <c r="I21" i="165"/>
  <c r="I39" i="165"/>
  <c r="I7" i="165"/>
  <c r="I22" i="165"/>
  <c r="I30" i="165"/>
  <c r="I38" i="165"/>
  <c r="I8" i="165"/>
  <c r="I9" i="165"/>
  <c r="I10" i="165"/>
  <c r="I11" i="165"/>
  <c r="W32" i="164"/>
  <c r="W24" i="164"/>
  <c r="W14" i="164"/>
  <c r="W34" i="164"/>
  <c r="W26" i="164"/>
  <c r="W16" i="164"/>
  <c r="W15" i="164"/>
  <c r="W37" i="164"/>
  <c r="W28" i="164"/>
  <c r="W18" i="164"/>
  <c r="W10" i="164"/>
  <c r="W40" i="164"/>
  <c r="W30" i="164"/>
  <c r="W22" i="164"/>
  <c r="W12" i="164"/>
  <c r="AE38" i="164"/>
  <c r="AE29" i="164"/>
  <c r="AE19" i="164"/>
  <c r="AE11" i="164"/>
  <c r="W38" i="164"/>
  <c r="AE34" i="164"/>
  <c r="W29" i="164"/>
  <c r="AE26" i="164"/>
  <c r="W19" i="164"/>
  <c r="AE16" i="164"/>
  <c r="W11" i="164"/>
  <c r="Q42" i="164"/>
  <c r="AE8" i="164"/>
  <c r="J38" i="164"/>
  <c r="AE31" i="164"/>
  <c r="AE23" i="164"/>
  <c r="AE13" i="164"/>
  <c r="R8" i="164"/>
  <c r="Z42" i="164"/>
  <c r="AE37" i="164"/>
  <c r="W31" i="164"/>
  <c r="AE28" i="164"/>
  <c r="W23" i="164"/>
  <c r="AE18" i="164"/>
  <c r="W13" i="164"/>
  <c r="AE10" i="164"/>
  <c r="AK42" i="164"/>
  <c r="W8" i="164"/>
  <c r="S42" i="164"/>
  <c r="AD42" i="164"/>
  <c r="AE33" i="164"/>
  <c r="AE25" i="164"/>
  <c r="AE15" i="164"/>
  <c r="AJ42" i="164"/>
  <c r="AE40" i="164"/>
  <c r="W33" i="164"/>
  <c r="AE30" i="164"/>
  <c r="W25" i="164"/>
  <c r="AE22" i="164"/>
  <c r="AE12" i="164"/>
  <c r="AE36" i="164"/>
  <c r="AE27" i="164"/>
  <c r="AE17" i="164"/>
  <c r="AE9" i="164"/>
  <c r="V42" i="164"/>
  <c r="J40" i="164"/>
  <c r="W36" i="164"/>
  <c r="AE32" i="164"/>
  <c r="W27" i="164"/>
  <c r="AE24" i="164"/>
  <c r="W17" i="164"/>
  <c r="AE14" i="164"/>
  <c r="W9" i="164"/>
  <c r="AA41" i="150"/>
  <c r="K12" i="165" l="1"/>
  <c r="K21" i="165"/>
  <c r="K15" i="165"/>
  <c r="K30" i="165"/>
  <c r="K26" i="165"/>
  <c r="K29" i="165"/>
  <c r="K25" i="165"/>
  <c r="K28" i="165"/>
  <c r="K35" i="165"/>
  <c r="K9" i="165"/>
  <c r="K13" i="165"/>
  <c r="K10" i="165"/>
  <c r="K23" i="165"/>
  <c r="K39" i="165"/>
  <c r="K24" i="165"/>
  <c r="K7" i="165"/>
  <c r="K17" i="165"/>
  <c r="K16" i="165"/>
  <c r="K37" i="165"/>
  <c r="K27" i="165"/>
  <c r="K31" i="165"/>
  <c r="K22" i="165"/>
  <c r="K8" i="165"/>
  <c r="K33" i="165"/>
  <c r="K36" i="165"/>
  <c r="K32" i="165"/>
  <c r="K18" i="165"/>
  <c r="K11" i="165"/>
  <c r="K14" i="165"/>
  <c r="I41" i="165"/>
  <c r="R42" i="164"/>
  <c r="J7" i="165"/>
  <c r="J41" i="165" s="1"/>
  <c r="J42" i="164"/>
  <c r="AE42" i="164"/>
  <c r="W42" i="164"/>
  <c r="AF41" i="150"/>
  <c r="AJ41" i="150"/>
  <c r="AI41" i="150"/>
  <c r="AE41" i="150"/>
  <c r="J41" i="150"/>
  <c r="AH41" i="150"/>
  <c r="R41" i="150"/>
  <c r="V41" i="150"/>
  <c r="Z41" i="150"/>
  <c r="C41" i="150"/>
  <c r="D41" i="150"/>
  <c r="AK41" i="150"/>
  <c r="S41" i="150"/>
  <c r="W41" i="150"/>
  <c r="T41" i="150"/>
  <c r="X41" i="150"/>
  <c r="E41" i="150"/>
  <c r="Q41" i="150"/>
  <c r="U41" i="150"/>
  <c r="Y41" i="150"/>
  <c r="AD41" i="150"/>
  <c r="C7" i="97"/>
  <c r="L33" i="147"/>
  <c r="K41" i="165" l="1"/>
  <c r="F37" i="136"/>
  <c r="B36" i="136"/>
  <c r="B37" i="136"/>
  <c r="C39" i="136"/>
  <c r="B6" i="99"/>
  <c r="H37" i="136" l="1"/>
  <c r="E39" i="136" l="1"/>
  <c r="K39" i="136"/>
  <c r="Z39" i="136"/>
  <c r="D8" i="136"/>
  <c r="F8" i="136" s="1"/>
  <c r="H8" i="136" s="1"/>
  <c r="D9" i="136"/>
  <c r="F9" i="136" s="1"/>
  <c r="H9" i="136" s="1"/>
  <c r="D10" i="136"/>
  <c r="F10" i="136" s="1"/>
  <c r="H10" i="136" s="1"/>
  <c r="D11" i="136"/>
  <c r="F11" i="136" s="1"/>
  <c r="H11" i="136" s="1"/>
  <c r="D12" i="136"/>
  <c r="F12" i="136" s="1"/>
  <c r="H12" i="136" s="1"/>
  <c r="D13" i="136"/>
  <c r="F13" i="136" s="1"/>
  <c r="H13" i="136" s="1"/>
  <c r="D14" i="136"/>
  <c r="F14" i="136" s="1"/>
  <c r="H14" i="136" s="1"/>
  <c r="D15" i="136"/>
  <c r="F15" i="136" s="1"/>
  <c r="H15" i="136" s="1"/>
  <c r="D16" i="136"/>
  <c r="F16" i="136" s="1"/>
  <c r="H16" i="136" s="1"/>
  <c r="D17" i="136"/>
  <c r="F17" i="136" s="1"/>
  <c r="H17" i="136" s="1"/>
  <c r="D18" i="136"/>
  <c r="F18" i="136" s="1"/>
  <c r="H18" i="136" s="1"/>
  <c r="D19" i="136"/>
  <c r="F19" i="136" s="1"/>
  <c r="H19" i="136" s="1"/>
  <c r="D20" i="136"/>
  <c r="F20" i="136" s="1"/>
  <c r="H20" i="136" s="1"/>
  <c r="D21" i="136"/>
  <c r="F21" i="136" s="1"/>
  <c r="H21" i="136" s="1"/>
  <c r="D22" i="136"/>
  <c r="F22" i="136" s="1"/>
  <c r="H22" i="136" s="1"/>
  <c r="D23" i="136"/>
  <c r="F23" i="136" s="1"/>
  <c r="H23" i="136" s="1"/>
  <c r="D24" i="136"/>
  <c r="F24" i="136" s="1"/>
  <c r="H24" i="136" s="1"/>
  <c r="D25" i="136"/>
  <c r="F25" i="136" s="1"/>
  <c r="H25" i="136" s="1"/>
  <c r="D26" i="136"/>
  <c r="F26" i="136" s="1"/>
  <c r="H26" i="136" s="1"/>
  <c r="D27" i="136"/>
  <c r="F27" i="136" s="1"/>
  <c r="H27" i="136" s="1"/>
  <c r="D28" i="136"/>
  <c r="F28" i="136" s="1"/>
  <c r="H28" i="136" s="1"/>
  <c r="D29" i="136"/>
  <c r="F29" i="136" s="1"/>
  <c r="H29" i="136" s="1"/>
  <c r="D30" i="136"/>
  <c r="F30" i="136" s="1"/>
  <c r="H30" i="136" s="1"/>
  <c r="D31" i="136"/>
  <c r="F31" i="136" s="1"/>
  <c r="H31" i="136" s="1"/>
  <c r="D32" i="136"/>
  <c r="F32" i="136" s="1"/>
  <c r="H32" i="136" s="1"/>
  <c r="D33" i="136"/>
  <c r="F33" i="136" s="1"/>
  <c r="H33" i="136" s="1"/>
  <c r="D34" i="136"/>
  <c r="F34" i="136" s="1"/>
  <c r="H34" i="136" s="1"/>
  <c r="D35" i="136"/>
  <c r="F35" i="136" s="1"/>
  <c r="H35" i="136" s="1"/>
  <c r="D36" i="136"/>
  <c r="F36" i="136" s="1"/>
  <c r="H36" i="136" s="1"/>
  <c r="D7" i="136"/>
  <c r="F7" i="136" s="1"/>
  <c r="H7" i="136" s="1"/>
  <c r="D6" i="136"/>
  <c r="F6" i="136" s="1"/>
  <c r="U7" i="132"/>
  <c r="U8" i="132"/>
  <c r="U9" i="132"/>
  <c r="U10" i="132"/>
  <c r="U11" i="132"/>
  <c r="U12" i="132"/>
  <c r="U13" i="132"/>
  <c r="U14" i="132"/>
  <c r="U15" i="132"/>
  <c r="U16" i="132"/>
  <c r="U17" i="132"/>
  <c r="U18" i="132"/>
  <c r="U19" i="132"/>
  <c r="U20" i="132"/>
  <c r="U21" i="132"/>
  <c r="U22" i="132"/>
  <c r="U23" i="132"/>
  <c r="U24" i="132"/>
  <c r="U25" i="132"/>
  <c r="U26" i="132"/>
  <c r="U29" i="132"/>
  <c r="U31" i="132"/>
  <c r="U32" i="132"/>
  <c r="U33" i="132"/>
  <c r="U36" i="132"/>
  <c r="U37" i="132"/>
  <c r="U6" i="132"/>
  <c r="B6" i="132"/>
  <c r="H6" i="136" l="1"/>
  <c r="D39" i="136"/>
  <c r="D42" i="136" s="1"/>
  <c r="F11" i="131" l="1"/>
  <c r="F25" i="131" s="1"/>
  <c r="D25" i="131"/>
  <c r="H6" i="99" l="1"/>
  <c r="C14" i="99"/>
  <c r="D14" i="99" l="1"/>
  <c r="AA41" i="147"/>
  <c r="D41" i="147"/>
  <c r="Y41" i="147" l="1"/>
  <c r="AF41" i="147"/>
  <c r="T41" i="147"/>
  <c r="AG41" i="147"/>
  <c r="Z41" i="147"/>
  <c r="AJ41" i="147"/>
  <c r="Q41" i="147"/>
  <c r="U41" i="147"/>
  <c r="AD41" i="147"/>
  <c r="V41" i="147"/>
  <c r="R41" i="147"/>
  <c r="AE41" i="147"/>
  <c r="S41" i="147"/>
  <c r="W41" i="147"/>
  <c r="X41" i="147"/>
  <c r="AH41" i="147"/>
  <c r="AK41" i="147"/>
  <c r="AI41" i="147"/>
  <c r="J41" i="147"/>
  <c r="I35" i="136" l="1"/>
  <c r="P35" i="136"/>
  <c r="Q35" i="136"/>
  <c r="R35" i="136"/>
  <c r="S35" i="136"/>
  <c r="T35" i="136"/>
  <c r="U35" i="136"/>
  <c r="V35" i="136"/>
  <c r="W35" i="136"/>
  <c r="X35" i="136"/>
  <c r="Y35" i="136"/>
  <c r="AC35" i="136"/>
  <c r="AD35" i="136"/>
  <c r="AE35" i="136"/>
  <c r="AF35" i="136"/>
  <c r="AG35" i="136"/>
  <c r="AH35" i="136"/>
  <c r="AI35" i="136"/>
  <c r="AJ35" i="136"/>
  <c r="I36" i="136"/>
  <c r="P36" i="136"/>
  <c r="Q36" i="136"/>
  <c r="R36" i="136"/>
  <c r="S36" i="136"/>
  <c r="T36" i="136"/>
  <c r="U36" i="136"/>
  <c r="V36" i="136"/>
  <c r="W36" i="136"/>
  <c r="X36" i="136"/>
  <c r="Y36" i="136"/>
  <c r="AC36" i="136"/>
  <c r="AD36" i="136"/>
  <c r="AE36" i="136"/>
  <c r="AF36" i="136"/>
  <c r="AG36" i="136"/>
  <c r="AH36" i="136"/>
  <c r="AI36" i="136"/>
  <c r="AJ36" i="136"/>
  <c r="F39" i="136"/>
  <c r="B35" i="136"/>
  <c r="B7" i="136"/>
  <c r="B8" i="136"/>
  <c r="B9" i="136"/>
  <c r="B10" i="136"/>
  <c r="B11" i="136"/>
  <c r="B12" i="136"/>
  <c r="B13" i="136"/>
  <c r="B14" i="136"/>
  <c r="B15" i="136"/>
  <c r="B16" i="136"/>
  <c r="B17" i="136"/>
  <c r="B18" i="136"/>
  <c r="B19" i="136"/>
  <c r="B20" i="136"/>
  <c r="B21" i="136"/>
  <c r="B22" i="136"/>
  <c r="B23" i="136"/>
  <c r="B24" i="136"/>
  <c r="B25" i="136"/>
  <c r="B26" i="136"/>
  <c r="B27" i="136"/>
  <c r="B28" i="136"/>
  <c r="B29" i="136"/>
  <c r="B30" i="136"/>
  <c r="B31" i="136"/>
  <c r="B32" i="136"/>
  <c r="B33" i="136"/>
  <c r="B34" i="136"/>
  <c r="B6" i="136"/>
  <c r="I8" i="127"/>
  <c r="P8" i="127"/>
  <c r="Q8" i="127"/>
  <c r="R8" i="127"/>
  <c r="S8" i="127" s="1"/>
  <c r="T8" i="127"/>
  <c r="U8" i="127"/>
  <c r="V8" i="127"/>
  <c r="W8" i="127"/>
  <c r="X8" i="127"/>
  <c r="AC8" i="127"/>
  <c r="AD8" i="127"/>
  <c r="I9" i="127"/>
  <c r="P9" i="127"/>
  <c r="Q9" i="127"/>
  <c r="R9" i="127"/>
  <c r="S9" i="127" s="1"/>
  <c r="T9" i="127"/>
  <c r="U9" i="127"/>
  <c r="V9" i="127"/>
  <c r="W9" i="127"/>
  <c r="X9" i="127"/>
  <c r="AC9" i="127"/>
  <c r="AD9" i="127"/>
  <c r="I10" i="127"/>
  <c r="P10" i="127"/>
  <c r="Q10" i="127"/>
  <c r="R10" i="127"/>
  <c r="S10" i="127" s="1"/>
  <c r="T10" i="127"/>
  <c r="U10" i="127"/>
  <c r="V10" i="127"/>
  <c r="W10" i="127"/>
  <c r="X10" i="127"/>
  <c r="AC10" i="127"/>
  <c r="AD10" i="127"/>
  <c r="I11" i="127"/>
  <c r="P11" i="127"/>
  <c r="Q11" i="127"/>
  <c r="R11" i="127"/>
  <c r="S11" i="127" s="1"/>
  <c r="T11" i="127"/>
  <c r="U11" i="127"/>
  <c r="V11" i="127"/>
  <c r="W11" i="127"/>
  <c r="X11" i="127"/>
  <c r="AC11" i="127"/>
  <c r="AD11" i="127"/>
  <c r="I12" i="127"/>
  <c r="P12" i="127"/>
  <c r="Q12" i="127"/>
  <c r="R12" i="127"/>
  <c r="S12" i="127" s="1"/>
  <c r="T12" i="127"/>
  <c r="U12" i="127"/>
  <c r="V12" i="127"/>
  <c r="W12" i="127"/>
  <c r="X12" i="127"/>
  <c r="AC12" i="127"/>
  <c r="AD12" i="127"/>
  <c r="I13" i="127"/>
  <c r="P13" i="127"/>
  <c r="Q13" i="127"/>
  <c r="R13" i="127"/>
  <c r="S13" i="127" s="1"/>
  <c r="T13" i="127"/>
  <c r="U13" i="127"/>
  <c r="V13" i="127"/>
  <c r="W13" i="127"/>
  <c r="X13" i="127"/>
  <c r="AC13" i="127"/>
  <c r="AD13" i="127"/>
  <c r="I14" i="127"/>
  <c r="P14" i="127"/>
  <c r="Q14" i="127"/>
  <c r="R14" i="127"/>
  <c r="S14" i="127" s="1"/>
  <c r="T14" i="127"/>
  <c r="U14" i="127"/>
  <c r="V14" i="127"/>
  <c r="W14" i="127"/>
  <c r="X14" i="127"/>
  <c r="AC14" i="127"/>
  <c r="AD14" i="127"/>
  <c r="I15" i="127"/>
  <c r="P15" i="127"/>
  <c r="Q15" i="127"/>
  <c r="R15" i="127"/>
  <c r="S15" i="127" s="1"/>
  <c r="T15" i="127"/>
  <c r="U15" i="127"/>
  <c r="V15" i="127"/>
  <c r="W15" i="127"/>
  <c r="X15" i="127"/>
  <c r="AC15" i="127"/>
  <c r="AD15" i="127"/>
  <c r="I16" i="127"/>
  <c r="P16" i="127"/>
  <c r="Q16" i="127"/>
  <c r="R16" i="127"/>
  <c r="S16" i="127" s="1"/>
  <c r="T16" i="127"/>
  <c r="U16" i="127"/>
  <c r="V16" i="127"/>
  <c r="W16" i="127"/>
  <c r="X16" i="127"/>
  <c r="AC16" i="127"/>
  <c r="AD16" i="127"/>
  <c r="I17" i="127"/>
  <c r="P17" i="127"/>
  <c r="Q17" i="127"/>
  <c r="R17" i="127"/>
  <c r="S17" i="127" s="1"/>
  <c r="T17" i="127"/>
  <c r="U17" i="127"/>
  <c r="V17" i="127"/>
  <c r="W17" i="127"/>
  <c r="X17" i="127"/>
  <c r="AC17" i="127"/>
  <c r="AD17" i="127"/>
  <c r="I18" i="127"/>
  <c r="P18" i="127"/>
  <c r="Q18" i="127"/>
  <c r="R18" i="127"/>
  <c r="S18" i="127" s="1"/>
  <c r="T18" i="127"/>
  <c r="U18" i="127"/>
  <c r="V18" i="127"/>
  <c r="W18" i="127"/>
  <c r="X18" i="127"/>
  <c r="AC18" i="127"/>
  <c r="AD18" i="127"/>
  <c r="I19" i="127"/>
  <c r="P19" i="127"/>
  <c r="Q19" i="127"/>
  <c r="R19" i="127"/>
  <c r="S19" i="127" s="1"/>
  <c r="T19" i="127"/>
  <c r="U19" i="127"/>
  <c r="V19" i="127"/>
  <c r="W19" i="127"/>
  <c r="X19" i="127"/>
  <c r="AC19" i="127"/>
  <c r="AD19" i="127"/>
  <c r="I20" i="127"/>
  <c r="P20" i="127"/>
  <c r="Q20" i="127"/>
  <c r="R20" i="127"/>
  <c r="S20" i="127" s="1"/>
  <c r="T20" i="127"/>
  <c r="U20" i="127"/>
  <c r="V20" i="127"/>
  <c r="W20" i="127"/>
  <c r="X20" i="127"/>
  <c r="AC20" i="127"/>
  <c r="AD20" i="127"/>
  <c r="I21" i="127"/>
  <c r="P21" i="127"/>
  <c r="Q21" i="127"/>
  <c r="R21" i="127"/>
  <c r="S21" i="127" s="1"/>
  <c r="T21" i="127"/>
  <c r="U21" i="127"/>
  <c r="V21" i="127"/>
  <c r="W21" i="127"/>
  <c r="X21" i="127"/>
  <c r="AC21" i="127"/>
  <c r="AD21" i="127"/>
  <c r="I22" i="127"/>
  <c r="P22" i="127"/>
  <c r="Q22" i="127"/>
  <c r="R22" i="127"/>
  <c r="S22" i="127" s="1"/>
  <c r="T22" i="127"/>
  <c r="U22" i="127"/>
  <c r="V22" i="127"/>
  <c r="W22" i="127"/>
  <c r="X22" i="127"/>
  <c r="AC22" i="127"/>
  <c r="AD22" i="127"/>
  <c r="I23" i="127"/>
  <c r="P23" i="127"/>
  <c r="Q23" i="127"/>
  <c r="R23" i="127"/>
  <c r="S23" i="127" s="1"/>
  <c r="T23" i="127"/>
  <c r="U23" i="127"/>
  <c r="V23" i="127"/>
  <c r="W23" i="127"/>
  <c r="X23" i="127"/>
  <c r="AC23" i="127"/>
  <c r="AD23" i="127"/>
  <c r="I24" i="127"/>
  <c r="P24" i="127"/>
  <c r="Q24" i="127"/>
  <c r="R24" i="127"/>
  <c r="S24" i="127" s="1"/>
  <c r="T24" i="127"/>
  <c r="U24" i="127"/>
  <c r="V24" i="127"/>
  <c r="W24" i="127"/>
  <c r="X24" i="127"/>
  <c r="AC24" i="127"/>
  <c r="AD24" i="127"/>
  <c r="I25" i="127"/>
  <c r="P25" i="127"/>
  <c r="Q25" i="127"/>
  <c r="R25" i="127"/>
  <c r="S25" i="127" s="1"/>
  <c r="T25" i="127"/>
  <c r="U25" i="127"/>
  <c r="V25" i="127"/>
  <c r="W25" i="127"/>
  <c r="X25" i="127"/>
  <c r="AC25" i="127"/>
  <c r="AD25" i="127"/>
  <c r="I26" i="127"/>
  <c r="P26" i="127"/>
  <c r="Q26" i="127"/>
  <c r="R26" i="127"/>
  <c r="S26" i="127" s="1"/>
  <c r="T26" i="127"/>
  <c r="U26" i="127"/>
  <c r="V26" i="127"/>
  <c r="W26" i="127"/>
  <c r="X26" i="127"/>
  <c r="AC26" i="127"/>
  <c r="AD26" i="127"/>
  <c r="I27" i="127"/>
  <c r="J27" i="127"/>
  <c r="K27" i="127" s="1"/>
  <c r="O27" i="127"/>
  <c r="P27" i="127"/>
  <c r="Q27" i="127"/>
  <c r="R27" i="127"/>
  <c r="S27" i="127" s="1"/>
  <c r="T27" i="127"/>
  <c r="U27" i="127"/>
  <c r="V27" i="127"/>
  <c r="W27" i="127"/>
  <c r="X27" i="127"/>
  <c r="AA27" i="127"/>
  <c r="AB27" i="127"/>
  <c r="AC27" i="127"/>
  <c r="AD27" i="127"/>
  <c r="I28" i="127"/>
  <c r="P28" i="127"/>
  <c r="Q28" i="127"/>
  <c r="R28" i="127"/>
  <c r="S28" i="127" s="1"/>
  <c r="T28" i="127"/>
  <c r="U28" i="127"/>
  <c r="V28" i="127"/>
  <c r="W28" i="127"/>
  <c r="X28" i="127"/>
  <c r="AC28" i="127"/>
  <c r="AD28" i="127"/>
  <c r="I29" i="127"/>
  <c r="J29" i="127"/>
  <c r="K29" i="127" s="1"/>
  <c r="O29" i="127"/>
  <c r="P29" i="127"/>
  <c r="Q29" i="127"/>
  <c r="R29" i="127"/>
  <c r="S29" i="127" s="1"/>
  <c r="T29" i="127"/>
  <c r="U29" i="127"/>
  <c r="V29" i="127"/>
  <c r="W29" i="127"/>
  <c r="X29" i="127"/>
  <c r="AA29" i="127"/>
  <c r="AB29" i="127"/>
  <c r="AC29" i="127"/>
  <c r="AD29" i="127"/>
  <c r="I30" i="127"/>
  <c r="P30" i="127"/>
  <c r="Q30" i="127"/>
  <c r="R30" i="127"/>
  <c r="S30" i="127" s="1"/>
  <c r="T30" i="127"/>
  <c r="U30" i="127"/>
  <c r="V30" i="127"/>
  <c r="W30" i="127"/>
  <c r="X30" i="127"/>
  <c r="AC30" i="127"/>
  <c r="AD30" i="127"/>
  <c r="I31" i="127"/>
  <c r="P31" i="127"/>
  <c r="Q31" i="127"/>
  <c r="R31" i="127"/>
  <c r="S31" i="127" s="1"/>
  <c r="T31" i="127"/>
  <c r="U31" i="127"/>
  <c r="V31" i="127"/>
  <c r="W31" i="127"/>
  <c r="X31" i="127"/>
  <c r="AC31" i="127"/>
  <c r="AD31" i="127"/>
  <c r="I32" i="127"/>
  <c r="P32" i="127"/>
  <c r="Q32" i="127"/>
  <c r="R32" i="127"/>
  <c r="S32" i="127" s="1"/>
  <c r="T32" i="127"/>
  <c r="U32" i="127"/>
  <c r="V32" i="127"/>
  <c r="W32" i="127"/>
  <c r="X32" i="127"/>
  <c r="AC32" i="127"/>
  <c r="AD32" i="127"/>
  <c r="I33" i="127"/>
  <c r="J33" i="127"/>
  <c r="K33" i="127" s="1"/>
  <c r="O33" i="127"/>
  <c r="P33" i="127"/>
  <c r="Q33" i="127"/>
  <c r="R33" i="127"/>
  <c r="S33" i="127" s="1"/>
  <c r="T33" i="127"/>
  <c r="U33" i="127"/>
  <c r="V33" i="127"/>
  <c r="W33" i="127"/>
  <c r="X33" i="127"/>
  <c r="AA33" i="127"/>
  <c r="AB33" i="127"/>
  <c r="AC33" i="127"/>
  <c r="AD33" i="127"/>
  <c r="I34" i="127"/>
  <c r="J34" i="127"/>
  <c r="K34" i="127" s="1"/>
  <c r="O34" i="127"/>
  <c r="P34" i="127"/>
  <c r="Q34" i="127"/>
  <c r="R34" i="127"/>
  <c r="S34" i="127" s="1"/>
  <c r="T34" i="127"/>
  <c r="U34" i="127"/>
  <c r="V34" i="127"/>
  <c r="W34" i="127"/>
  <c r="X34" i="127"/>
  <c r="AA34" i="127"/>
  <c r="AB34" i="127"/>
  <c r="AC34" i="127"/>
  <c r="AD34" i="127"/>
  <c r="I35" i="127"/>
  <c r="P35" i="127"/>
  <c r="Q35" i="127"/>
  <c r="R35" i="127"/>
  <c r="S35" i="127" s="1"/>
  <c r="T35" i="127"/>
  <c r="U35" i="127"/>
  <c r="V35" i="127"/>
  <c r="W35" i="127"/>
  <c r="X35" i="127"/>
  <c r="AC35" i="127"/>
  <c r="AD35" i="127"/>
  <c r="I36" i="127"/>
  <c r="P36" i="127"/>
  <c r="Q36" i="127"/>
  <c r="R36" i="127"/>
  <c r="S36" i="127" s="1"/>
  <c r="T36" i="127"/>
  <c r="U36" i="127"/>
  <c r="V36" i="127"/>
  <c r="W36" i="127"/>
  <c r="X36" i="127"/>
  <c r="AC36" i="127"/>
  <c r="AD36" i="127"/>
  <c r="M34" i="127" l="1"/>
  <c r="L34" i="127"/>
  <c r="N34" i="127"/>
  <c r="N33" i="127"/>
  <c r="N29" i="127"/>
  <c r="N27" i="127"/>
  <c r="M33" i="127"/>
  <c r="M29" i="127"/>
  <c r="M27" i="127"/>
  <c r="L33" i="127"/>
  <c r="L29" i="127"/>
  <c r="L27" i="127"/>
  <c r="C7" i="127" l="1"/>
  <c r="C8" i="127"/>
  <c r="C9" i="127"/>
  <c r="C10" i="127"/>
  <c r="C11" i="127"/>
  <c r="C12" i="127"/>
  <c r="C13" i="127"/>
  <c r="C14" i="127"/>
  <c r="C15" i="127"/>
  <c r="C16" i="127"/>
  <c r="C17" i="127"/>
  <c r="C18" i="127"/>
  <c r="C19" i="127"/>
  <c r="C20" i="127"/>
  <c r="C21" i="127"/>
  <c r="C22" i="127"/>
  <c r="C23" i="127"/>
  <c r="C24" i="127"/>
  <c r="C25" i="127"/>
  <c r="C26" i="127"/>
  <c r="C27" i="127"/>
  <c r="C28" i="127"/>
  <c r="C29" i="127"/>
  <c r="C30" i="127"/>
  <c r="C31" i="127"/>
  <c r="C32" i="127"/>
  <c r="C33" i="127"/>
  <c r="C34" i="127"/>
  <c r="C35" i="127"/>
  <c r="C36" i="127"/>
  <c r="C6" i="127"/>
  <c r="B7" i="127"/>
  <c r="B8" i="127"/>
  <c r="B9" i="127"/>
  <c r="B10" i="127"/>
  <c r="B11" i="127"/>
  <c r="B12" i="127"/>
  <c r="B13" i="127"/>
  <c r="B14" i="127"/>
  <c r="B15" i="127"/>
  <c r="B16" i="127"/>
  <c r="B17" i="127"/>
  <c r="B18" i="127"/>
  <c r="B19" i="127"/>
  <c r="B20" i="127"/>
  <c r="B21" i="127"/>
  <c r="B22" i="127"/>
  <c r="B23" i="127"/>
  <c r="B24" i="127"/>
  <c r="B25" i="127"/>
  <c r="B26" i="127"/>
  <c r="B27" i="127"/>
  <c r="B28" i="127"/>
  <c r="B29" i="127"/>
  <c r="B30" i="127"/>
  <c r="B31" i="127"/>
  <c r="B32" i="127"/>
  <c r="B33" i="127"/>
  <c r="B34" i="127"/>
  <c r="B35" i="127"/>
  <c r="B36" i="127"/>
  <c r="B6" i="127"/>
  <c r="D7" i="127" l="1"/>
  <c r="F7" i="127" s="1"/>
  <c r="D8" i="127"/>
  <c r="D9" i="127"/>
  <c r="D10" i="127"/>
  <c r="D11" i="127"/>
  <c r="D12" i="127"/>
  <c r="D13" i="127"/>
  <c r="D14" i="127"/>
  <c r="D15" i="127"/>
  <c r="D16" i="127"/>
  <c r="D17" i="127"/>
  <c r="D18" i="127"/>
  <c r="D19" i="127"/>
  <c r="D20" i="127"/>
  <c r="D21" i="127"/>
  <c r="D22" i="127"/>
  <c r="D23" i="127"/>
  <c r="D24" i="127"/>
  <c r="D25" i="127"/>
  <c r="D26" i="127"/>
  <c r="D27" i="127"/>
  <c r="F27" i="127" s="1"/>
  <c r="D28" i="127"/>
  <c r="D29" i="127"/>
  <c r="F29" i="127" s="1"/>
  <c r="D31" i="127"/>
  <c r="D32" i="127"/>
  <c r="D33" i="127"/>
  <c r="F33" i="127" s="1"/>
  <c r="D34" i="127"/>
  <c r="F34" i="127" s="1"/>
  <c r="D35" i="127"/>
  <c r="D36" i="127"/>
  <c r="D6" i="127" l="1"/>
  <c r="F6" i="127" s="1"/>
  <c r="D30" i="127"/>
  <c r="C42" i="136"/>
  <c r="AJ32" i="136"/>
  <c r="AI32" i="136"/>
  <c r="AH32" i="136"/>
  <c r="AG32" i="136"/>
  <c r="AF32" i="136"/>
  <c r="AE32" i="136"/>
  <c r="AD32" i="136"/>
  <c r="AC32" i="136"/>
  <c r="Y32" i="136"/>
  <c r="X32" i="136"/>
  <c r="W32" i="136"/>
  <c r="V32" i="136"/>
  <c r="U32" i="136"/>
  <c r="T32" i="136"/>
  <c r="S32" i="136"/>
  <c r="R32" i="136"/>
  <c r="Q32" i="136"/>
  <c r="P32" i="136"/>
  <c r="I32" i="136"/>
  <c r="AJ31" i="136"/>
  <c r="AI31" i="136"/>
  <c r="AH31" i="136"/>
  <c r="AG31" i="136"/>
  <c r="AF31" i="136"/>
  <c r="AE31" i="136"/>
  <c r="AD31" i="136"/>
  <c r="AC31" i="136"/>
  <c r="Y31" i="136"/>
  <c r="X31" i="136"/>
  <c r="W31" i="136"/>
  <c r="V31" i="136"/>
  <c r="U31" i="136"/>
  <c r="T31" i="136"/>
  <c r="S31" i="136"/>
  <c r="R31" i="136"/>
  <c r="Q31" i="136"/>
  <c r="P31" i="136"/>
  <c r="I31" i="136"/>
  <c r="AJ30" i="136"/>
  <c r="AI30" i="136"/>
  <c r="AH30" i="136"/>
  <c r="AG30" i="136"/>
  <c r="AF30" i="136"/>
  <c r="AE30" i="136"/>
  <c r="AD30" i="136"/>
  <c r="AC30" i="136"/>
  <c r="Y30" i="136"/>
  <c r="X30" i="136"/>
  <c r="W30" i="136"/>
  <c r="V30" i="136"/>
  <c r="U30" i="136"/>
  <c r="T30" i="136"/>
  <c r="S30" i="136"/>
  <c r="R30" i="136"/>
  <c r="Q30" i="136"/>
  <c r="P30" i="136"/>
  <c r="I30" i="136"/>
  <c r="AJ28" i="136"/>
  <c r="AI28" i="136"/>
  <c r="AH28" i="136"/>
  <c r="AG28" i="136"/>
  <c r="AF28" i="136"/>
  <c r="AE28" i="136"/>
  <c r="AD28" i="136"/>
  <c r="AC28" i="136"/>
  <c r="Y28" i="136"/>
  <c r="X28" i="136"/>
  <c r="W28" i="136"/>
  <c r="V28" i="136"/>
  <c r="U28" i="136"/>
  <c r="T28" i="136"/>
  <c r="S28" i="136"/>
  <c r="R28" i="136"/>
  <c r="Q28" i="136"/>
  <c r="P28" i="136"/>
  <c r="I28" i="136"/>
  <c r="AJ26" i="136"/>
  <c r="AI26" i="136"/>
  <c r="AH26" i="136"/>
  <c r="AG26" i="136"/>
  <c r="AF26" i="136"/>
  <c r="AE26" i="136"/>
  <c r="AD26" i="136"/>
  <c r="AC26" i="136"/>
  <c r="Y26" i="136"/>
  <c r="X26" i="136"/>
  <c r="W26" i="136"/>
  <c r="V26" i="136"/>
  <c r="U26" i="136"/>
  <c r="T26" i="136"/>
  <c r="S26" i="136"/>
  <c r="R26" i="136"/>
  <c r="Q26" i="136"/>
  <c r="P26" i="136"/>
  <c r="I26" i="136"/>
  <c r="AJ25" i="136"/>
  <c r="AI25" i="136"/>
  <c r="AH25" i="136"/>
  <c r="AG25" i="136"/>
  <c r="AF25" i="136"/>
  <c r="AE25" i="136"/>
  <c r="AD25" i="136"/>
  <c r="AC25" i="136"/>
  <c r="Y25" i="136"/>
  <c r="X25" i="136"/>
  <c r="W25" i="136"/>
  <c r="V25" i="136"/>
  <c r="U25" i="136"/>
  <c r="T25" i="136"/>
  <c r="S25" i="136"/>
  <c r="R25" i="136"/>
  <c r="Q25" i="136"/>
  <c r="P25" i="136"/>
  <c r="I25" i="136"/>
  <c r="AJ24" i="136"/>
  <c r="AI24" i="136"/>
  <c r="AH24" i="136"/>
  <c r="AG24" i="136"/>
  <c r="AF24" i="136"/>
  <c r="AE24" i="136"/>
  <c r="AD24" i="136"/>
  <c r="AC24" i="136"/>
  <c r="Y24" i="136"/>
  <c r="X24" i="136"/>
  <c r="W24" i="136"/>
  <c r="V24" i="136"/>
  <c r="U24" i="136"/>
  <c r="T24" i="136"/>
  <c r="S24" i="136"/>
  <c r="R24" i="136"/>
  <c r="Q24" i="136"/>
  <c r="P24" i="136"/>
  <c r="I24" i="136"/>
  <c r="AJ23" i="136"/>
  <c r="AI23" i="136"/>
  <c r="AH23" i="136"/>
  <c r="AG23" i="136"/>
  <c r="AF23" i="136"/>
  <c r="AE23" i="136"/>
  <c r="AD23" i="136"/>
  <c r="AC23" i="136"/>
  <c r="Y23" i="136"/>
  <c r="X23" i="136"/>
  <c r="W23" i="136"/>
  <c r="V23" i="136"/>
  <c r="U23" i="136"/>
  <c r="T23" i="136"/>
  <c r="S23" i="136"/>
  <c r="R23" i="136"/>
  <c r="Q23" i="136"/>
  <c r="P23" i="136"/>
  <c r="I23" i="136"/>
  <c r="AJ22" i="136"/>
  <c r="AI22" i="136"/>
  <c r="AH22" i="136"/>
  <c r="AG22" i="136"/>
  <c r="AF22" i="136"/>
  <c r="AE22" i="136"/>
  <c r="AD22" i="136"/>
  <c r="AC22" i="136"/>
  <c r="Y22" i="136"/>
  <c r="X22" i="136"/>
  <c r="W22" i="136"/>
  <c r="V22" i="136"/>
  <c r="U22" i="136"/>
  <c r="T22" i="136"/>
  <c r="S22" i="136"/>
  <c r="R22" i="136"/>
  <c r="Q22" i="136"/>
  <c r="P22" i="136"/>
  <c r="I22" i="136"/>
  <c r="AJ21" i="136"/>
  <c r="AI21" i="136"/>
  <c r="AH21" i="136"/>
  <c r="AG21" i="136"/>
  <c r="AF21" i="136"/>
  <c r="AE21" i="136"/>
  <c r="AD21" i="136"/>
  <c r="AC21" i="136"/>
  <c r="Y21" i="136"/>
  <c r="X21" i="136"/>
  <c r="W21" i="136"/>
  <c r="V21" i="136"/>
  <c r="U21" i="136"/>
  <c r="T21" i="136"/>
  <c r="S21" i="136"/>
  <c r="R21" i="136"/>
  <c r="Q21" i="136"/>
  <c r="P21" i="136"/>
  <c r="I21" i="136"/>
  <c r="AJ20" i="136"/>
  <c r="AI20" i="136"/>
  <c r="AH20" i="136"/>
  <c r="AG20" i="136"/>
  <c r="AF20" i="136"/>
  <c r="AE20" i="136"/>
  <c r="AD20" i="136"/>
  <c r="AC20" i="136"/>
  <c r="Y20" i="136"/>
  <c r="X20" i="136"/>
  <c r="W20" i="136"/>
  <c r="V20" i="136"/>
  <c r="U20" i="136"/>
  <c r="T20" i="136"/>
  <c r="S20" i="136"/>
  <c r="R20" i="136"/>
  <c r="Q20" i="136"/>
  <c r="P20" i="136"/>
  <c r="I20" i="136"/>
  <c r="AJ19" i="136"/>
  <c r="AI19" i="136"/>
  <c r="AH19" i="136"/>
  <c r="AG19" i="136"/>
  <c r="AF19" i="136"/>
  <c r="AE19" i="136"/>
  <c r="AD19" i="136"/>
  <c r="AC19" i="136"/>
  <c r="Y19" i="136"/>
  <c r="X19" i="136"/>
  <c r="W19" i="136"/>
  <c r="V19" i="136"/>
  <c r="U19" i="136"/>
  <c r="T19" i="136"/>
  <c r="S19" i="136"/>
  <c r="R19" i="136"/>
  <c r="Q19" i="136"/>
  <c r="P19" i="136"/>
  <c r="I19" i="136"/>
  <c r="AJ18" i="136"/>
  <c r="AI18" i="136"/>
  <c r="AH18" i="136"/>
  <c r="AG18" i="136"/>
  <c r="AF18" i="136"/>
  <c r="AE18" i="136"/>
  <c r="AD18" i="136"/>
  <c r="AC18" i="136"/>
  <c r="Y18" i="136"/>
  <c r="X18" i="136"/>
  <c r="W18" i="136"/>
  <c r="V18" i="136"/>
  <c r="U18" i="136"/>
  <c r="T18" i="136"/>
  <c r="S18" i="136"/>
  <c r="R18" i="136"/>
  <c r="Q18" i="136"/>
  <c r="P18" i="136"/>
  <c r="I18" i="136"/>
  <c r="AJ17" i="136"/>
  <c r="AI17" i="136"/>
  <c r="AH17" i="136"/>
  <c r="AG17" i="136"/>
  <c r="AF17" i="136"/>
  <c r="AE17" i="136"/>
  <c r="AD17" i="136"/>
  <c r="AC17" i="136"/>
  <c r="Y17" i="136"/>
  <c r="X17" i="136"/>
  <c r="W17" i="136"/>
  <c r="V17" i="136"/>
  <c r="U17" i="136"/>
  <c r="T17" i="136"/>
  <c r="S17" i="136"/>
  <c r="R17" i="136"/>
  <c r="Q17" i="136"/>
  <c r="P17" i="136"/>
  <c r="I17" i="136"/>
  <c r="AJ16" i="136"/>
  <c r="AI16" i="136"/>
  <c r="AH16" i="136"/>
  <c r="AG16" i="136"/>
  <c r="AF16" i="136"/>
  <c r="AE16" i="136"/>
  <c r="AD16" i="136"/>
  <c r="AC16" i="136"/>
  <c r="Y16" i="136"/>
  <c r="X16" i="136"/>
  <c r="W16" i="136"/>
  <c r="V16" i="136"/>
  <c r="U16" i="136"/>
  <c r="T16" i="136"/>
  <c r="S16" i="136"/>
  <c r="R16" i="136"/>
  <c r="Q16" i="136"/>
  <c r="P16" i="136"/>
  <c r="I16" i="136"/>
  <c r="AJ15" i="136"/>
  <c r="AI15" i="136"/>
  <c r="AH15" i="136"/>
  <c r="AG15" i="136"/>
  <c r="AF15" i="136"/>
  <c r="AE15" i="136"/>
  <c r="AD15" i="136"/>
  <c r="AC15" i="136"/>
  <c r="Y15" i="136"/>
  <c r="X15" i="136"/>
  <c r="W15" i="136"/>
  <c r="V15" i="136"/>
  <c r="U15" i="136"/>
  <c r="T15" i="136"/>
  <c r="S15" i="136"/>
  <c r="R15" i="136"/>
  <c r="Q15" i="136"/>
  <c r="P15" i="136"/>
  <c r="I15" i="136"/>
  <c r="AJ14" i="136"/>
  <c r="AI14" i="136"/>
  <c r="AH14" i="136"/>
  <c r="AG14" i="136"/>
  <c r="AF14" i="136"/>
  <c r="AE14" i="136"/>
  <c r="AD14" i="136"/>
  <c r="AC14" i="136"/>
  <c r="Y14" i="136"/>
  <c r="X14" i="136"/>
  <c r="W14" i="136"/>
  <c r="V14" i="136"/>
  <c r="U14" i="136"/>
  <c r="T14" i="136"/>
  <c r="S14" i="136"/>
  <c r="R14" i="136"/>
  <c r="Q14" i="136"/>
  <c r="P14" i="136"/>
  <c r="I14" i="136"/>
  <c r="AJ13" i="136"/>
  <c r="AI13" i="136"/>
  <c r="AH13" i="136"/>
  <c r="AG13" i="136"/>
  <c r="AF13" i="136"/>
  <c r="AE13" i="136"/>
  <c r="AD13" i="136"/>
  <c r="AC13" i="136"/>
  <c r="Y13" i="136"/>
  <c r="X13" i="136"/>
  <c r="W13" i="136"/>
  <c r="V13" i="136"/>
  <c r="U13" i="136"/>
  <c r="T13" i="136"/>
  <c r="S13" i="136"/>
  <c r="R13" i="136"/>
  <c r="Q13" i="136"/>
  <c r="P13" i="136"/>
  <c r="I13" i="136"/>
  <c r="AJ12" i="136"/>
  <c r="AI12" i="136"/>
  <c r="AH12" i="136"/>
  <c r="AG12" i="136"/>
  <c r="AF12" i="136"/>
  <c r="AE12" i="136"/>
  <c r="AD12" i="136"/>
  <c r="AC12" i="136"/>
  <c r="Y12" i="136"/>
  <c r="X12" i="136"/>
  <c r="W12" i="136"/>
  <c r="V12" i="136"/>
  <c r="U12" i="136"/>
  <c r="T12" i="136"/>
  <c r="S12" i="136"/>
  <c r="R12" i="136"/>
  <c r="Q12" i="136"/>
  <c r="P12" i="136"/>
  <c r="I12" i="136"/>
  <c r="AJ11" i="136"/>
  <c r="AI11" i="136"/>
  <c r="AH11" i="136"/>
  <c r="AG11" i="136"/>
  <c r="AF11" i="136"/>
  <c r="AE11" i="136"/>
  <c r="AD11" i="136"/>
  <c r="AC11" i="136"/>
  <c r="Y11" i="136"/>
  <c r="X11" i="136"/>
  <c r="W11" i="136"/>
  <c r="V11" i="136"/>
  <c r="U11" i="136"/>
  <c r="T11" i="136"/>
  <c r="S11" i="136"/>
  <c r="R11" i="136"/>
  <c r="Q11" i="136"/>
  <c r="P11" i="136"/>
  <c r="I11" i="136"/>
  <c r="AJ10" i="136"/>
  <c r="AI10" i="136"/>
  <c r="AH10" i="136"/>
  <c r="AG10" i="136"/>
  <c r="AF10" i="136"/>
  <c r="AE10" i="136"/>
  <c r="AD10" i="136"/>
  <c r="AC10" i="136"/>
  <c r="Y10" i="136"/>
  <c r="X10" i="136"/>
  <c r="W10" i="136"/>
  <c r="V10" i="136"/>
  <c r="U10" i="136"/>
  <c r="T10" i="136"/>
  <c r="S10" i="136"/>
  <c r="R10" i="136"/>
  <c r="Q10" i="136"/>
  <c r="P10" i="136"/>
  <c r="I10" i="136"/>
  <c r="AJ9" i="136"/>
  <c r="AI9" i="136"/>
  <c r="AH9" i="136"/>
  <c r="AG9" i="136"/>
  <c r="AF9" i="136"/>
  <c r="AE9" i="136"/>
  <c r="AD9" i="136"/>
  <c r="AC9" i="136"/>
  <c r="Y9" i="136"/>
  <c r="X9" i="136"/>
  <c r="W9" i="136"/>
  <c r="V9" i="136"/>
  <c r="U9" i="136"/>
  <c r="T9" i="136"/>
  <c r="S9" i="136"/>
  <c r="R9" i="136"/>
  <c r="Q9" i="136"/>
  <c r="P9" i="136"/>
  <c r="I9" i="136"/>
  <c r="AJ8" i="136"/>
  <c r="AI8" i="136"/>
  <c r="AH8" i="136"/>
  <c r="AG8" i="136"/>
  <c r="AF8" i="136"/>
  <c r="AE8" i="136"/>
  <c r="AD8" i="136"/>
  <c r="AC8" i="136"/>
  <c r="Y8" i="136"/>
  <c r="X8" i="136"/>
  <c r="W8" i="136"/>
  <c r="V8" i="136"/>
  <c r="U8" i="136"/>
  <c r="T8" i="136"/>
  <c r="S8" i="136"/>
  <c r="R8" i="136"/>
  <c r="Q8" i="136"/>
  <c r="P8" i="136"/>
  <c r="I8" i="136"/>
  <c r="AJ6" i="136"/>
  <c r="AI6" i="136"/>
  <c r="AH6" i="136"/>
  <c r="AG6" i="136"/>
  <c r="AF6" i="136"/>
  <c r="AE6" i="136"/>
  <c r="AE39" i="136" l="1"/>
  <c r="AI39" i="136"/>
  <c r="Q39" i="136"/>
  <c r="U39" i="136"/>
  <c r="Y39" i="136"/>
  <c r="AF39" i="136"/>
  <c r="AC39" i="136"/>
  <c r="AG39" i="136"/>
  <c r="W39" i="136"/>
  <c r="AD39" i="136"/>
  <c r="AJ39" i="136"/>
  <c r="V39" i="136"/>
  <c r="I39" i="136"/>
  <c r="AH39" i="136"/>
  <c r="P39" i="136"/>
  <c r="T39" i="136"/>
  <c r="X39" i="136"/>
  <c r="R39" i="136"/>
  <c r="S39" i="136"/>
  <c r="G47" i="135" l="1"/>
  <c r="F47" i="135"/>
  <c r="C47" i="135"/>
  <c r="B47" i="135"/>
  <c r="C46" i="135"/>
  <c r="B46" i="135"/>
  <c r="H45" i="135"/>
  <c r="I45" i="135" s="1"/>
  <c r="C45" i="135"/>
  <c r="B45" i="135"/>
  <c r="H44" i="135"/>
  <c r="I44" i="135" s="1"/>
  <c r="C44" i="135"/>
  <c r="B44" i="135"/>
  <c r="H43" i="135"/>
  <c r="C43" i="135"/>
  <c r="B43" i="135"/>
  <c r="H42" i="135"/>
  <c r="H41" i="135"/>
  <c r="W38" i="135"/>
  <c r="U38" i="135"/>
  <c r="T38" i="135"/>
  <c r="N38" i="135"/>
  <c r="M38" i="135"/>
  <c r="L38" i="135"/>
  <c r="J38" i="135"/>
  <c r="I38" i="135"/>
  <c r="O36" i="135"/>
  <c r="D36" i="135"/>
  <c r="C36" i="135"/>
  <c r="B36" i="135"/>
  <c r="O35" i="135"/>
  <c r="D35" i="135"/>
  <c r="C35" i="135"/>
  <c r="B35" i="135"/>
  <c r="O34" i="135"/>
  <c r="D34" i="135"/>
  <c r="C34" i="135"/>
  <c r="B34" i="135"/>
  <c r="O33" i="135"/>
  <c r="D33" i="135"/>
  <c r="C33" i="135"/>
  <c r="B33" i="135"/>
  <c r="O32" i="135"/>
  <c r="D32" i="135"/>
  <c r="C32" i="135"/>
  <c r="B32" i="135"/>
  <c r="O31" i="135"/>
  <c r="D31" i="135"/>
  <c r="C31" i="135"/>
  <c r="B31" i="135"/>
  <c r="O30" i="135"/>
  <c r="D30" i="135"/>
  <c r="C30" i="135"/>
  <c r="B30" i="135"/>
  <c r="O29" i="135"/>
  <c r="D29" i="135"/>
  <c r="C29" i="135"/>
  <c r="B29" i="135"/>
  <c r="O28" i="135"/>
  <c r="D28" i="135"/>
  <c r="C28" i="135"/>
  <c r="B28" i="135"/>
  <c r="O27" i="135"/>
  <c r="D27" i="135"/>
  <c r="C27" i="135"/>
  <c r="B27" i="135"/>
  <c r="O26" i="135"/>
  <c r="D26" i="135"/>
  <c r="C26" i="135"/>
  <c r="B26" i="135"/>
  <c r="O25" i="135"/>
  <c r="D25" i="135"/>
  <c r="C25" i="135"/>
  <c r="B25" i="135"/>
  <c r="O24" i="135"/>
  <c r="D24" i="135"/>
  <c r="C24" i="135"/>
  <c r="B24" i="135"/>
  <c r="O23" i="135"/>
  <c r="D23" i="135"/>
  <c r="C23" i="135"/>
  <c r="B23" i="135"/>
  <c r="O22" i="135"/>
  <c r="D22" i="135"/>
  <c r="C22" i="135"/>
  <c r="B22" i="135"/>
  <c r="O21" i="135"/>
  <c r="D21" i="135"/>
  <c r="C21" i="135"/>
  <c r="B21" i="135"/>
  <c r="O20" i="135"/>
  <c r="D20" i="135"/>
  <c r="C20" i="135"/>
  <c r="B20" i="135"/>
  <c r="O19" i="135"/>
  <c r="D19" i="135"/>
  <c r="C19" i="135"/>
  <c r="B19" i="135"/>
  <c r="O18" i="135"/>
  <c r="D18" i="135"/>
  <c r="C18" i="135"/>
  <c r="B18" i="135"/>
  <c r="O17" i="135"/>
  <c r="D17" i="135"/>
  <c r="C17" i="135"/>
  <c r="B17" i="135"/>
  <c r="O16" i="135"/>
  <c r="D16" i="135"/>
  <c r="C16" i="135"/>
  <c r="B16" i="135"/>
  <c r="O15" i="135"/>
  <c r="D15" i="135"/>
  <c r="C15" i="135"/>
  <c r="B15" i="135"/>
  <c r="O14" i="135"/>
  <c r="D14" i="135"/>
  <c r="C14" i="135"/>
  <c r="B14" i="135"/>
  <c r="O13" i="135"/>
  <c r="D13" i="135"/>
  <c r="C13" i="135"/>
  <c r="B13" i="135"/>
  <c r="O12" i="135"/>
  <c r="D12" i="135"/>
  <c r="C12" i="135"/>
  <c r="B12" i="135"/>
  <c r="O11" i="135"/>
  <c r="D11" i="135"/>
  <c r="C11" i="135"/>
  <c r="B11" i="135"/>
  <c r="O10" i="135"/>
  <c r="D10" i="135"/>
  <c r="C10" i="135"/>
  <c r="B10" i="135"/>
  <c r="O9" i="135"/>
  <c r="D9" i="135"/>
  <c r="C9" i="135"/>
  <c r="B9" i="135"/>
  <c r="O8" i="135"/>
  <c r="D8" i="135"/>
  <c r="C8" i="135"/>
  <c r="B8" i="135"/>
  <c r="O7" i="135"/>
  <c r="D7" i="135"/>
  <c r="B7" i="135"/>
  <c r="R6" i="135"/>
  <c r="O6" i="135"/>
  <c r="H6" i="135"/>
  <c r="E6" i="135"/>
  <c r="D6" i="135"/>
  <c r="B6" i="135"/>
  <c r="H47" i="135" l="1"/>
  <c r="C49" i="135"/>
  <c r="D38" i="135"/>
  <c r="O38" i="135"/>
  <c r="B6" i="100" l="1"/>
  <c r="C10" i="100" s="1"/>
  <c r="Z40" i="127" l="1"/>
  <c r="Y40" i="127"/>
  <c r="D40" i="127"/>
  <c r="C40" i="127"/>
  <c r="AE6" i="127"/>
  <c r="AE40" i="127" s="1"/>
  <c r="C28" i="98"/>
  <c r="T40" i="127" l="1"/>
  <c r="X40" i="127"/>
  <c r="AD40" i="127"/>
  <c r="Q40" i="127"/>
  <c r="AC40" i="127"/>
  <c r="U40" i="127"/>
  <c r="W40" i="127"/>
  <c r="I40" i="127"/>
  <c r="P40" i="127"/>
  <c r="V40" i="127"/>
  <c r="H6" i="127"/>
  <c r="R40" i="127"/>
  <c r="E40" i="127"/>
  <c r="S40" i="127"/>
  <c r="C7" i="135" l="1"/>
  <c r="Q14" i="135" l="1"/>
  <c r="Q27" i="135"/>
  <c r="Q31" i="135"/>
  <c r="Q34" i="135"/>
  <c r="Q36" i="135" l="1"/>
  <c r="Q20" i="135"/>
  <c r="Q33" i="135"/>
  <c r="Q29" i="135"/>
  <c r="Q25" i="135"/>
  <c r="Q21" i="135"/>
  <c r="Q17" i="135"/>
  <c r="Q13" i="135"/>
  <c r="Q9" i="135"/>
  <c r="Q28" i="135"/>
  <c r="Q35" i="135"/>
  <c r="Q23" i="135"/>
  <c r="Q19" i="135"/>
  <c r="Q15" i="135"/>
  <c r="Q11" i="135"/>
  <c r="Q7" i="135"/>
  <c r="Q32" i="135"/>
  <c r="Q24" i="135"/>
  <c r="Q16" i="135"/>
  <c r="Q12" i="135"/>
  <c r="Q8" i="135"/>
  <c r="Q30" i="135"/>
  <c r="Q26" i="135"/>
  <c r="Q22" i="135"/>
  <c r="Q18" i="135"/>
  <c r="Q10" i="135"/>
  <c r="Q38" i="135" l="1"/>
  <c r="E14" i="135"/>
  <c r="F18" i="135"/>
  <c r="V18" i="135" s="1"/>
  <c r="F27" i="135" l="1"/>
  <c r="V27" i="135" s="1"/>
  <c r="E27" i="135"/>
  <c r="F8" i="135"/>
  <c r="V8" i="135" s="1"/>
  <c r="E8" i="135"/>
  <c r="F16" i="135"/>
  <c r="V16" i="135" s="1"/>
  <c r="E16" i="135"/>
  <c r="F24" i="135"/>
  <c r="V24" i="135" s="1"/>
  <c r="E24" i="135"/>
  <c r="F36" i="135"/>
  <c r="V36" i="135" s="1"/>
  <c r="E36" i="135"/>
  <c r="F13" i="135"/>
  <c r="V13" i="135" s="1"/>
  <c r="E13" i="135"/>
  <c r="F21" i="135"/>
  <c r="V21" i="135" s="1"/>
  <c r="E21" i="135"/>
  <c r="F31" i="135"/>
  <c r="V31" i="135" s="1"/>
  <c r="E31" i="135"/>
  <c r="E10" i="135"/>
  <c r="E18" i="135"/>
  <c r="F11" i="135"/>
  <c r="V11" i="135" s="1"/>
  <c r="E11" i="135"/>
  <c r="F19" i="135"/>
  <c r="V19" i="135" s="1"/>
  <c r="E19" i="135"/>
  <c r="F28" i="135"/>
  <c r="V28" i="135" s="1"/>
  <c r="E28" i="135"/>
  <c r="F35" i="135"/>
  <c r="V35" i="135" s="1"/>
  <c r="E35" i="135"/>
  <c r="E7" i="135"/>
  <c r="E30" i="135"/>
  <c r="E29" i="135"/>
  <c r="E25" i="135"/>
  <c r="E32" i="135"/>
  <c r="F26" i="135"/>
  <c r="V26" i="135" s="1"/>
  <c r="E26" i="135"/>
  <c r="F15" i="135"/>
  <c r="V15" i="135" s="1"/>
  <c r="E15" i="135"/>
  <c r="F23" i="135"/>
  <c r="V23" i="135" s="1"/>
  <c r="E23" i="135"/>
  <c r="E33" i="135"/>
  <c r="E22" i="135"/>
  <c r="F34" i="135"/>
  <c r="V34" i="135" s="1"/>
  <c r="E34" i="135"/>
  <c r="E12" i="135"/>
  <c r="E20" i="135"/>
  <c r="F9" i="135"/>
  <c r="V9" i="135" s="1"/>
  <c r="E9" i="135"/>
  <c r="E17" i="135"/>
  <c r="R35" i="135"/>
  <c r="R27" i="135"/>
  <c r="R21" i="135"/>
  <c r="R8" i="135"/>
  <c r="R24" i="135"/>
  <c r="R23" i="135"/>
  <c r="R22" i="135"/>
  <c r="R7" i="135"/>
  <c r="R31" i="135"/>
  <c r="R10" i="135"/>
  <c r="R34" i="135"/>
  <c r="R11" i="135"/>
  <c r="R17" i="135"/>
  <c r="R36" i="135"/>
  <c r="R20" i="135"/>
  <c r="R19" i="135"/>
  <c r="R18" i="135"/>
  <c r="R14" i="135"/>
  <c r="R26" i="135"/>
  <c r="R30" i="135"/>
  <c r="R9" i="135"/>
  <c r="R25" i="135"/>
  <c r="R12" i="135"/>
  <c r="R29" i="135"/>
  <c r="R28" i="135"/>
  <c r="R32" i="135"/>
  <c r="R13" i="135"/>
  <c r="R16" i="135"/>
  <c r="R15" i="135"/>
  <c r="R33" i="135"/>
  <c r="F22" i="135"/>
  <c r="V22" i="135" s="1"/>
  <c r="F14" i="135"/>
  <c r="V14" i="135" s="1"/>
  <c r="F33" i="135" l="1"/>
  <c r="V33" i="135" s="1"/>
  <c r="F29" i="135"/>
  <c r="V29" i="135" s="1"/>
  <c r="F17" i="135"/>
  <c r="V17" i="135" s="1"/>
  <c r="X19" i="135"/>
  <c r="F12" i="135"/>
  <c r="V12" i="135" s="1"/>
  <c r="F25" i="135"/>
  <c r="V25" i="135" s="1"/>
  <c r="E38" i="135"/>
  <c r="F30" i="135"/>
  <c r="V30" i="135" s="1"/>
  <c r="F32" i="135"/>
  <c r="V32" i="135" s="1"/>
  <c r="F20" i="135"/>
  <c r="V20" i="135" s="1"/>
  <c r="F10" i="135"/>
  <c r="V10" i="135" s="1"/>
  <c r="F7" i="135"/>
  <c r="X14" i="135"/>
  <c r="S14" i="135"/>
  <c r="R38" i="135"/>
  <c r="X27" i="135"/>
  <c r="S27" i="135"/>
  <c r="S34" i="135"/>
  <c r="X34" i="135"/>
  <c r="X31" i="135"/>
  <c r="S31" i="135"/>
  <c r="B6" i="98"/>
  <c r="D28" i="98" s="1"/>
  <c r="C12" i="97"/>
  <c r="D12" i="97" s="1"/>
  <c r="C11" i="95"/>
  <c r="D11" i="95" s="1"/>
  <c r="C11" i="96"/>
  <c r="D12" i="96" s="1"/>
  <c r="V7" i="135" l="1"/>
  <c r="D4" i="111" l="1"/>
  <c r="D5" i="111" s="1"/>
  <c r="D6" i="111" s="1"/>
  <c r="D7" i="111" s="1"/>
  <c r="D8" i="111" s="1"/>
  <c r="D9" i="111" s="1"/>
  <c r="B6" i="92" l="1"/>
  <c r="G16" i="93" l="1"/>
  <c r="D16" i="93"/>
  <c r="E18" i="93" l="1"/>
  <c r="G57" i="87"/>
  <c r="G52" i="87"/>
  <c r="G45" i="87"/>
  <c r="X42" i="87"/>
  <c r="G58" i="87" s="1"/>
  <c r="W42" i="87"/>
  <c r="Z38" i="87"/>
  <c r="Y38" i="87"/>
  <c r="V38" i="87"/>
  <c r="U38" i="87"/>
  <c r="T38" i="87"/>
  <c r="S38" i="87"/>
  <c r="R38" i="87"/>
  <c r="P38" i="87"/>
  <c r="Q38" i="87" s="1"/>
  <c r="O38" i="87"/>
  <c r="N38" i="87"/>
  <c r="M38" i="87"/>
  <c r="G38" i="87"/>
  <c r="B38" i="87"/>
  <c r="Z37" i="87"/>
  <c r="Y37" i="87"/>
  <c r="V37" i="87"/>
  <c r="U37" i="87"/>
  <c r="T37" i="87"/>
  <c r="S37" i="87"/>
  <c r="R37" i="87"/>
  <c r="P37" i="87"/>
  <c r="Q37" i="87" s="1"/>
  <c r="O37" i="87"/>
  <c r="N37" i="87"/>
  <c r="M37" i="87"/>
  <c r="G37" i="87"/>
  <c r="B37" i="87"/>
  <c r="Z36" i="87"/>
  <c r="Y36" i="87"/>
  <c r="V36" i="87"/>
  <c r="U36" i="87"/>
  <c r="T36" i="87"/>
  <c r="S36" i="87"/>
  <c r="R36" i="87"/>
  <c r="P36" i="87"/>
  <c r="Q36" i="87" s="1"/>
  <c r="O36" i="87"/>
  <c r="N36" i="87"/>
  <c r="M36" i="87"/>
  <c r="G36" i="87"/>
  <c r="B36" i="87"/>
  <c r="Z35" i="87"/>
  <c r="Y35" i="87"/>
  <c r="V35" i="87"/>
  <c r="U35" i="87"/>
  <c r="T35" i="87"/>
  <c r="S35" i="87"/>
  <c r="R35" i="87"/>
  <c r="P35" i="87"/>
  <c r="Q35" i="87" s="1"/>
  <c r="O35" i="87"/>
  <c r="N35" i="87"/>
  <c r="M35" i="87"/>
  <c r="G35" i="87"/>
  <c r="B35" i="87"/>
  <c r="Z34" i="87"/>
  <c r="Y34" i="87"/>
  <c r="V34" i="87"/>
  <c r="U34" i="87"/>
  <c r="T34" i="87"/>
  <c r="S34" i="87"/>
  <c r="R34" i="87"/>
  <c r="P34" i="87"/>
  <c r="Q34" i="87" s="1"/>
  <c r="O34" i="87"/>
  <c r="N34" i="87"/>
  <c r="M34" i="87"/>
  <c r="H34" i="87"/>
  <c r="G34" i="87"/>
  <c r="B34" i="87"/>
  <c r="Z33" i="87"/>
  <c r="Y33" i="87"/>
  <c r="V33" i="87"/>
  <c r="U33" i="87"/>
  <c r="T33" i="87"/>
  <c r="S33" i="87"/>
  <c r="R33" i="87"/>
  <c r="P33" i="87"/>
  <c r="Q33" i="87" s="1"/>
  <c r="O33" i="87"/>
  <c r="N33" i="87"/>
  <c r="M33" i="87"/>
  <c r="G33" i="87"/>
  <c r="B33" i="87"/>
  <c r="Z32" i="87"/>
  <c r="Y32" i="87"/>
  <c r="V32" i="87"/>
  <c r="U32" i="87"/>
  <c r="T32" i="87"/>
  <c r="S32" i="87"/>
  <c r="R32" i="87"/>
  <c r="P32" i="87"/>
  <c r="Q32" i="87" s="1"/>
  <c r="O32" i="87"/>
  <c r="N32" i="87"/>
  <c r="M32" i="87"/>
  <c r="G32" i="87"/>
  <c r="B32" i="87"/>
  <c r="Z31" i="87"/>
  <c r="Y31" i="87"/>
  <c r="V31" i="87"/>
  <c r="U31" i="87"/>
  <c r="T31" i="87"/>
  <c r="S31" i="87"/>
  <c r="R31" i="87"/>
  <c r="P31" i="87"/>
  <c r="Q31" i="87" s="1"/>
  <c r="O31" i="87"/>
  <c r="N31" i="87"/>
  <c r="M31" i="87"/>
  <c r="G31" i="87"/>
  <c r="B31" i="87"/>
  <c r="Z30" i="87"/>
  <c r="Y30" i="87"/>
  <c r="V30" i="87"/>
  <c r="U30" i="87"/>
  <c r="T30" i="87"/>
  <c r="S30" i="87"/>
  <c r="R30" i="87"/>
  <c r="P30" i="87"/>
  <c r="Q30" i="87" s="1"/>
  <c r="O30" i="87"/>
  <c r="N30" i="87"/>
  <c r="M30" i="87"/>
  <c r="G30" i="87"/>
  <c r="B30" i="87"/>
  <c r="Z29" i="87"/>
  <c r="Y29" i="87"/>
  <c r="V29" i="87"/>
  <c r="U29" i="87"/>
  <c r="T29" i="87"/>
  <c r="S29" i="87"/>
  <c r="R29" i="87"/>
  <c r="P29" i="87"/>
  <c r="Q29" i="87" s="1"/>
  <c r="O29" i="87"/>
  <c r="N29" i="87"/>
  <c r="M29" i="87"/>
  <c r="G29" i="87"/>
  <c r="B29" i="87"/>
  <c r="Z28" i="87"/>
  <c r="Y28" i="87"/>
  <c r="V28" i="87"/>
  <c r="U28" i="87"/>
  <c r="T28" i="87"/>
  <c r="S28" i="87"/>
  <c r="R28" i="87"/>
  <c r="P28" i="87"/>
  <c r="Q28" i="87" s="1"/>
  <c r="O28" i="87"/>
  <c r="N28" i="87"/>
  <c r="M28" i="87"/>
  <c r="G28" i="87"/>
  <c r="B28" i="87"/>
  <c r="Z27" i="87"/>
  <c r="Y27" i="87"/>
  <c r="V27" i="87"/>
  <c r="U27" i="87"/>
  <c r="T27" i="87"/>
  <c r="S27" i="87"/>
  <c r="R27" i="87"/>
  <c r="P27" i="87"/>
  <c r="Q27" i="87" s="1"/>
  <c r="O27" i="87"/>
  <c r="N27" i="87"/>
  <c r="M27" i="87"/>
  <c r="G27" i="87"/>
  <c r="B27" i="87"/>
  <c r="Z26" i="87"/>
  <c r="Y26" i="87"/>
  <c r="V26" i="87"/>
  <c r="U26" i="87"/>
  <c r="T26" i="87"/>
  <c r="S26" i="87"/>
  <c r="R26" i="87"/>
  <c r="P26" i="87"/>
  <c r="Q26" i="87" s="1"/>
  <c r="O26" i="87"/>
  <c r="N26" i="87"/>
  <c r="M26" i="87"/>
  <c r="G26" i="87"/>
  <c r="B26" i="87"/>
  <c r="Z25" i="87"/>
  <c r="Y25" i="87"/>
  <c r="V25" i="87"/>
  <c r="U25" i="87"/>
  <c r="T25" i="87"/>
  <c r="S25" i="87"/>
  <c r="R25" i="87"/>
  <c r="P25" i="87"/>
  <c r="Q25" i="87" s="1"/>
  <c r="O25" i="87"/>
  <c r="N25" i="87"/>
  <c r="M25" i="87"/>
  <c r="G25" i="87"/>
  <c r="B25" i="87"/>
  <c r="Z24" i="87"/>
  <c r="Y24" i="87"/>
  <c r="V24" i="87"/>
  <c r="U24" i="87"/>
  <c r="T24" i="87"/>
  <c r="S24" i="87"/>
  <c r="R24" i="87"/>
  <c r="P24" i="87"/>
  <c r="Q24" i="87" s="1"/>
  <c r="O24" i="87"/>
  <c r="N24" i="87"/>
  <c r="M24" i="87"/>
  <c r="G24" i="87"/>
  <c r="B24" i="87"/>
  <c r="Z23" i="87"/>
  <c r="Y23" i="87"/>
  <c r="V23" i="87"/>
  <c r="U23" i="87"/>
  <c r="T23" i="87"/>
  <c r="S23" i="87"/>
  <c r="R23" i="87"/>
  <c r="P23" i="87"/>
  <c r="Q23" i="87" s="1"/>
  <c r="O23" i="87"/>
  <c r="N23" i="87"/>
  <c r="M23" i="87"/>
  <c r="G23" i="87"/>
  <c r="B23" i="87"/>
  <c r="Z22" i="87"/>
  <c r="Y22" i="87"/>
  <c r="V22" i="87"/>
  <c r="U22" i="87"/>
  <c r="T22" i="87"/>
  <c r="S22" i="87"/>
  <c r="R22" i="87"/>
  <c r="P22" i="87"/>
  <c r="Q22" i="87" s="1"/>
  <c r="O22" i="87"/>
  <c r="N22" i="87"/>
  <c r="M22" i="87"/>
  <c r="G22" i="87"/>
  <c r="B22" i="87"/>
  <c r="Z21" i="87"/>
  <c r="Y21" i="87"/>
  <c r="V21" i="87"/>
  <c r="U21" i="87"/>
  <c r="T21" i="87"/>
  <c r="S21" i="87"/>
  <c r="R21" i="87"/>
  <c r="P21" i="87"/>
  <c r="Q21" i="87" s="1"/>
  <c r="O21" i="87"/>
  <c r="N21" i="87"/>
  <c r="M21" i="87"/>
  <c r="G21" i="87"/>
  <c r="B21" i="87"/>
  <c r="Z20" i="87"/>
  <c r="Y20" i="87"/>
  <c r="V20" i="87"/>
  <c r="U20" i="87"/>
  <c r="T20" i="87"/>
  <c r="S20" i="87"/>
  <c r="R20" i="87"/>
  <c r="P20" i="87"/>
  <c r="Q20" i="87" s="1"/>
  <c r="O20" i="87"/>
  <c r="N20" i="87"/>
  <c r="M20" i="87"/>
  <c r="G20" i="87"/>
  <c r="B20" i="87"/>
  <c r="Z19" i="87"/>
  <c r="Y19" i="87"/>
  <c r="V19" i="87"/>
  <c r="U19" i="87"/>
  <c r="T19" i="87"/>
  <c r="S19" i="87"/>
  <c r="R19" i="87"/>
  <c r="P19" i="87"/>
  <c r="Q19" i="87" s="1"/>
  <c r="O19" i="87"/>
  <c r="N19" i="87"/>
  <c r="M19" i="87"/>
  <c r="G19" i="87"/>
  <c r="B19" i="87"/>
  <c r="Z18" i="87"/>
  <c r="Y18" i="87"/>
  <c r="V18" i="87"/>
  <c r="U18" i="87"/>
  <c r="T18" i="87"/>
  <c r="S18" i="87"/>
  <c r="R18" i="87"/>
  <c r="P18" i="87"/>
  <c r="Q18" i="87" s="1"/>
  <c r="O18" i="87"/>
  <c r="N18" i="87"/>
  <c r="M18" i="87"/>
  <c r="G18" i="87"/>
  <c r="B18" i="87"/>
  <c r="Z17" i="87"/>
  <c r="Y17" i="87"/>
  <c r="V17" i="87"/>
  <c r="U17" i="87"/>
  <c r="T17" i="87"/>
  <c r="S17" i="87"/>
  <c r="R17" i="87"/>
  <c r="P17" i="87"/>
  <c r="Q17" i="87" s="1"/>
  <c r="O17" i="87"/>
  <c r="N17" i="87"/>
  <c r="M17" i="87"/>
  <c r="G17" i="87"/>
  <c r="B17" i="87"/>
  <c r="Z16" i="87"/>
  <c r="Y16" i="87"/>
  <c r="V16" i="87"/>
  <c r="U16" i="87"/>
  <c r="T16" i="87"/>
  <c r="S16" i="87"/>
  <c r="R16" i="87"/>
  <c r="P16" i="87"/>
  <c r="Q16" i="87" s="1"/>
  <c r="O16" i="87"/>
  <c r="N16" i="87"/>
  <c r="M16" i="87"/>
  <c r="G16" i="87"/>
  <c r="B16" i="87"/>
  <c r="Z15" i="87"/>
  <c r="Y15" i="87"/>
  <c r="V15" i="87"/>
  <c r="U15" i="87"/>
  <c r="T15" i="87"/>
  <c r="S15" i="87"/>
  <c r="R15" i="87"/>
  <c r="P15" i="87"/>
  <c r="Q15" i="87" s="1"/>
  <c r="O15" i="87"/>
  <c r="N15" i="87"/>
  <c r="M15" i="87"/>
  <c r="G15" i="87"/>
  <c r="B15" i="87"/>
  <c r="Z14" i="87"/>
  <c r="Y14" i="87"/>
  <c r="V14" i="87"/>
  <c r="U14" i="87"/>
  <c r="T14" i="87"/>
  <c r="S14" i="87"/>
  <c r="R14" i="87"/>
  <c r="P14" i="87"/>
  <c r="Q14" i="87" s="1"/>
  <c r="O14" i="87"/>
  <c r="N14" i="87"/>
  <c r="M14" i="87"/>
  <c r="G14" i="87"/>
  <c r="B14" i="87"/>
  <c r="Z13" i="87"/>
  <c r="Y13" i="87"/>
  <c r="V13" i="87"/>
  <c r="U13" i="87"/>
  <c r="T13" i="87"/>
  <c r="S13" i="87"/>
  <c r="R13" i="87"/>
  <c r="P13" i="87"/>
  <c r="Q13" i="87" s="1"/>
  <c r="O13" i="87"/>
  <c r="N13" i="87"/>
  <c r="M13" i="87"/>
  <c r="G13" i="87"/>
  <c r="B13" i="87"/>
  <c r="Z12" i="87"/>
  <c r="Y12" i="87"/>
  <c r="V12" i="87"/>
  <c r="U12" i="87"/>
  <c r="T12" i="87"/>
  <c r="S12" i="87"/>
  <c r="R12" i="87"/>
  <c r="P12" i="87"/>
  <c r="Q12" i="87" s="1"/>
  <c r="O12" i="87"/>
  <c r="N12" i="87"/>
  <c r="M12" i="87"/>
  <c r="G12" i="87"/>
  <c r="B12" i="87"/>
  <c r="Z11" i="87"/>
  <c r="Y11" i="87"/>
  <c r="V11" i="87"/>
  <c r="U11" i="87"/>
  <c r="T11" i="87"/>
  <c r="S11" i="87"/>
  <c r="R11" i="87"/>
  <c r="P11" i="87"/>
  <c r="Q11" i="87" s="1"/>
  <c r="O11" i="87"/>
  <c r="N11" i="87"/>
  <c r="M11" i="87"/>
  <c r="G11" i="87"/>
  <c r="B11" i="87"/>
  <c r="Z10" i="87"/>
  <c r="Y10" i="87"/>
  <c r="V10" i="87"/>
  <c r="U10" i="87"/>
  <c r="T10" i="87"/>
  <c r="S10" i="87"/>
  <c r="R10" i="87"/>
  <c r="P10" i="87"/>
  <c r="Q10" i="87" s="1"/>
  <c r="O10" i="87"/>
  <c r="N10" i="87"/>
  <c r="M10" i="87"/>
  <c r="G10" i="87"/>
  <c r="B10" i="87"/>
  <c r="Z9" i="87"/>
  <c r="Y9" i="87"/>
  <c r="V9" i="87"/>
  <c r="U9" i="87"/>
  <c r="T9" i="87"/>
  <c r="S9" i="87"/>
  <c r="R9" i="87"/>
  <c r="P9" i="87"/>
  <c r="Q9" i="87" s="1"/>
  <c r="O9" i="87"/>
  <c r="N9" i="87"/>
  <c r="M9" i="87"/>
  <c r="G9" i="87"/>
  <c r="B9" i="87"/>
  <c r="Z8" i="87"/>
  <c r="Y8" i="87"/>
  <c r="V8" i="87"/>
  <c r="U8" i="87"/>
  <c r="T8" i="87"/>
  <c r="S8" i="87"/>
  <c r="R8" i="87"/>
  <c r="P8" i="87"/>
  <c r="Q8" i="87" s="1"/>
  <c r="O8" i="87"/>
  <c r="N8" i="87"/>
  <c r="M8" i="87"/>
  <c r="G8" i="87"/>
  <c r="B8" i="87"/>
  <c r="Z7" i="87"/>
  <c r="Y7" i="87"/>
  <c r="V7" i="87"/>
  <c r="U7" i="87"/>
  <c r="T7" i="87"/>
  <c r="S7" i="87"/>
  <c r="R7" i="87"/>
  <c r="P7" i="87"/>
  <c r="Q7" i="87" s="1"/>
  <c r="O7" i="87"/>
  <c r="N7" i="87"/>
  <c r="M7" i="87"/>
  <c r="G7" i="87"/>
  <c r="B7" i="87"/>
  <c r="Z6" i="87"/>
  <c r="Y6" i="87"/>
  <c r="V6" i="87"/>
  <c r="U6" i="87"/>
  <c r="T6" i="87"/>
  <c r="S6" i="87"/>
  <c r="R6" i="87"/>
  <c r="P6" i="87"/>
  <c r="Q6" i="87" s="1"/>
  <c r="O6" i="87"/>
  <c r="N6" i="87"/>
  <c r="M6" i="87"/>
  <c r="H6" i="87"/>
  <c r="G6" i="87"/>
  <c r="B6" i="87"/>
  <c r="AI17" i="85"/>
  <c r="AH17" i="85"/>
  <c r="AG17" i="85"/>
  <c r="AF17" i="85"/>
  <c r="AC17" i="85"/>
  <c r="AB17" i="85"/>
  <c r="AA17" i="85"/>
  <c r="Z17" i="85"/>
  <c r="W17" i="85"/>
  <c r="V17" i="85"/>
  <c r="U17" i="85"/>
  <c r="T17" i="85"/>
  <c r="Q17" i="85"/>
  <c r="P17" i="85"/>
  <c r="O17" i="85"/>
  <c r="N17" i="85"/>
  <c r="K17" i="85"/>
  <c r="J17" i="85"/>
  <c r="I17" i="85"/>
  <c r="H17" i="85"/>
  <c r="E17" i="85"/>
  <c r="D17" i="85"/>
  <c r="C17" i="85"/>
  <c r="B17" i="85"/>
  <c r="AI16" i="85"/>
  <c r="AH16" i="85"/>
  <c r="AG16" i="85"/>
  <c r="AF16" i="85"/>
  <c r="AC16" i="85"/>
  <c r="AB16" i="85"/>
  <c r="AA16" i="85"/>
  <c r="Z16" i="85"/>
  <c r="W16" i="85"/>
  <c r="V16" i="85"/>
  <c r="U16" i="85"/>
  <c r="T16" i="85"/>
  <c r="Q16" i="85"/>
  <c r="P16" i="85"/>
  <c r="O16" i="85"/>
  <c r="N16" i="85"/>
  <c r="K16" i="85"/>
  <c r="J16" i="85"/>
  <c r="I16" i="85"/>
  <c r="H16" i="85"/>
  <c r="E16" i="85"/>
  <c r="D16" i="85"/>
  <c r="C16" i="85"/>
  <c r="B16" i="85"/>
  <c r="AI15" i="85"/>
  <c r="AH15" i="85"/>
  <c r="AG15" i="85"/>
  <c r="AF15" i="85"/>
  <c r="AC15" i="85"/>
  <c r="AB15" i="85"/>
  <c r="AA15" i="85"/>
  <c r="Z15" i="85"/>
  <c r="W15" i="85"/>
  <c r="V15" i="85"/>
  <c r="U15" i="85"/>
  <c r="T15" i="85"/>
  <c r="Q15" i="85"/>
  <c r="P15" i="85"/>
  <c r="O15" i="85"/>
  <c r="N15" i="85"/>
  <c r="K15" i="85"/>
  <c r="J15" i="85"/>
  <c r="I15" i="85"/>
  <c r="H15" i="85"/>
  <c r="E15" i="85"/>
  <c r="D15" i="85"/>
  <c r="C15" i="85"/>
  <c r="B15" i="85"/>
  <c r="AI14" i="85"/>
  <c r="AH14" i="85"/>
  <c r="AG14" i="85"/>
  <c r="AF14" i="85"/>
  <c r="AC14" i="85"/>
  <c r="AB14" i="85"/>
  <c r="AA14" i="85"/>
  <c r="Z14" i="85"/>
  <c r="W14" i="85"/>
  <c r="V14" i="85"/>
  <c r="U14" i="85"/>
  <c r="T14" i="85"/>
  <c r="Q14" i="85"/>
  <c r="P14" i="85"/>
  <c r="O14" i="85"/>
  <c r="N14" i="85"/>
  <c r="K14" i="85"/>
  <c r="J14" i="85"/>
  <c r="I14" i="85"/>
  <c r="H14" i="85"/>
  <c r="E14" i="85"/>
  <c r="D14" i="85"/>
  <c r="C14" i="85"/>
  <c r="B14" i="85"/>
  <c r="AI13" i="85"/>
  <c r="AH13" i="85"/>
  <c r="AG13" i="85"/>
  <c r="AF13" i="85"/>
  <c r="AC13" i="85"/>
  <c r="AB13" i="85"/>
  <c r="AA13" i="85"/>
  <c r="Z13" i="85"/>
  <c r="W13" i="85"/>
  <c r="V13" i="85"/>
  <c r="U13" i="85"/>
  <c r="T13" i="85"/>
  <c r="Q13" i="85"/>
  <c r="P13" i="85"/>
  <c r="O13" i="85"/>
  <c r="N13" i="85"/>
  <c r="K13" i="85"/>
  <c r="J13" i="85"/>
  <c r="I13" i="85"/>
  <c r="H13" i="85"/>
  <c r="E13" i="85"/>
  <c r="D13" i="85"/>
  <c r="C13" i="85"/>
  <c r="B13" i="85"/>
  <c r="AI12" i="85"/>
  <c r="AH12" i="85"/>
  <c r="AG12" i="85"/>
  <c r="AF12" i="85"/>
  <c r="AC12" i="85"/>
  <c r="AB12" i="85"/>
  <c r="AA12" i="85"/>
  <c r="Z12" i="85"/>
  <c r="W12" i="85"/>
  <c r="V12" i="85"/>
  <c r="U12" i="85"/>
  <c r="T12" i="85"/>
  <c r="Q12" i="85"/>
  <c r="P12" i="85"/>
  <c r="O12" i="85"/>
  <c r="N12" i="85"/>
  <c r="K12" i="85"/>
  <c r="J12" i="85"/>
  <c r="I12" i="85"/>
  <c r="H12" i="85"/>
  <c r="E12" i="85"/>
  <c r="D12" i="85"/>
  <c r="C12" i="85"/>
  <c r="B12" i="85"/>
  <c r="AI11" i="85"/>
  <c r="AH11" i="85"/>
  <c r="AG11" i="85"/>
  <c r="AF11" i="85"/>
  <c r="AC11" i="85"/>
  <c r="AB11" i="85"/>
  <c r="AA11" i="85"/>
  <c r="Z11" i="85"/>
  <c r="W11" i="85"/>
  <c r="V11" i="85"/>
  <c r="U11" i="85"/>
  <c r="T11" i="85"/>
  <c r="Q11" i="85"/>
  <c r="P11" i="85"/>
  <c r="O11" i="85"/>
  <c r="N11" i="85"/>
  <c r="K11" i="85"/>
  <c r="J11" i="85"/>
  <c r="I11" i="85"/>
  <c r="H11" i="85"/>
  <c r="E11" i="85"/>
  <c r="D11" i="85"/>
  <c r="C11" i="85"/>
  <c r="B11" i="85"/>
  <c r="AI10" i="85"/>
  <c r="AH10" i="85"/>
  <c r="AG10" i="85"/>
  <c r="AF10" i="85"/>
  <c r="AC10" i="85"/>
  <c r="AB10" i="85"/>
  <c r="AA10" i="85"/>
  <c r="Z10" i="85"/>
  <c r="W10" i="85"/>
  <c r="V10" i="85"/>
  <c r="U10" i="85"/>
  <c r="T10" i="85"/>
  <c r="Q10" i="85"/>
  <c r="P10" i="85"/>
  <c r="O10" i="85"/>
  <c r="N10" i="85"/>
  <c r="K10" i="85"/>
  <c r="J10" i="85"/>
  <c r="I10" i="85"/>
  <c r="H10" i="85"/>
  <c r="E10" i="85"/>
  <c r="D10" i="85"/>
  <c r="C10" i="85"/>
  <c r="B10" i="85"/>
  <c r="AI9" i="85"/>
  <c r="AH9" i="85"/>
  <c r="AG9" i="85"/>
  <c r="AF9" i="85"/>
  <c r="AC9" i="85"/>
  <c r="AB9" i="85"/>
  <c r="AA9" i="85"/>
  <c r="Z9" i="85"/>
  <c r="W9" i="85"/>
  <c r="V9" i="85"/>
  <c r="U9" i="85"/>
  <c r="T9" i="85"/>
  <c r="Q9" i="85"/>
  <c r="P9" i="85"/>
  <c r="O9" i="85"/>
  <c r="N9" i="85"/>
  <c r="K9" i="85"/>
  <c r="J9" i="85"/>
  <c r="I9" i="85"/>
  <c r="H9" i="85"/>
  <c r="E9" i="85"/>
  <c r="D9" i="85"/>
  <c r="C9" i="85"/>
  <c r="B9" i="85"/>
  <c r="AI8" i="85"/>
  <c r="AH8" i="85"/>
  <c r="AG8" i="85"/>
  <c r="AF8" i="85"/>
  <c r="AC8" i="85"/>
  <c r="AB8" i="85"/>
  <c r="AA8" i="85"/>
  <c r="Z8" i="85"/>
  <c r="W8" i="85"/>
  <c r="V8" i="85"/>
  <c r="U8" i="85"/>
  <c r="T8" i="85"/>
  <c r="Q8" i="85"/>
  <c r="P8" i="85"/>
  <c r="O8" i="85"/>
  <c r="N8" i="85"/>
  <c r="K8" i="85"/>
  <c r="J8" i="85"/>
  <c r="I8" i="85"/>
  <c r="H8" i="85"/>
  <c r="E8" i="85"/>
  <c r="D8" i="85"/>
  <c r="C8" i="85"/>
  <c r="B8" i="85"/>
  <c r="AI7" i="85"/>
  <c r="AH7" i="85"/>
  <c r="AG7" i="85"/>
  <c r="AF7" i="85"/>
  <c r="AC7" i="85"/>
  <c r="AB7" i="85"/>
  <c r="AA7" i="85"/>
  <c r="Z7" i="85"/>
  <c r="W7" i="85"/>
  <c r="V7" i="85"/>
  <c r="U7" i="85"/>
  <c r="T7" i="85"/>
  <c r="Q7" i="85"/>
  <c r="P7" i="85"/>
  <c r="O7" i="85"/>
  <c r="N7" i="85"/>
  <c r="K7" i="85"/>
  <c r="J7" i="85"/>
  <c r="I7" i="85"/>
  <c r="H7" i="85"/>
  <c r="E7" i="85"/>
  <c r="D7" i="85"/>
  <c r="C7" i="85"/>
  <c r="B7" i="85"/>
  <c r="AI6" i="85"/>
  <c r="AH6" i="85"/>
  <c r="AG6" i="85"/>
  <c r="AF6" i="85"/>
  <c r="AC6" i="85"/>
  <c r="AB6" i="85"/>
  <c r="AA6" i="85"/>
  <c r="Z6" i="85"/>
  <c r="W6" i="85"/>
  <c r="V6" i="85"/>
  <c r="U6" i="85"/>
  <c r="T6" i="85"/>
  <c r="Q6" i="85"/>
  <c r="P6" i="85"/>
  <c r="O6" i="85"/>
  <c r="N6" i="85"/>
  <c r="K6" i="85"/>
  <c r="J6" i="85"/>
  <c r="I6" i="85"/>
  <c r="H6" i="85"/>
  <c r="E6" i="85"/>
  <c r="D6" i="85"/>
  <c r="C6" i="85"/>
  <c r="B6" i="85"/>
  <c r="R39" i="73"/>
  <c r="Q39" i="73"/>
  <c r="O39" i="73"/>
  <c r="N39" i="73"/>
  <c r="M39" i="73"/>
  <c r="L39" i="73"/>
  <c r="K39" i="73"/>
  <c r="B39" i="73"/>
  <c r="R38" i="73"/>
  <c r="Q38" i="73"/>
  <c r="O38" i="73"/>
  <c r="N38" i="73"/>
  <c r="M38" i="73"/>
  <c r="L38" i="73"/>
  <c r="K38" i="73"/>
  <c r="B38" i="73"/>
  <c r="R37" i="73"/>
  <c r="Q37" i="73"/>
  <c r="O37" i="73"/>
  <c r="N37" i="73"/>
  <c r="M37" i="73"/>
  <c r="L37" i="73"/>
  <c r="K37" i="73"/>
  <c r="B37" i="73"/>
  <c r="R36" i="73"/>
  <c r="Q36" i="73"/>
  <c r="O36" i="73"/>
  <c r="N36" i="73"/>
  <c r="M36" i="73"/>
  <c r="L36" i="73"/>
  <c r="K36" i="73"/>
  <c r="B36" i="73"/>
  <c r="R35" i="73"/>
  <c r="Q35" i="73"/>
  <c r="O35" i="73"/>
  <c r="N35" i="73"/>
  <c r="M35" i="73"/>
  <c r="L35" i="73"/>
  <c r="K35" i="73"/>
  <c r="B35" i="73"/>
  <c r="R34" i="73"/>
  <c r="Q34" i="73"/>
  <c r="O34" i="73"/>
  <c r="N34" i="73"/>
  <c r="M34" i="73"/>
  <c r="L34" i="73"/>
  <c r="K34" i="73"/>
  <c r="B34" i="73"/>
  <c r="R33" i="73"/>
  <c r="Q33" i="73"/>
  <c r="O33" i="73"/>
  <c r="N33" i="73"/>
  <c r="M33" i="73"/>
  <c r="L33" i="73"/>
  <c r="K33" i="73"/>
  <c r="B33" i="73"/>
  <c r="R32" i="73"/>
  <c r="Q32" i="73"/>
  <c r="O32" i="73"/>
  <c r="N32" i="73"/>
  <c r="M32" i="73"/>
  <c r="L32" i="73"/>
  <c r="K32" i="73"/>
  <c r="B32" i="73"/>
  <c r="R31" i="73"/>
  <c r="Q31" i="73"/>
  <c r="O31" i="73"/>
  <c r="N31" i="73"/>
  <c r="M31" i="73"/>
  <c r="L31" i="73"/>
  <c r="K31" i="73"/>
  <c r="B31" i="73"/>
  <c r="R30" i="73"/>
  <c r="Q30" i="73"/>
  <c r="O30" i="73"/>
  <c r="N30" i="73"/>
  <c r="M30" i="73"/>
  <c r="L30" i="73"/>
  <c r="K30" i="73"/>
  <c r="B30" i="73"/>
  <c r="R29" i="73"/>
  <c r="Q29" i="73"/>
  <c r="O29" i="73"/>
  <c r="N29" i="73"/>
  <c r="M29" i="73"/>
  <c r="L29" i="73"/>
  <c r="K29" i="73"/>
  <c r="B29" i="73"/>
  <c r="R28" i="73"/>
  <c r="Q28" i="73"/>
  <c r="O28" i="73"/>
  <c r="N28" i="73"/>
  <c r="M28" i="73"/>
  <c r="L28" i="73"/>
  <c r="K28" i="73"/>
  <c r="B28" i="73"/>
  <c r="R27" i="73"/>
  <c r="Q27" i="73"/>
  <c r="O27" i="73"/>
  <c r="N27" i="73"/>
  <c r="M27" i="73"/>
  <c r="L27" i="73"/>
  <c r="K27" i="73"/>
  <c r="B27" i="73"/>
  <c r="R26" i="73"/>
  <c r="Q26" i="73"/>
  <c r="O26" i="73"/>
  <c r="N26" i="73"/>
  <c r="M26" i="73"/>
  <c r="L26" i="73"/>
  <c r="K26" i="73"/>
  <c r="B26" i="73"/>
  <c r="R25" i="73"/>
  <c r="Q25" i="73"/>
  <c r="O25" i="73"/>
  <c r="N25" i="73"/>
  <c r="M25" i="73"/>
  <c r="L25" i="73"/>
  <c r="K25" i="73"/>
  <c r="B25" i="73"/>
  <c r="R24" i="73"/>
  <c r="Q24" i="73"/>
  <c r="O24" i="73"/>
  <c r="N24" i="73"/>
  <c r="M24" i="73"/>
  <c r="L24" i="73"/>
  <c r="K24" i="73"/>
  <c r="B24" i="73"/>
  <c r="R23" i="73"/>
  <c r="Q23" i="73"/>
  <c r="O23" i="73"/>
  <c r="N23" i="73"/>
  <c r="M23" i="73"/>
  <c r="L23" i="73"/>
  <c r="K23" i="73"/>
  <c r="B23" i="73"/>
  <c r="R22" i="73"/>
  <c r="Q22" i="73"/>
  <c r="O22" i="73"/>
  <c r="N22" i="73"/>
  <c r="M22" i="73"/>
  <c r="L22" i="73"/>
  <c r="K22" i="73"/>
  <c r="B22" i="73"/>
  <c r="R21" i="73"/>
  <c r="Q21" i="73"/>
  <c r="O21" i="73"/>
  <c r="N21" i="73"/>
  <c r="M21" i="73"/>
  <c r="L21" i="73"/>
  <c r="K21" i="73"/>
  <c r="B21" i="73"/>
  <c r="R20" i="73"/>
  <c r="Q20" i="73"/>
  <c r="O20" i="73"/>
  <c r="N20" i="73"/>
  <c r="M20" i="73"/>
  <c r="L20" i="73"/>
  <c r="K20" i="73"/>
  <c r="B20" i="73"/>
  <c r="R19" i="73"/>
  <c r="Q19" i="73"/>
  <c r="O19" i="73"/>
  <c r="N19" i="73"/>
  <c r="M19" i="73"/>
  <c r="L19" i="73"/>
  <c r="K19" i="73"/>
  <c r="B19" i="73"/>
  <c r="R18" i="73"/>
  <c r="Q18" i="73"/>
  <c r="P18" i="73"/>
  <c r="O18" i="73"/>
  <c r="N18" i="73"/>
  <c r="M18" i="73"/>
  <c r="L18" i="73"/>
  <c r="K18" i="73"/>
  <c r="B18" i="73"/>
  <c r="R17" i="73"/>
  <c r="Q17" i="73"/>
  <c r="P17" i="73"/>
  <c r="O17" i="73"/>
  <c r="N17" i="73"/>
  <c r="M17" i="73"/>
  <c r="L17" i="73"/>
  <c r="K17" i="73"/>
  <c r="B17" i="73"/>
  <c r="R16" i="73"/>
  <c r="Q16" i="73"/>
  <c r="O16" i="73"/>
  <c r="N16" i="73"/>
  <c r="M16" i="73"/>
  <c r="L16" i="73"/>
  <c r="K16" i="73"/>
  <c r="B16" i="73"/>
  <c r="R15" i="73"/>
  <c r="Q15" i="73"/>
  <c r="O15" i="73"/>
  <c r="N15" i="73"/>
  <c r="M15" i="73"/>
  <c r="L15" i="73"/>
  <c r="K15" i="73"/>
  <c r="B15" i="73"/>
  <c r="R14" i="73"/>
  <c r="Q14" i="73"/>
  <c r="O14" i="73"/>
  <c r="N14" i="73"/>
  <c r="M14" i="73"/>
  <c r="L14" i="73"/>
  <c r="K14" i="73"/>
  <c r="B14" i="73"/>
  <c r="R13" i="73"/>
  <c r="Q13" i="73"/>
  <c r="O13" i="73"/>
  <c r="N13" i="73"/>
  <c r="M13" i="73"/>
  <c r="L13" i="73"/>
  <c r="K13" i="73"/>
  <c r="B13" i="73"/>
  <c r="R12" i="73"/>
  <c r="Q12" i="73"/>
  <c r="O12" i="73"/>
  <c r="N12" i="73"/>
  <c r="M12" i="73"/>
  <c r="L12" i="73"/>
  <c r="K12" i="73"/>
  <c r="B12" i="73"/>
  <c r="R11" i="73"/>
  <c r="Q11" i="73"/>
  <c r="O11" i="73"/>
  <c r="N11" i="73"/>
  <c r="M11" i="73"/>
  <c r="L11" i="73"/>
  <c r="K11" i="73"/>
  <c r="B11" i="73"/>
  <c r="R10" i="73"/>
  <c r="Q10" i="73"/>
  <c r="O10" i="73"/>
  <c r="N10" i="73"/>
  <c r="M10" i="73"/>
  <c r="L10" i="73"/>
  <c r="K10" i="73"/>
  <c r="B10" i="73"/>
  <c r="R9" i="73"/>
  <c r="Q9" i="73"/>
  <c r="O9" i="73"/>
  <c r="N9" i="73"/>
  <c r="M9" i="73"/>
  <c r="L9" i="73"/>
  <c r="K9" i="73"/>
  <c r="B9" i="73"/>
  <c r="R8" i="73"/>
  <c r="Q8" i="73"/>
  <c r="O8" i="73"/>
  <c r="N8" i="73"/>
  <c r="M8" i="73"/>
  <c r="L8" i="73"/>
  <c r="K8" i="73"/>
  <c r="B8" i="73"/>
  <c r="R7" i="73"/>
  <c r="Q7" i="73"/>
  <c r="O7" i="73"/>
  <c r="N7" i="73"/>
  <c r="M7" i="73"/>
  <c r="L7" i="73"/>
  <c r="K7" i="73"/>
  <c r="B7" i="73"/>
  <c r="R6" i="73"/>
  <c r="R44" i="73" s="1"/>
  <c r="Q6" i="73"/>
  <c r="Q44" i="73" s="1"/>
  <c r="P6" i="73"/>
  <c r="O6" i="73"/>
  <c r="N6" i="73"/>
  <c r="N44" i="73" s="1"/>
  <c r="M6" i="73"/>
  <c r="M44" i="73" s="1"/>
  <c r="L6" i="73"/>
  <c r="L44" i="73" s="1"/>
  <c r="K6" i="73"/>
  <c r="K44" i="73" s="1"/>
  <c r="J6" i="73"/>
  <c r="I6" i="73"/>
  <c r="H6" i="73"/>
  <c r="G6" i="73"/>
  <c r="F6" i="73"/>
  <c r="E6" i="73"/>
  <c r="D6" i="73"/>
  <c r="B6" i="73"/>
  <c r="X44" i="56"/>
  <c r="W44" i="56"/>
  <c r="V44" i="56"/>
  <c r="U44" i="56"/>
  <c r="T44" i="56"/>
  <c r="S44" i="56"/>
  <c r="R44" i="56"/>
  <c r="Q44" i="56"/>
  <c r="P44" i="56"/>
  <c r="O44" i="56"/>
  <c r="N44" i="56"/>
  <c r="M44" i="56"/>
  <c r="L44" i="56"/>
  <c r="K44" i="56"/>
  <c r="J44" i="56"/>
  <c r="I44" i="56"/>
  <c r="H44" i="56"/>
  <c r="G44" i="56"/>
  <c r="F44" i="56"/>
  <c r="E44" i="56"/>
  <c r="D44" i="56"/>
  <c r="AC44" i="56" s="1"/>
  <c r="C44" i="56"/>
  <c r="B44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C43" i="56"/>
  <c r="B43" i="56"/>
  <c r="AF42" i="56"/>
  <c r="AE42" i="56"/>
  <c r="AD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AD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C41" i="56"/>
  <c r="B41" i="56"/>
  <c r="AD40" i="56"/>
  <c r="AB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C40" i="56"/>
  <c r="B40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B39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B38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B37" i="56"/>
  <c r="AB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B36" i="56"/>
  <c r="X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B35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4" i="56"/>
  <c r="C34" i="56"/>
  <c r="B34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B33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B32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AC30" i="56" s="1"/>
  <c r="F30" i="56"/>
  <c r="E30" i="56"/>
  <c r="D30" i="56"/>
  <c r="C30" i="56"/>
  <c r="B30" i="56"/>
  <c r="AD29" i="56"/>
  <c r="AB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B28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B27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B25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X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B21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B20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B19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AD17" i="56"/>
  <c r="AB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AG16" i="56"/>
  <c r="AB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AC15" i="56" s="1"/>
  <c r="F15" i="56"/>
  <c r="E15" i="56"/>
  <c r="D15" i="56"/>
  <c r="C15" i="56"/>
  <c r="B15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B14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AC13" i="56" s="1"/>
  <c r="C13" i="56"/>
  <c r="B13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B12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B11" i="56"/>
  <c r="X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B10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AC9" i="56" s="1"/>
  <c r="F9" i="56"/>
  <c r="E9" i="56"/>
  <c r="D9" i="56"/>
  <c r="C9" i="56"/>
  <c r="B9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AC8" i="56" s="1"/>
  <c r="F8" i="56"/>
  <c r="E8" i="56"/>
  <c r="D8" i="56"/>
  <c r="C8" i="56"/>
  <c r="B8" i="56"/>
  <c r="AB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AC7" i="56" s="1"/>
  <c r="F7" i="56"/>
  <c r="E7" i="56"/>
  <c r="D7" i="56"/>
  <c r="C7" i="56"/>
  <c r="B7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AC6" i="56" s="1"/>
  <c r="F6" i="56"/>
  <c r="E6" i="56"/>
  <c r="D6" i="56"/>
  <c r="C6" i="56"/>
  <c r="B6" i="56"/>
  <c r="AD5" i="56"/>
  <c r="AB5" i="56"/>
  <c r="X5" i="56"/>
  <c r="W5" i="56"/>
  <c r="V5" i="56"/>
  <c r="U5" i="56"/>
  <c r="T5" i="56"/>
  <c r="S5" i="56"/>
  <c r="R5" i="56"/>
  <c r="Q5" i="56"/>
  <c r="P5" i="56"/>
  <c r="O5" i="56"/>
  <c r="N5" i="56"/>
  <c r="M5" i="56"/>
  <c r="L5" i="56"/>
  <c r="K5" i="56"/>
  <c r="J5" i="56"/>
  <c r="I5" i="56"/>
  <c r="H5" i="56"/>
  <c r="G5" i="56"/>
  <c r="F5" i="56"/>
  <c r="E5" i="56"/>
  <c r="D5" i="56"/>
  <c r="C5" i="56"/>
  <c r="B5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G4" i="56"/>
  <c r="F4" i="56"/>
  <c r="E4" i="56"/>
  <c r="D4" i="56"/>
  <c r="C4" i="56"/>
  <c r="B4" i="56"/>
  <c r="AE3" i="56"/>
  <c r="X3" i="56"/>
  <c r="W3" i="56"/>
  <c r="V3" i="56"/>
  <c r="U3" i="56"/>
  <c r="T3" i="56"/>
  <c r="S3" i="56"/>
  <c r="R3" i="56"/>
  <c r="Q3" i="56"/>
  <c r="P3" i="56"/>
  <c r="O3" i="56"/>
  <c r="N3" i="56"/>
  <c r="M3" i="56"/>
  <c r="L3" i="56"/>
  <c r="K3" i="56"/>
  <c r="J3" i="56"/>
  <c r="I3" i="56"/>
  <c r="H3" i="56"/>
  <c r="G3" i="56"/>
  <c r="F3" i="56"/>
  <c r="E3" i="56"/>
  <c r="D3" i="56"/>
  <c r="C3" i="56"/>
  <c r="B3" i="56"/>
  <c r="AG2" i="56"/>
  <c r="AF2" i="56"/>
  <c r="AE2" i="56"/>
  <c r="AD2" i="56"/>
  <c r="AC2" i="56"/>
  <c r="AB2" i="56"/>
  <c r="AA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E2" i="56"/>
  <c r="D2" i="56"/>
  <c r="C2" i="56"/>
  <c r="B2" i="56"/>
  <c r="I50" i="55"/>
  <c r="G50" i="55"/>
  <c r="F50" i="55"/>
  <c r="E48" i="55"/>
  <c r="D48" i="55"/>
  <c r="C48" i="55"/>
  <c r="B48" i="55"/>
  <c r="E47" i="55"/>
  <c r="D47" i="55"/>
  <c r="C47" i="55"/>
  <c r="H47" i="55" s="1"/>
  <c r="J47" i="55" s="1"/>
  <c r="B47" i="55"/>
  <c r="E46" i="55"/>
  <c r="D46" i="55"/>
  <c r="C46" i="55"/>
  <c r="B46" i="55"/>
  <c r="E45" i="55"/>
  <c r="D45" i="55"/>
  <c r="C45" i="55"/>
  <c r="B45" i="55"/>
  <c r="E44" i="55"/>
  <c r="D44" i="55"/>
  <c r="C44" i="55"/>
  <c r="B44" i="55"/>
  <c r="E43" i="55"/>
  <c r="D43" i="55"/>
  <c r="C43" i="55"/>
  <c r="H43" i="55" s="1"/>
  <c r="J43" i="55" s="1"/>
  <c r="B43" i="55"/>
  <c r="E42" i="55"/>
  <c r="D42" i="55"/>
  <c r="C42" i="55"/>
  <c r="B42" i="55"/>
  <c r="E41" i="55"/>
  <c r="D41" i="55"/>
  <c r="C41" i="55"/>
  <c r="H41" i="55" s="1"/>
  <c r="J41" i="55" s="1"/>
  <c r="B41" i="55"/>
  <c r="E40" i="55"/>
  <c r="D40" i="55"/>
  <c r="C40" i="55"/>
  <c r="B40" i="55"/>
  <c r="E39" i="55"/>
  <c r="D39" i="55"/>
  <c r="C39" i="55"/>
  <c r="H39" i="55" s="1"/>
  <c r="J39" i="55" s="1"/>
  <c r="B39" i="55"/>
  <c r="E38" i="55"/>
  <c r="D38" i="55"/>
  <c r="C38" i="55"/>
  <c r="B38" i="55"/>
  <c r="E37" i="55"/>
  <c r="D37" i="55"/>
  <c r="C37" i="55"/>
  <c r="B37" i="55"/>
  <c r="E36" i="55"/>
  <c r="D36" i="55"/>
  <c r="C36" i="55"/>
  <c r="B36" i="55"/>
  <c r="E35" i="55"/>
  <c r="D35" i="55"/>
  <c r="C35" i="55"/>
  <c r="H35" i="55" s="1"/>
  <c r="J35" i="55" s="1"/>
  <c r="B35" i="55"/>
  <c r="E34" i="55"/>
  <c r="D34" i="55"/>
  <c r="C34" i="55"/>
  <c r="B34" i="55"/>
  <c r="E33" i="55"/>
  <c r="D33" i="55"/>
  <c r="C33" i="55"/>
  <c r="B33" i="55"/>
  <c r="E32" i="55"/>
  <c r="D32" i="55"/>
  <c r="C32" i="55"/>
  <c r="B32" i="55"/>
  <c r="E31" i="55"/>
  <c r="D31" i="55"/>
  <c r="C31" i="55"/>
  <c r="H31" i="55" s="1"/>
  <c r="J31" i="55" s="1"/>
  <c r="B31" i="55"/>
  <c r="E30" i="55"/>
  <c r="D30" i="55"/>
  <c r="C30" i="55"/>
  <c r="B30" i="55"/>
  <c r="E29" i="55"/>
  <c r="D29" i="55"/>
  <c r="C29" i="55"/>
  <c r="H29" i="55" s="1"/>
  <c r="J29" i="55" s="1"/>
  <c r="B29" i="55"/>
  <c r="E28" i="55"/>
  <c r="D28" i="55"/>
  <c r="C28" i="55"/>
  <c r="B28" i="55"/>
  <c r="E27" i="55"/>
  <c r="D27" i="55"/>
  <c r="C27" i="55"/>
  <c r="H27" i="55" s="1"/>
  <c r="J27" i="55" s="1"/>
  <c r="B27" i="55"/>
  <c r="E26" i="55"/>
  <c r="D26" i="55"/>
  <c r="C26" i="55"/>
  <c r="B26" i="55"/>
  <c r="E25" i="55"/>
  <c r="D25" i="55"/>
  <c r="C25" i="55"/>
  <c r="B25" i="55"/>
  <c r="E24" i="55"/>
  <c r="D24" i="55"/>
  <c r="C24" i="55"/>
  <c r="B24" i="55"/>
  <c r="E23" i="55"/>
  <c r="D23" i="55"/>
  <c r="C23" i="55"/>
  <c r="B23" i="55"/>
  <c r="E22" i="55"/>
  <c r="D22" i="55"/>
  <c r="C22" i="55"/>
  <c r="B22" i="55"/>
  <c r="E21" i="55"/>
  <c r="D21" i="55"/>
  <c r="C21" i="55"/>
  <c r="B21" i="55"/>
  <c r="E20" i="55"/>
  <c r="D20" i="55"/>
  <c r="C20" i="55"/>
  <c r="B20" i="55"/>
  <c r="E19" i="55"/>
  <c r="D19" i="55"/>
  <c r="C19" i="55"/>
  <c r="H19" i="55" s="1"/>
  <c r="J19" i="55" s="1"/>
  <c r="B19" i="55"/>
  <c r="E18" i="55"/>
  <c r="D18" i="55"/>
  <c r="C18" i="55"/>
  <c r="B18" i="55"/>
  <c r="E17" i="55"/>
  <c r="D17" i="55"/>
  <c r="C17" i="55"/>
  <c r="B17" i="55"/>
  <c r="E16" i="55"/>
  <c r="D16" i="55"/>
  <c r="C16" i="55"/>
  <c r="B16" i="55"/>
  <c r="E15" i="55"/>
  <c r="D15" i="55"/>
  <c r="C15" i="55"/>
  <c r="H15" i="55" s="1"/>
  <c r="J15" i="55" s="1"/>
  <c r="B15" i="55"/>
  <c r="E14" i="55"/>
  <c r="D14" i="55"/>
  <c r="C14" i="55"/>
  <c r="B14" i="55"/>
  <c r="E13" i="55"/>
  <c r="D13" i="55"/>
  <c r="C13" i="55"/>
  <c r="B13" i="55"/>
  <c r="E12" i="55"/>
  <c r="D12" i="55"/>
  <c r="C12" i="55"/>
  <c r="B12" i="55"/>
  <c r="E11" i="55"/>
  <c r="D11" i="55"/>
  <c r="C11" i="55"/>
  <c r="B11" i="55"/>
  <c r="E10" i="55"/>
  <c r="D10" i="55"/>
  <c r="C10" i="55"/>
  <c r="B10" i="55"/>
  <c r="E9" i="55"/>
  <c r="D9" i="55"/>
  <c r="C9" i="55"/>
  <c r="B9" i="55"/>
  <c r="E8" i="55"/>
  <c r="D8" i="55"/>
  <c r="C8" i="55"/>
  <c r="B8" i="55"/>
  <c r="E7" i="55"/>
  <c r="D7" i="55"/>
  <c r="C7" i="55"/>
  <c r="B7" i="55"/>
  <c r="E6" i="55"/>
  <c r="D6" i="55"/>
  <c r="C6" i="55"/>
  <c r="B6" i="55"/>
  <c r="F50" i="54"/>
  <c r="E50" i="54"/>
  <c r="D50" i="54"/>
  <c r="C50" i="54"/>
  <c r="B50" i="54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Y49" i="26"/>
  <c r="Z49" i="26" s="1"/>
  <c r="Y48" i="26"/>
  <c r="Z48" i="26" s="1"/>
  <c r="Y47" i="26"/>
  <c r="Y42" i="56" s="1"/>
  <c r="Y46" i="26"/>
  <c r="Z46" i="26" s="1"/>
  <c r="Y45" i="26"/>
  <c r="Y40" i="56" s="1"/>
  <c r="Y44" i="26"/>
  <c r="Z44" i="26" s="1"/>
  <c r="Y43" i="26"/>
  <c r="Y38" i="56" s="1"/>
  <c r="Y42" i="26"/>
  <c r="Y37" i="56" s="1"/>
  <c r="Y41" i="26"/>
  <c r="Y36" i="56" s="1"/>
  <c r="W40" i="26"/>
  <c r="W35" i="56" s="1"/>
  <c r="Y39" i="26"/>
  <c r="Y34" i="56" s="1"/>
  <c r="Y38" i="26"/>
  <c r="Y33" i="56" s="1"/>
  <c r="Y37" i="26"/>
  <c r="Z37" i="26" s="1"/>
  <c r="Y36" i="26"/>
  <c r="Y31" i="56" s="1"/>
  <c r="Y35" i="26"/>
  <c r="Y30" i="56" s="1"/>
  <c r="Y34" i="26"/>
  <c r="Y29" i="56" s="1"/>
  <c r="Y33" i="26"/>
  <c r="Y28" i="56" s="1"/>
  <c r="Y32" i="26"/>
  <c r="Z32" i="26" s="1"/>
  <c r="Y31" i="26"/>
  <c r="Y26" i="56" s="1"/>
  <c r="Y30" i="26"/>
  <c r="Y25" i="56" s="1"/>
  <c r="Y29" i="26"/>
  <c r="Y24" i="56" s="1"/>
  <c r="Y28" i="26"/>
  <c r="Y23" i="56" s="1"/>
  <c r="W27" i="26"/>
  <c r="Y26" i="26"/>
  <c r="Y21" i="56" s="1"/>
  <c r="Y25" i="26"/>
  <c r="Y20" i="56" s="1"/>
  <c r="Y24" i="26"/>
  <c r="Y19" i="56" s="1"/>
  <c r="Y23" i="26"/>
  <c r="Y18" i="56" s="1"/>
  <c r="Y22" i="26"/>
  <c r="Z22" i="26" s="1"/>
  <c r="Y21" i="26"/>
  <c r="Z21" i="26" s="1"/>
  <c r="Y20" i="26"/>
  <c r="Z20" i="26" s="1"/>
  <c r="Y19" i="26"/>
  <c r="Z19" i="26" s="1"/>
  <c r="Y18" i="26"/>
  <c r="Y13" i="56" s="1"/>
  <c r="Y17" i="26"/>
  <c r="Y12" i="56" s="1"/>
  <c r="Y16" i="26"/>
  <c r="Y11" i="56" s="1"/>
  <c r="W15" i="26"/>
  <c r="Y15" i="26" s="1"/>
  <c r="Y10" i="56" s="1"/>
  <c r="Y14" i="26"/>
  <c r="Y9" i="56" s="1"/>
  <c r="Y13" i="26"/>
  <c r="Z13" i="26" s="1"/>
  <c r="B12" i="26"/>
  <c r="Y11" i="26"/>
  <c r="Z11" i="26" s="1"/>
  <c r="Y10" i="26"/>
  <c r="Y6" i="56" s="1"/>
  <c r="AI9" i="26"/>
  <c r="Y9" i="26"/>
  <c r="Y5" i="56" s="1"/>
  <c r="Y8" i="26"/>
  <c r="Z8" i="26" s="1"/>
  <c r="Y7" i="26"/>
  <c r="Y3" i="56" s="1"/>
  <c r="Y6" i="26"/>
  <c r="Z6" i="26" s="1"/>
  <c r="AA2" i="26"/>
  <c r="C19" i="75"/>
  <c r="C10" i="75"/>
  <c r="C14" i="75" s="1"/>
  <c r="P8" i="73"/>
  <c r="D8" i="73"/>
  <c r="P7" i="73"/>
  <c r="P44" i="73" s="1"/>
  <c r="D7" i="73"/>
  <c r="Z39" i="26" l="1"/>
  <c r="AC33" i="56"/>
  <c r="AC43" i="56"/>
  <c r="AC34" i="56"/>
  <c r="AG40" i="56"/>
  <c r="Z34" i="26"/>
  <c r="AC26" i="56"/>
  <c r="AC10" i="56"/>
  <c r="AC18" i="56"/>
  <c r="H20" i="55"/>
  <c r="J20" i="55" s="1"/>
  <c r="H22" i="55"/>
  <c r="J22" i="55" s="1"/>
  <c r="H40" i="55"/>
  <c r="J40" i="55" s="1"/>
  <c r="H42" i="55"/>
  <c r="J42" i="55" s="1"/>
  <c r="W10" i="56"/>
  <c r="AC17" i="56"/>
  <c r="H7" i="55"/>
  <c r="J7" i="55" s="1"/>
  <c r="H9" i="55"/>
  <c r="J9" i="55" s="1"/>
  <c r="H11" i="55"/>
  <c r="J11" i="55" s="1"/>
  <c r="AC11" i="56"/>
  <c r="AC14" i="56"/>
  <c r="AC28" i="56"/>
  <c r="AC31" i="56"/>
  <c r="AC32" i="56"/>
  <c r="AC36" i="56"/>
  <c r="AC37" i="56"/>
  <c r="AC40" i="56"/>
  <c r="Z36" i="26"/>
  <c r="Y17" i="56"/>
  <c r="AC19" i="56"/>
  <c r="AC27" i="56"/>
  <c r="AC41" i="56"/>
  <c r="Z9" i="26"/>
  <c r="Z30" i="26"/>
  <c r="H23" i="55"/>
  <c r="J23" i="55" s="1"/>
  <c r="Z38" i="26"/>
  <c r="H8" i="55"/>
  <c r="J8" i="55" s="1"/>
  <c r="H10" i="55"/>
  <c r="J10" i="55" s="1"/>
  <c r="AC3" i="56"/>
  <c r="AC25" i="56"/>
  <c r="Y4" i="56"/>
  <c r="W54" i="26"/>
  <c r="E50" i="55"/>
  <c r="C45" i="56"/>
  <c r="K45" i="56"/>
  <c r="S45" i="56"/>
  <c r="H12" i="55"/>
  <c r="J12" i="55" s="1"/>
  <c r="H44" i="55"/>
  <c r="J44" i="55" s="1"/>
  <c r="Z35" i="26"/>
  <c r="H14" i="55"/>
  <c r="J14" i="55" s="1"/>
  <c r="H33" i="55"/>
  <c r="J33" i="55" s="1"/>
  <c r="H46" i="55"/>
  <c r="J46" i="55" s="1"/>
  <c r="D45" i="56"/>
  <c r="L45" i="56"/>
  <c r="T45" i="56"/>
  <c r="Z7" i="26"/>
  <c r="Z31" i="26"/>
  <c r="Y40" i="26"/>
  <c r="Y35" i="56" s="1"/>
  <c r="H16" i="55"/>
  <c r="J16" i="55" s="1"/>
  <c r="H18" i="55"/>
  <c r="J18" i="55" s="1"/>
  <c r="H37" i="55"/>
  <c r="J37" i="55" s="1"/>
  <c r="H48" i="55"/>
  <c r="J48" i="55" s="1"/>
  <c r="E45" i="56"/>
  <c r="M45" i="56"/>
  <c r="U45" i="56"/>
  <c r="AG5" i="56"/>
  <c r="Y8" i="56"/>
  <c r="AG17" i="56"/>
  <c r="AC23" i="56"/>
  <c r="AC39" i="56"/>
  <c r="H24" i="55"/>
  <c r="J24" i="55" s="1"/>
  <c r="G45" i="56"/>
  <c r="AC38" i="56"/>
  <c r="AC42" i="56"/>
  <c r="V45" i="56"/>
  <c r="AC16" i="56"/>
  <c r="Y27" i="56"/>
  <c r="H13" i="55"/>
  <c r="J13" i="55" s="1"/>
  <c r="H26" i="55"/>
  <c r="J26" i="55" s="1"/>
  <c r="H45" i="55"/>
  <c r="J45" i="55" s="1"/>
  <c r="O45" i="56"/>
  <c r="AC22" i="56"/>
  <c r="C21" i="75"/>
  <c r="Z28" i="26"/>
  <c r="H17" i="55"/>
  <c r="J17" i="55" s="1"/>
  <c r="H28" i="55"/>
  <c r="J28" i="55" s="1"/>
  <c r="H30" i="55"/>
  <c r="J30" i="55" s="1"/>
  <c r="H45" i="56"/>
  <c r="P45" i="56"/>
  <c r="AC12" i="56"/>
  <c r="Y16" i="56"/>
  <c r="AC21" i="56"/>
  <c r="AG27" i="56"/>
  <c r="AC29" i="56"/>
  <c r="AG29" i="56"/>
  <c r="F45" i="56"/>
  <c r="N45" i="56"/>
  <c r="U56" i="26"/>
  <c r="U58" i="26" s="1"/>
  <c r="B50" i="55"/>
  <c r="H21" i="55"/>
  <c r="J21" i="55" s="1"/>
  <c r="H32" i="55"/>
  <c r="J32" i="55" s="1"/>
  <c r="H34" i="55"/>
  <c r="J34" i="55" s="1"/>
  <c r="I45" i="56"/>
  <c r="Q45" i="56"/>
  <c r="Y2" i="56"/>
  <c r="AC4" i="56"/>
  <c r="AC5" i="56"/>
  <c r="AC20" i="56"/>
  <c r="AC24" i="56"/>
  <c r="AC35" i="56"/>
  <c r="D50" i="55"/>
  <c r="H25" i="55"/>
  <c r="J25" i="55" s="1"/>
  <c r="H36" i="55"/>
  <c r="J36" i="55" s="1"/>
  <c r="H38" i="55"/>
  <c r="J38" i="55" s="1"/>
  <c r="J45" i="56"/>
  <c r="R45" i="56"/>
  <c r="Z2" i="56"/>
  <c r="AG41" i="56"/>
  <c r="Y44" i="56"/>
  <c r="Z25" i="26"/>
  <c r="Z40" i="26"/>
  <c r="Z14" i="26"/>
  <c r="Z29" i="26"/>
  <c r="Z33" i="26"/>
  <c r="Z10" i="26"/>
  <c r="Z18" i="26"/>
  <c r="Z26" i="26"/>
  <c r="Z41" i="26"/>
  <c r="Z45" i="26"/>
  <c r="Y43" i="56"/>
  <c r="Y14" i="56"/>
  <c r="Y41" i="56"/>
  <c r="Y7" i="56"/>
  <c r="Z15" i="26"/>
  <c r="Z23" i="26"/>
  <c r="Y27" i="26"/>
  <c r="Y54" i="26" s="1"/>
  <c r="Z42" i="26"/>
  <c r="C50" i="55"/>
  <c r="Y15" i="56"/>
  <c r="H6" i="55"/>
  <c r="AG3" i="56"/>
  <c r="Z16" i="26"/>
  <c r="Z24" i="26"/>
  <c r="Z43" i="26"/>
  <c r="Z47" i="26"/>
  <c r="W22" i="56"/>
  <c r="W45" i="56" s="1"/>
  <c r="Y32" i="56"/>
  <c r="Y39" i="56"/>
  <c r="Z17" i="26"/>
  <c r="AL7" i="85"/>
  <c r="AL8" i="85"/>
  <c r="AL9" i="85"/>
  <c r="AL10" i="85"/>
  <c r="AL11" i="85"/>
  <c r="AM7" i="85"/>
  <c r="AM8" i="85"/>
  <c r="AM9" i="85"/>
  <c r="AM10" i="85"/>
  <c r="AM11" i="85"/>
  <c r="AM12" i="85"/>
  <c r="AM15" i="85"/>
  <c r="AN7" i="85"/>
  <c r="AN9" i="85"/>
  <c r="AN16" i="85"/>
  <c r="AO7" i="85"/>
  <c r="AO8" i="85"/>
  <c r="AO10" i="85"/>
  <c r="AO11" i="85"/>
  <c r="AO12" i="85"/>
  <c r="AO14" i="85"/>
  <c r="AO15" i="85"/>
  <c r="AN8" i="85"/>
  <c r="AN10" i="85"/>
  <c r="G17" i="85"/>
  <c r="M17" i="85"/>
  <c r="S17" i="85"/>
  <c r="Y17" i="85"/>
  <c r="AK17" i="85"/>
  <c r="S13" i="85"/>
  <c r="M16" i="85"/>
  <c r="D44" i="73"/>
  <c r="AO9" i="85"/>
  <c r="S6" i="85"/>
  <c r="M7" i="85"/>
  <c r="S7" i="85"/>
  <c r="Y7" i="85"/>
  <c r="AE7" i="85"/>
  <c r="AK7" i="85"/>
  <c r="M8" i="85"/>
  <c r="S8" i="85"/>
  <c r="Y8" i="85"/>
  <c r="AE8" i="85"/>
  <c r="AK8" i="85"/>
  <c r="M9" i="85"/>
  <c r="S9" i="85"/>
  <c r="Y9" i="85"/>
  <c r="AE9" i="85"/>
  <c r="AK9" i="85"/>
  <c r="M10" i="85"/>
  <c r="S10" i="85"/>
  <c r="Y10" i="85"/>
  <c r="AE10" i="85"/>
  <c r="AK10" i="85"/>
  <c r="G11" i="85"/>
  <c r="M11" i="85"/>
  <c r="S11" i="85"/>
  <c r="Y11" i="85"/>
  <c r="AE11" i="85"/>
  <c r="AK11" i="85"/>
  <c r="F12" i="85"/>
  <c r="R12" i="85"/>
  <c r="X12" i="85"/>
  <c r="AD12" i="85"/>
  <c r="AJ12" i="85"/>
  <c r="L13" i="85"/>
  <c r="R13" i="85"/>
  <c r="X13" i="85"/>
  <c r="AD13" i="85"/>
  <c r="AE13" i="85"/>
  <c r="Y14" i="85"/>
  <c r="AE14" i="85"/>
  <c r="AK14" i="85"/>
  <c r="M15" i="85"/>
  <c r="S15" i="85"/>
  <c r="M14" i="85"/>
  <c r="D19" i="85"/>
  <c r="J19" i="85"/>
  <c r="P19" i="85"/>
  <c r="V19" i="85"/>
  <c r="M12" i="85"/>
  <c r="S12" i="85"/>
  <c r="AE12" i="85"/>
  <c r="AK12" i="85"/>
  <c r="L15" i="85"/>
  <c r="R15" i="85"/>
  <c r="X15" i="85"/>
  <c r="AJ15" i="85"/>
  <c r="F16" i="85"/>
  <c r="L16" i="85"/>
  <c r="AN13" i="85"/>
  <c r="AN17" i="85"/>
  <c r="AB19" i="85"/>
  <c r="AH19" i="85"/>
  <c r="AN11" i="85"/>
  <c r="L34" i="87"/>
  <c r="K34" i="87"/>
  <c r="J34" i="87"/>
  <c r="AG42" i="56"/>
  <c r="E19" i="85"/>
  <c r="K19" i="85"/>
  <c r="Q19" i="85"/>
  <c r="W19" i="85"/>
  <c r="AC19" i="85"/>
  <c r="AI19" i="85"/>
  <c r="AM13" i="85"/>
  <c r="M13" i="85"/>
  <c r="Y13" i="85"/>
  <c r="AJ13" i="85"/>
  <c r="F14" i="85"/>
  <c r="L14" i="85"/>
  <c r="R14" i="85"/>
  <c r="X14" i="85"/>
  <c r="AN15" i="85"/>
  <c r="Y15" i="85"/>
  <c r="AE15" i="85"/>
  <c r="AK15" i="85"/>
  <c r="G16" i="85"/>
  <c r="AM16" i="85"/>
  <c r="AL16" i="85"/>
  <c r="AD16" i="85"/>
  <c r="AL17" i="85"/>
  <c r="AO17" i="85"/>
  <c r="B19" i="85"/>
  <c r="H19" i="85"/>
  <c r="N19" i="85"/>
  <c r="T19" i="85"/>
  <c r="Z19" i="85"/>
  <c r="AF19" i="85"/>
  <c r="L7" i="85"/>
  <c r="R7" i="85"/>
  <c r="X7" i="85"/>
  <c r="AD7" i="85"/>
  <c r="AJ7" i="85"/>
  <c r="L8" i="85"/>
  <c r="R8" i="85"/>
  <c r="X8" i="85"/>
  <c r="AD8" i="85"/>
  <c r="AJ8" i="85"/>
  <c r="L9" i="85"/>
  <c r="R9" i="85"/>
  <c r="X9" i="85"/>
  <c r="AD9" i="85"/>
  <c r="AJ9" i="85"/>
  <c r="L10" i="85"/>
  <c r="R10" i="85"/>
  <c r="X10" i="85"/>
  <c r="AD10" i="85"/>
  <c r="AJ10" i="85"/>
  <c r="L11" i="85"/>
  <c r="R11" i="85"/>
  <c r="X11" i="85"/>
  <c r="AD11" i="85"/>
  <c r="AJ11" i="85"/>
  <c r="Y12" i="85"/>
  <c r="AK13" i="85"/>
  <c r="G14" i="85"/>
  <c r="S14" i="85"/>
  <c r="AD14" i="85"/>
  <c r="AL14" i="85"/>
  <c r="S16" i="85"/>
  <c r="Y16" i="85"/>
  <c r="AE16" i="85"/>
  <c r="AK16" i="85"/>
  <c r="L17" i="85"/>
  <c r="X17" i="85"/>
  <c r="AJ17" i="85"/>
  <c r="C19" i="85"/>
  <c r="I19" i="85"/>
  <c r="U19" i="85"/>
  <c r="AA19" i="85"/>
  <c r="AG19" i="85"/>
  <c r="AO13" i="85"/>
  <c r="AN14" i="85"/>
  <c r="AO16" i="85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30" i="73"/>
  <c r="E31" i="73"/>
  <c r="E32" i="73"/>
  <c r="E33" i="73"/>
  <c r="E34" i="73"/>
  <c r="E35" i="73"/>
  <c r="E36" i="73"/>
  <c r="E37" i="73"/>
  <c r="J38" i="73"/>
  <c r="J39" i="73"/>
  <c r="E7" i="73"/>
  <c r="E8" i="73"/>
  <c r="J9" i="73"/>
  <c r="J10" i="73"/>
  <c r="J11" i="73"/>
  <c r="J12" i="73"/>
  <c r="J13" i="73"/>
  <c r="J14" i="73"/>
  <c r="J15" i="73"/>
  <c r="J16" i="73"/>
  <c r="J17" i="73"/>
  <c r="J18" i="73"/>
  <c r="J19" i="73"/>
  <c r="J20" i="73"/>
  <c r="J21" i="73"/>
  <c r="J22" i="73"/>
  <c r="J23" i="73"/>
  <c r="J24" i="73"/>
  <c r="J25" i="73"/>
  <c r="J26" i="73"/>
  <c r="J27" i="73"/>
  <c r="E28" i="73"/>
  <c r="E29" i="73"/>
  <c r="J30" i="73"/>
  <c r="J31" i="73"/>
  <c r="J32" i="73"/>
  <c r="J33" i="73"/>
  <c r="J34" i="73"/>
  <c r="J35" i="73"/>
  <c r="J36" i="73"/>
  <c r="J37" i="73"/>
  <c r="J7" i="73"/>
  <c r="J8" i="73"/>
  <c r="J28" i="73"/>
  <c r="J29" i="73"/>
  <c r="E38" i="73"/>
  <c r="E39" i="73"/>
  <c r="D10" i="73"/>
  <c r="P10" i="73"/>
  <c r="D14" i="73"/>
  <c r="P14" i="73"/>
  <c r="D22" i="73"/>
  <c r="P22" i="73"/>
  <c r="D26" i="73"/>
  <c r="P26" i="73"/>
  <c r="D30" i="73"/>
  <c r="P30" i="73"/>
  <c r="D34" i="73"/>
  <c r="P34" i="73"/>
  <c r="D38" i="73"/>
  <c r="P38" i="73"/>
  <c r="D17" i="73"/>
  <c r="D11" i="73"/>
  <c r="P11" i="73"/>
  <c r="D15" i="73"/>
  <c r="P15" i="73"/>
  <c r="D19" i="73"/>
  <c r="P19" i="73"/>
  <c r="D23" i="73"/>
  <c r="P23" i="73"/>
  <c r="D27" i="73"/>
  <c r="P27" i="73"/>
  <c r="D31" i="73"/>
  <c r="P31" i="73"/>
  <c r="D35" i="73"/>
  <c r="P35" i="73"/>
  <c r="D39" i="73"/>
  <c r="P39" i="73"/>
  <c r="D18" i="73"/>
  <c r="D12" i="73"/>
  <c r="P12" i="73"/>
  <c r="D16" i="73"/>
  <c r="P16" i="73"/>
  <c r="D20" i="73"/>
  <c r="P20" i="73"/>
  <c r="D24" i="73"/>
  <c r="P24" i="73"/>
  <c r="D28" i="73"/>
  <c r="P28" i="73"/>
  <c r="D32" i="73"/>
  <c r="P32" i="73"/>
  <c r="D36" i="73"/>
  <c r="P36" i="73"/>
  <c r="D9" i="73"/>
  <c r="P9" i="73"/>
  <c r="D13" i="73"/>
  <c r="P13" i="73"/>
  <c r="D21" i="73"/>
  <c r="P21" i="73"/>
  <c r="D25" i="73"/>
  <c r="P25" i="73"/>
  <c r="D29" i="73"/>
  <c r="P29" i="73"/>
  <c r="D33" i="73"/>
  <c r="P33" i="73"/>
  <c r="D37" i="73"/>
  <c r="P37" i="73"/>
  <c r="M6" i="85"/>
  <c r="Y6" i="85"/>
  <c r="AK6" i="85"/>
  <c r="AO6" i="85"/>
  <c r="G7" i="85"/>
  <c r="G9" i="85"/>
  <c r="G12" i="85"/>
  <c r="AL12" i="85"/>
  <c r="AM14" i="85"/>
  <c r="AL15" i="85"/>
  <c r="G15" i="85"/>
  <c r="R16" i="85"/>
  <c r="AM17" i="85"/>
  <c r="O19" i="85"/>
  <c r="F6" i="85"/>
  <c r="R6" i="85"/>
  <c r="AD6" i="85"/>
  <c r="AL6" i="85"/>
  <c r="F8" i="85"/>
  <c r="F10" i="85"/>
  <c r="AN12" i="85"/>
  <c r="L12" i="85"/>
  <c r="AL13" i="85"/>
  <c r="G13" i="85"/>
  <c r="AJ16" i="85"/>
  <c r="AD17" i="85"/>
  <c r="G6" i="85"/>
  <c r="AE6" i="85"/>
  <c r="AM6" i="85"/>
  <c r="G8" i="85"/>
  <c r="G10" i="85"/>
  <c r="AJ14" i="85"/>
  <c r="AD15" i="85"/>
  <c r="X16" i="85"/>
  <c r="R17" i="85"/>
  <c r="AE17" i="85"/>
  <c r="L6" i="85"/>
  <c r="X6" i="85"/>
  <c r="AJ6" i="85"/>
  <c r="AN6" i="85"/>
  <c r="F7" i="85"/>
  <c r="F9" i="85"/>
  <c r="F11" i="85"/>
  <c r="F13" i="85"/>
  <c r="F15" i="85"/>
  <c r="F17" i="85"/>
  <c r="P42" i="87"/>
  <c r="G54" i="87" s="1"/>
  <c r="N42" i="87"/>
  <c r="S42" i="87"/>
  <c r="G56" i="87" s="1"/>
  <c r="G42" i="87"/>
  <c r="G47" i="87" s="1"/>
  <c r="O42" i="87"/>
  <c r="G53" i="87" s="1"/>
  <c r="Z42" i="87"/>
  <c r="Q42" i="87"/>
  <c r="M42" i="87"/>
  <c r="G46" i="87" s="1"/>
  <c r="H50" i="55" l="1"/>
  <c r="J6" i="55"/>
  <c r="J50" i="55" s="1"/>
  <c r="Y22" i="56"/>
  <c r="Y45" i="56" s="1"/>
  <c r="Z27" i="26"/>
  <c r="Z54" i="26" s="1"/>
  <c r="M19" i="85"/>
  <c r="AK19" i="85"/>
  <c r="S19" i="85"/>
  <c r="X19" i="85"/>
  <c r="R19" i="85"/>
  <c r="G35" i="73"/>
  <c r="I34" i="87"/>
  <c r="G8" i="73"/>
  <c r="AO19" i="85"/>
  <c r="H39" i="73"/>
  <c r="G37" i="73"/>
  <c r="F19" i="73"/>
  <c r="G33" i="73"/>
  <c r="H7" i="73"/>
  <c r="G31" i="73"/>
  <c r="L19" i="85"/>
  <c r="AD19" i="85"/>
  <c r="Y19" i="85"/>
  <c r="G29" i="73"/>
  <c r="H38" i="73"/>
  <c r="H8" i="73"/>
  <c r="I39" i="73"/>
  <c r="H36" i="73"/>
  <c r="H34" i="73"/>
  <c r="H32" i="73"/>
  <c r="H30" i="73"/>
  <c r="H26" i="73"/>
  <c r="H24" i="73"/>
  <c r="H22" i="73"/>
  <c r="H20" i="73"/>
  <c r="H18" i="73"/>
  <c r="H16" i="73"/>
  <c r="H14" i="73"/>
  <c r="H12" i="73"/>
  <c r="H10" i="73"/>
  <c r="G26" i="73"/>
  <c r="G22" i="73"/>
  <c r="G18" i="73"/>
  <c r="G14" i="73"/>
  <c r="G10" i="73"/>
  <c r="I7" i="73"/>
  <c r="I34" i="73"/>
  <c r="I30" i="73"/>
  <c r="H28" i="73"/>
  <c r="I24" i="73"/>
  <c r="I20" i="73"/>
  <c r="I16" i="73"/>
  <c r="I12" i="73"/>
  <c r="AM19" i="85"/>
  <c r="AQ6" i="85"/>
  <c r="AQ7" i="85" s="1"/>
  <c r="AQ8" i="85" s="1"/>
  <c r="AQ9" i="85" s="1"/>
  <c r="AQ10" i="85" s="1"/>
  <c r="AQ11" i="85" s="1"/>
  <c r="AQ12" i="85" s="1"/>
  <c r="AQ13" i="85" s="1"/>
  <c r="AQ14" i="85" s="1"/>
  <c r="AQ15" i="85" s="1"/>
  <c r="AQ16" i="85" s="1"/>
  <c r="AQ17" i="85" s="1"/>
  <c r="I38" i="73"/>
  <c r="G28" i="73"/>
  <c r="G36" i="73"/>
  <c r="G34" i="73"/>
  <c r="G32" i="73"/>
  <c r="G30" i="73"/>
  <c r="G25" i="73"/>
  <c r="G21" i="73"/>
  <c r="G17" i="73"/>
  <c r="G13" i="73"/>
  <c r="G9" i="73"/>
  <c r="J44" i="73"/>
  <c r="G38" i="73"/>
  <c r="I37" i="73"/>
  <c r="I33" i="73"/>
  <c r="I27" i="73"/>
  <c r="I23" i="73"/>
  <c r="I19" i="73"/>
  <c r="I15" i="73"/>
  <c r="I11" i="73"/>
  <c r="AN19" i="85"/>
  <c r="AE19" i="85"/>
  <c r="F19" i="85"/>
  <c r="H37" i="73"/>
  <c r="H35" i="73"/>
  <c r="H33" i="73"/>
  <c r="H31" i="73"/>
  <c r="H27" i="73"/>
  <c r="H25" i="73"/>
  <c r="H23" i="73"/>
  <c r="H21" i="73"/>
  <c r="H19" i="73"/>
  <c r="H17" i="73"/>
  <c r="H15" i="73"/>
  <c r="H13" i="73"/>
  <c r="H11" i="73"/>
  <c r="H9" i="73"/>
  <c r="G7" i="73"/>
  <c r="G24" i="73"/>
  <c r="G20" i="73"/>
  <c r="G16" i="73"/>
  <c r="G12" i="73"/>
  <c r="I29" i="73"/>
  <c r="E44" i="73"/>
  <c r="I36" i="73"/>
  <c r="I32" i="73"/>
  <c r="H29" i="73"/>
  <c r="I26" i="73"/>
  <c r="I22" i="73"/>
  <c r="I18" i="73"/>
  <c r="I14" i="73"/>
  <c r="I10" i="73"/>
  <c r="AJ19" i="85"/>
  <c r="G19" i="85"/>
  <c r="AL19" i="85"/>
  <c r="AP6" i="85"/>
  <c r="AP7" i="85" s="1"/>
  <c r="AP8" i="85" s="1"/>
  <c r="AP9" i="85" s="1"/>
  <c r="AP10" i="85" s="1"/>
  <c r="AP11" i="85" s="1"/>
  <c r="AP12" i="85" s="1"/>
  <c r="AP13" i="85" s="1"/>
  <c r="AP14" i="85" s="1"/>
  <c r="AP15" i="85" s="1"/>
  <c r="AP16" i="85" s="1"/>
  <c r="AP17" i="85" s="1"/>
  <c r="G27" i="73"/>
  <c r="G23" i="73"/>
  <c r="G19" i="73"/>
  <c r="G15" i="73"/>
  <c r="G11" i="73"/>
  <c r="G39" i="73"/>
  <c r="I28" i="73"/>
  <c r="I8" i="73"/>
  <c r="I35" i="73"/>
  <c r="I31" i="73"/>
  <c r="I25" i="73"/>
  <c r="I21" i="73"/>
  <c r="I17" i="73"/>
  <c r="I13" i="73"/>
  <c r="I9" i="73"/>
  <c r="G55" i="87"/>
  <c r="F17" i="73" l="1"/>
  <c r="F23" i="73"/>
  <c r="F13" i="73"/>
  <c r="F11" i="73"/>
  <c r="F9" i="73"/>
  <c r="F25" i="73"/>
  <c r="F15" i="73"/>
  <c r="F21" i="73"/>
  <c r="F38" i="73"/>
  <c r="H44" i="73"/>
  <c r="F20" i="73"/>
  <c r="F18" i="73"/>
  <c r="F30" i="73"/>
  <c r="F37" i="73"/>
  <c r="F24" i="73"/>
  <c r="F32" i="73"/>
  <c r="F27" i="73"/>
  <c r="G44" i="73"/>
  <c r="F22" i="73"/>
  <c r="F34" i="73"/>
  <c r="I44" i="73"/>
  <c r="F39" i="73"/>
  <c r="F12" i="73"/>
  <c r="F28" i="73"/>
  <c r="F36" i="73"/>
  <c r="F31" i="73"/>
  <c r="F10" i="73"/>
  <c r="F26" i="73"/>
  <c r="F8" i="73"/>
  <c r="F33" i="73"/>
  <c r="F16" i="73"/>
  <c r="F29" i="73"/>
  <c r="F35" i="73"/>
  <c r="F14" i="73"/>
  <c r="F7" i="73"/>
  <c r="F44" i="73" l="1"/>
  <c r="F6" i="87" l="1"/>
  <c r="C21" i="73" l="1"/>
  <c r="C30" i="73"/>
  <c r="C39" i="73"/>
  <c r="C25" i="73"/>
  <c r="C27" i="73"/>
  <c r="C24" i="73"/>
  <c r="C15" i="73"/>
  <c r="C6" i="73"/>
  <c r="C9" i="73"/>
  <c r="C29" i="73"/>
  <c r="C19" i="73"/>
  <c r="C35" i="73"/>
  <c r="C18" i="73"/>
  <c r="C32" i="73"/>
  <c r="C7" i="73"/>
  <c r="C8" i="73"/>
  <c r="C23" i="73"/>
  <c r="C36" i="73"/>
  <c r="C22" i="73"/>
  <c r="C33" i="73"/>
  <c r="C10" i="73"/>
  <c r="C20" i="73"/>
  <c r="C13" i="73"/>
  <c r="C11" i="73"/>
  <c r="C12" i="73"/>
  <c r="C14" i="73"/>
  <c r="C38" i="73"/>
  <c r="C26" i="73"/>
  <c r="C17" i="73"/>
  <c r="C34" i="73"/>
  <c r="C31" i="73"/>
  <c r="C16" i="73"/>
  <c r="C28" i="73"/>
  <c r="C37" i="73"/>
  <c r="C44" i="73" l="1"/>
  <c r="H42" i="87" l="1"/>
  <c r="H27" i="87" l="1"/>
  <c r="H36" i="87"/>
  <c r="L36" i="87" l="1"/>
  <c r="J36" i="87"/>
  <c r="K36" i="87"/>
  <c r="L27" i="87"/>
  <c r="J27" i="87"/>
  <c r="K27" i="87"/>
  <c r="I36" i="87" l="1"/>
  <c r="F36" i="87" s="1"/>
  <c r="I27" i="87"/>
  <c r="F27" i="87" s="1"/>
  <c r="H8" i="87" l="1"/>
  <c r="H9" i="87"/>
  <c r="H10" i="87"/>
  <c r="H11" i="87"/>
  <c r="H12" i="87"/>
  <c r="H13" i="87"/>
  <c r="H14" i="87"/>
  <c r="H15" i="87"/>
  <c r="H16" i="87"/>
  <c r="H17" i="87"/>
  <c r="H19" i="87"/>
  <c r="H21" i="87"/>
  <c r="H22" i="87"/>
  <c r="H23" i="87"/>
  <c r="H24" i="87"/>
  <c r="H25" i="87"/>
  <c r="H26" i="87"/>
  <c r="H28" i="87"/>
  <c r="H29" i="87"/>
  <c r="H30" i="87"/>
  <c r="H31" i="87"/>
  <c r="H32" i="87"/>
  <c r="H33" i="87"/>
  <c r="H35" i="87"/>
  <c r="H37" i="87"/>
  <c r="H38" i="87"/>
  <c r="H7" i="87"/>
  <c r="L7" i="87" l="1"/>
  <c r="K7" i="87"/>
  <c r="J7" i="87"/>
  <c r="K33" i="87"/>
  <c r="L33" i="87"/>
  <c r="J33" i="87"/>
  <c r="J29" i="87"/>
  <c r="L29" i="87"/>
  <c r="K29" i="87"/>
  <c r="L24" i="87"/>
  <c r="J24" i="87"/>
  <c r="K24" i="87"/>
  <c r="L19" i="87"/>
  <c r="J19" i="87"/>
  <c r="K19" i="87"/>
  <c r="K14" i="87"/>
  <c r="J14" i="87"/>
  <c r="L14" i="87"/>
  <c r="K10" i="87"/>
  <c r="L10" i="87"/>
  <c r="J10" i="87"/>
  <c r="J38" i="87"/>
  <c r="K38" i="87"/>
  <c r="L38" i="87"/>
  <c r="K32" i="87"/>
  <c r="L32" i="87"/>
  <c r="J32" i="87"/>
  <c r="L28" i="87"/>
  <c r="K28" i="87"/>
  <c r="J28" i="87"/>
  <c r="K23" i="87"/>
  <c r="L23" i="87"/>
  <c r="J23" i="87"/>
  <c r="J17" i="87"/>
  <c r="K17" i="87"/>
  <c r="L17" i="87"/>
  <c r="K13" i="87"/>
  <c r="J13" i="87"/>
  <c r="L13" i="87"/>
  <c r="K9" i="87"/>
  <c r="J9" i="87"/>
  <c r="L9" i="87"/>
  <c r="J37" i="87"/>
  <c r="L37" i="87"/>
  <c r="K37" i="87"/>
  <c r="K31" i="87"/>
  <c r="L31" i="87"/>
  <c r="J31" i="87"/>
  <c r="J26" i="87"/>
  <c r="L26" i="87"/>
  <c r="K26" i="87"/>
  <c r="J22" i="87"/>
  <c r="L22" i="87"/>
  <c r="K22" i="87"/>
  <c r="K16" i="87"/>
  <c r="J16" i="87"/>
  <c r="L16" i="87"/>
  <c r="J12" i="87"/>
  <c r="L12" i="87"/>
  <c r="K12" i="87"/>
  <c r="K8" i="87"/>
  <c r="L8" i="87"/>
  <c r="J8" i="87"/>
  <c r="J35" i="87"/>
  <c r="L35" i="87"/>
  <c r="K35" i="87"/>
  <c r="L30" i="87"/>
  <c r="K30" i="87"/>
  <c r="J30" i="87"/>
  <c r="J25" i="87"/>
  <c r="L25" i="87"/>
  <c r="K25" i="87"/>
  <c r="L21" i="87"/>
  <c r="K21" i="87"/>
  <c r="J21" i="87"/>
  <c r="L15" i="87"/>
  <c r="K15" i="87"/>
  <c r="J15" i="87"/>
  <c r="J11" i="87"/>
  <c r="K11" i="87"/>
  <c r="L11" i="87"/>
  <c r="I25" i="87" l="1"/>
  <c r="F25" i="87" s="1"/>
  <c r="I12" i="87"/>
  <c r="F12" i="87" s="1"/>
  <c r="I31" i="87"/>
  <c r="F31" i="87" s="1"/>
  <c r="I23" i="87"/>
  <c r="F23" i="87" s="1"/>
  <c r="I10" i="87"/>
  <c r="F10" i="87" s="1"/>
  <c r="I15" i="87"/>
  <c r="F15" i="87" s="1"/>
  <c r="I35" i="87"/>
  <c r="F35" i="87" s="1"/>
  <c r="I22" i="87"/>
  <c r="F22" i="87" s="1"/>
  <c r="I11" i="87"/>
  <c r="F11" i="87" s="1"/>
  <c r="I30" i="87"/>
  <c r="F30" i="87" s="1"/>
  <c r="I16" i="87"/>
  <c r="F16" i="87" s="1"/>
  <c r="I33" i="87"/>
  <c r="F33" i="87" s="1"/>
  <c r="I21" i="87"/>
  <c r="F21" i="87" s="1"/>
  <c r="I8" i="87"/>
  <c r="F8" i="87" s="1"/>
  <c r="I26" i="87"/>
  <c r="F26" i="87" s="1"/>
  <c r="I9" i="87"/>
  <c r="F9" i="87" s="1"/>
  <c r="I14" i="87"/>
  <c r="F14" i="87" s="1"/>
  <c r="I32" i="87"/>
  <c r="F32" i="87" s="1"/>
  <c r="I24" i="87"/>
  <c r="F24" i="87" s="1"/>
  <c r="I13" i="87"/>
  <c r="F13" i="87" s="1"/>
  <c r="I17" i="87"/>
  <c r="F17" i="87" s="1"/>
  <c r="I28" i="87"/>
  <c r="F28" i="87" s="1"/>
  <c r="I38" i="87"/>
  <c r="F38" i="87" s="1"/>
  <c r="I7" i="87"/>
  <c r="F7" i="87" s="1"/>
  <c r="I37" i="87"/>
  <c r="F37" i="87" s="1"/>
  <c r="I19" i="87"/>
  <c r="F19" i="87" s="1"/>
  <c r="I29" i="87"/>
  <c r="F29" i="87" s="1"/>
  <c r="H18" i="87" l="1"/>
  <c r="J18" i="87" l="1"/>
  <c r="K18" i="87"/>
  <c r="L18" i="87"/>
  <c r="H20" i="87"/>
  <c r="I18" i="87" l="1"/>
  <c r="F18" i="87" s="1"/>
  <c r="K20" i="87"/>
  <c r="K42" i="87" s="1"/>
  <c r="G50" i="87" s="1"/>
  <c r="L20" i="87"/>
  <c r="L42" i="87" s="1"/>
  <c r="G51" i="87" s="1"/>
  <c r="J20" i="87"/>
  <c r="J42" i="87" s="1"/>
  <c r="G49" i="87" s="1"/>
  <c r="I20" i="87" l="1"/>
  <c r="F20" i="87" l="1"/>
  <c r="F42" i="87" s="1"/>
  <c r="I42" i="87"/>
  <c r="G48" i="87" s="1"/>
  <c r="E20" i="87" l="1"/>
  <c r="E9" i="87"/>
  <c r="E15" i="87"/>
  <c r="E38" i="87"/>
  <c r="E21" i="87"/>
  <c r="E16" i="87"/>
  <c r="E33" i="87"/>
  <c r="E11" i="87"/>
  <c r="E34" i="87"/>
  <c r="E37" i="87"/>
  <c r="E29" i="87"/>
  <c r="E28" i="87"/>
  <c r="E36" i="87"/>
  <c r="E30" i="87"/>
  <c r="E6" i="87"/>
  <c r="E42" i="87" s="1"/>
  <c r="E7" i="87"/>
  <c r="E14" i="87"/>
  <c r="E31" i="87"/>
  <c r="E35" i="87"/>
  <c r="E10" i="87"/>
  <c r="E26" i="87"/>
  <c r="E32" i="87"/>
  <c r="E25" i="87"/>
  <c r="E18" i="87"/>
  <c r="E13" i="87"/>
  <c r="E19" i="87"/>
  <c r="E17" i="87"/>
  <c r="E24" i="87"/>
  <c r="E8" i="87"/>
  <c r="E12" i="87"/>
  <c r="E23" i="87"/>
  <c r="E22" i="87"/>
  <c r="E27" i="87"/>
  <c r="D31" i="92" l="1"/>
  <c r="H34" i="127" l="1"/>
  <c r="H27" i="127"/>
  <c r="H34" i="135" l="1"/>
  <c r="H27" i="135"/>
  <c r="H33" i="127" l="1"/>
  <c r="H29" i="127"/>
  <c r="H12" i="135"/>
  <c r="H17" i="135"/>
  <c r="H9" i="135"/>
  <c r="H25" i="135"/>
  <c r="H30" i="135"/>
  <c r="H36" i="135"/>
  <c r="H29" i="135"/>
  <c r="H18" i="135" l="1"/>
  <c r="H24" i="135"/>
  <c r="H23" i="135"/>
  <c r="H10" i="135"/>
  <c r="H21" i="135"/>
  <c r="H13" i="135"/>
  <c r="H20" i="135"/>
  <c r="H22" i="135"/>
  <c r="H16" i="135"/>
  <c r="H32" i="135"/>
  <c r="H26" i="135"/>
  <c r="H15" i="135"/>
  <c r="H28" i="135"/>
  <c r="H11" i="135"/>
  <c r="H19" i="135" l="1"/>
  <c r="H33" i="135"/>
  <c r="H8" i="135" l="1"/>
  <c r="H7" i="127" l="1"/>
  <c r="H7" i="135" l="1"/>
  <c r="H14" i="135" l="1"/>
  <c r="H31" i="135"/>
  <c r="H35" i="135" l="1"/>
  <c r="H38" i="135" s="1"/>
  <c r="G17" i="135" l="1"/>
  <c r="K17" i="135" s="1"/>
  <c r="P17" i="135" s="1"/>
  <c r="S17" i="135" s="1"/>
  <c r="G34" i="135"/>
  <c r="K34" i="135" s="1"/>
  <c r="G12" i="135"/>
  <c r="K12" i="135" s="1"/>
  <c r="P12" i="135" s="1"/>
  <c r="S12" i="135" s="1"/>
  <c r="G30" i="135"/>
  <c r="K30" i="135" s="1"/>
  <c r="P30" i="135" s="1"/>
  <c r="S30" i="135" s="1"/>
  <c r="G32" i="135"/>
  <c r="K32" i="135" s="1"/>
  <c r="P32" i="135" s="1"/>
  <c r="S32" i="135" s="1"/>
  <c r="G20" i="135"/>
  <c r="K20" i="135" s="1"/>
  <c r="P20" i="135" s="1"/>
  <c r="S20" i="135" s="1"/>
  <c r="G11" i="135"/>
  <c r="K11" i="135" s="1"/>
  <c r="P11" i="135" s="1"/>
  <c r="S11" i="135" s="1"/>
  <c r="G16" i="135"/>
  <c r="K16" i="135" s="1"/>
  <c r="P16" i="135" s="1"/>
  <c r="S16" i="135" s="1"/>
  <c r="G14" i="135"/>
  <c r="K14" i="135" s="1"/>
  <c r="G28" i="135"/>
  <c r="K28" i="135" s="1"/>
  <c r="P28" i="135" s="1"/>
  <c r="S28" i="135" s="1"/>
  <c r="G21" i="135"/>
  <c r="K21" i="135" s="1"/>
  <c r="P21" i="135" s="1"/>
  <c r="S21" i="135" s="1"/>
  <c r="G29" i="135"/>
  <c r="K29" i="135" s="1"/>
  <c r="P29" i="135" s="1"/>
  <c r="S29" i="135" s="1"/>
  <c r="G35" i="135"/>
  <c r="K35" i="135" s="1"/>
  <c r="P35" i="135" s="1"/>
  <c r="S35" i="135" s="1"/>
  <c r="G23" i="135"/>
  <c r="K23" i="135" s="1"/>
  <c r="P23" i="135" s="1"/>
  <c r="S23" i="135" s="1"/>
  <c r="G10" i="135"/>
  <c r="K10" i="135" s="1"/>
  <c r="P10" i="135" s="1"/>
  <c r="S10" i="135" s="1"/>
  <c r="G8" i="135"/>
  <c r="K8" i="135" s="1"/>
  <c r="P8" i="135" s="1"/>
  <c r="S8" i="135" s="1"/>
  <c r="G13" i="135"/>
  <c r="K13" i="135" s="1"/>
  <c r="P13" i="135" s="1"/>
  <c r="S13" i="135" s="1"/>
  <c r="G33" i="135"/>
  <c r="K33" i="135" s="1"/>
  <c r="P33" i="135" s="1"/>
  <c r="S33" i="135" s="1"/>
  <c r="G22" i="135"/>
  <c r="K22" i="135" s="1"/>
  <c r="P22" i="135" s="1"/>
  <c r="S22" i="135" s="1"/>
  <c r="G15" i="135"/>
  <c r="K15" i="135" s="1"/>
  <c r="P15" i="135" s="1"/>
  <c r="S15" i="135" s="1"/>
  <c r="G24" i="135"/>
  <c r="K24" i="135" s="1"/>
  <c r="P24" i="135" s="1"/>
  <c r="S24" i="135" s="1"/>
  <c r="G36" i="135"/>
  <c r="K36" i="135" s="1"/>
  <c r="P36" i="135" s="1"/>
  <c r="S36" i="135" s="1"/>
  <c r="G19" i="135"/>
  <c r="K19" i="135" s="1"/>
  <c r="P19" i="135" s="1"/>
  <c r="S19" i="135" s="1"/>
  <c r="G7" i="135"/>
  <c r="K7" i="135" s="1"/>
  <c r="P7" i="135" s="1"/>
  <c r="G9" i="135"/>
  <c r="K9" i="135" s="1"/>
  <c r="P9" i="135" s="1"/>
  <c r="S9" i="135" s="1"/>
  <c r="G26" i="135"/>
  <c r="K26" i="135" s="1"/>
  <c r="P26" i="135" s="1"/>
  <c r="S26" i="135" s="1"/>
  <c r="G27" i="135"/>
  <c r="K27" i="135" s="1"/>
  <c r="G31" i="135"/>
  <c r="K31" i="135" s="1"/>
  <c r="G18" i="135"/>
  <c r="K18" i="135" s="1"/>
  <c r="P18" i="135" s="1"/>
  <c r="S18" i="135" s="1"/>
  <c r="G25" i="135"/>
  <c r="K25" i="135" s="1"/>
  <c r="P25" i="135" s="1"/>
  <c r="S25" i="135" s="1"/>
  <c r="G6" i="135" l="1"/>
  <c r="G38" i="135" s="1"/>
  <c r="S7" i="135"/>
  <c r="S38" i="135" s="1"/>
  <c r="P38" i="135"/>
  <c r="K6" i="135" l="1"/>
  <c r="K38" i="135" s="1"/>
  <c r="C6" i="135" l="1"/>
  <c r="C38" i="135" s="1"/>
  <c r="F6" i="135" l="1"/>
  <c r="F38" i="135" l="1"/>
  <c r="V6" i="135"/>
  <c r="X6" i="135" l="1"/>
  <c r="X38" i="135" s="1"/>
  <c r="V38" i="135"/>
  <c r="J18" i="136" l="1"/>
  <c r="O18" i="136"/>
  <c r="J32" i="136"/>
  <c r="O32" i="136"/>
  <c r="J22" i="136"/>
  <c r="O22" i="136"/>
  <c r="AA22" i="136"/>
  <c r="O11" i="136"/>
  <c r="AB22" i="136"/>
  <c r="AB14" i="136"/>
  <c r="AA15" i="136"/>
  <c r="O14" i="136"/>
  <c r="J11" i="136"/>
  <c r="O24" i="136"/>
  <c r="J14" i="136"/>
  <c r="O19" i="136"/>
  <c r="O30" i="136"/>
  <c r="AB15" i="136"/>
  <c r="AA18" i="136"/>
  <c r="AB18" i="136"/>
  <c r="AB11" i="136"/>
  <c r="J15" i="136"/>
  <c r="J24" i="136"/>
  <c r="AA11" i="136"/>
  <c r="AB24" i="136"/>
  <c r="AB25" i="136"/>
  <c r="J25" i="136"/>
  <c r="O25" i="136"/>
  <c r="AA25" i="136"/>
  <c r="AB30" i="136"/>
  <c r="AA32" i="136"/>
  <c r="J35" i="136"/>
  <c r="O15" i="136"/>
  <c r="O12" i="136"/>
  <c r="O36" i="136"/>
  <c r="AB12" i="136"/>
  <c r="J30" i="136"/>
  <c r="J19" i="136"/>
  <c r="AB32" i="136"/>
  <c r="AA35" i="136"/>
  <c r="O35" i="136"/>
  <c r="J12" i="136"/>
  <c r="AA19" i="136"/>
  <c r="J36" i="136"/>
  <c r="AA12" i="136"/>
  <c r="AA30" i="136"/>
  <c r="AA24" i="136"/>
  <c r="AB36" i="136"/>
  <c r="AA36" i="136"/>
  <c r="AA23" i="136"/>
  <c r="J23" i="136"/>
  <c r="AB23" i="136"/>
  <c r="O23" i="136"/>
  <c r="AB17" i="136"/>
  <c r="J17" i="136"/>
  <c r="AA17" i="136"/>
  <c r="O17" i="136"/>
  <c r="J26" i="136"/>
  <c r="AB26" i="136"/>
  <c r="AA26" i="136"/>
  <c r="O26" i="136"/>
  <c r="J20" i="136"/>
  <c r="AB20" i="136"/>
  <c r="AA20" i="136"/>
  <c r="O20" i="136"/>
  <c r="AB19" i="136"/>
  <c r="AB10" i="136"/>
  <c r="O10" i="136"/>
  <c r="J10" i="136"/>
  <c r="AA10" i="136"/>
  <c r="AB35" i="136"/>
  <c r="AB21" i="136"/>
  <c r="J21" i="136"/>
  <c r="AA21" i="136"/>
  <c r="O21" i="136"/>
  <c r="AA31" i="136"/>
  <c r="J31" i="136"/>
  <c r="AB31" i="136"/>
  <c r="O31" i="136"/>
  <c r="AA14" i="136"/>
  <c r="O9" i="136"/>
  <c r="AA9" i="136"/>
  <c r="J9" i="136"/>
  <c r="AB9" i="136"/>
  <c r="J8" i="136"/>
  <c r="AB8" i="136"/>
  <c r="AA8" i="136"/>
  <c r="O8" i="136"/>
  <c r="AA28" i="136"/>
  <c r="J28" i="136"/>
  <c r="AB28" i="136"/>
  <c r="O28" i="136"/>
  <c r="AB13" i="136"/>
  <c r="J13" i="136"/>
  <c r="O13" i="136"/>
  <c r="AA13" i="136"/>
  <c r="J16" i="136"/>
  <c r="AB16" i="136"/>
  <c r="O16" i="136"/>
  <c r="AA16" i="136"/>
  <c r="AB39" i="136" l="1"/>
  <c r="O39" i="136"/>
  <c r="AA39" i="136"/>
  <c r="J39" i="136"/>
  <c r="L31" i="136"/>
  <c r="M31" i="136"/>
  <c r="N31" i="136"/>
  <c r="L17" i="136"/>
  <c r="N17" i="136"/>
  <c r="M17" i="136"/>
  <c r="L23" i="136"/>
  <c r="N23" i="136"/>
  <c r="M23" i="136"/>
  <c r="L12" i="136"/>
  <c r="N12" i="136"/>
  <c r="M12" i="136"/>
  <c r="L19" i="136"/>
  <c r="M19" i="136"/>
  <c r="N19" i="136"/>
  <c r="M14" i="136"/>
  <c r="N14" i="136"/>
  <c r="L14" i="136"/>
  <c r="L9" i="136"/>
  <c r="M9" i="136"/>
  <c r="N9" i="136"/>
  <c r="M20" i="136"/>
  <c r="N20" i="136"/>
  <c r="L20" i="136"/>
  <c r="N30" i="136"/>
  <c r="L30" i="136"/>
  <c r="M30" i="136"/>
  <c r="N22" i="136"/>
  <c r="L22" i="136"/>
  <c r="M22" i="136"/>
  <c r="M16" i="136"/>
  <c r="N16" i="136"/>
  <c r="L16" i="136"/>
  <c r="M8" i="136"/>
  <c r="N8" i="136"/>
  <c r="L8" i="136"/>
  <c r="L21" i="136"/>
  <c r="M21" i="136"/>
  <c r="N21" i="136"/>
  <c r="L25" i="136"/>
  <c r="N25" i="136"/>
  <c r="M25" i="136"/>
  <c r="M15" i="136"/>
  <c r="N15" i="136"/>
  <c r="L15" i="136"/>
  <c r="L32" i="136"/>
  <c r="N32" i="136"/>
  <c r="M32" i="136"/>
  <c r="N18" i="136"/>
  <c r="M18" i="136"/>
  <c r="L18" i="136"/>
  <c r="L26" i="136"/>
  <c r="N26" i="136"/>
  <c r="M26" i="136"/>
  <c r="L11" i="136"/>
  <c r="N11" i="136"/>
  <c r="M11" i="136"/>
  <c r="M13" i="136"/>
  <c r="L13" i="136"/>
  <c r="N13" i="136"/>
  <c r="L28" i="136"/>
  <c r="M28" i="136"/>
  <c r="N28" i="136"/>
  <c r="L10" i="136"/>
  <c r="M10" i="136"/>
  <c r="N10" i="136"/>
  <c r="N36" i="136"/>
  <c r="M36" i="136"/>
  <c r="L36" i="136"/>
  <c r="L35" i="136"/>
  <c r="N35" i="136"/>
  <c r="M35" i="136"/>
  <c r="M24" i="136"/>
  <c r="N24" i="136"/>
  <c r="L24" i="136"/>
  <c r="L39" i="136" l="1"/>
  <c r="N39" i="136"/>
  <c r="M39" i="136"/>
  <c r="O22" i="127"/>
  <c r="O23" i="127"/>
  <c r="O30" i="127"/>
  <c r="O26" i="127"/>
  <c r="O10" i="127"/>
  <c r="O31" i="127"/>
  <c r="O25" i="127"/>
  <c r="O16" i="127"/>
  <c r="O36" i="127"/>
  <c r="O24" i="127"/>
  <c r="O19" i="127"/>
  <c r="O15" i="127"/>
  <c r="O12" i="127"/>
  <c r="O18" i="127"/>
  <c r="O11" i="127"/>
  <c r="O17" i="127"/>
  <c r="O14" i="127"/>
  <c r="O28" i="127"/>
  <c r="O21" i="127"/>
  <c r="O13" i="127"/>
  <c r="O32" i="127" l="1"/>
  <c r="O20" i="127" l="1"/>
  <c r="J36" i="127" l="1"/>
  <c r="AB31" i="127"/>
  <c r="AB30" i="127"/>
  <c r="AB28" i="127"/>
  <c r="AB26" i="127"/>
  <c r="AA26" i="127"/>
  <c r="AB25" i="127"/>
  <c r="AA25" i="127"/>
  <c r="J25" i="127"/>
  <c r="AB24" i="127"/>
  <c r="AB23" i="127"/>
  <c r="AB22" i="127"/>
  <c r="AB21" i="127"/>
  <c r="AB20" i="127"/>
  <c r="AB19" i="127"/>
  <c r="AB17" i="127"/>
  <c r="AA17" i="127"/>
  <c r="J17" i="127"/>
  <c r="AB16" i="127"/>
  <c r="AB15" i="127"/>
  <c r="AB14" i="127"/>
  <c r="AB13" i="127"/>
  <c r="AB12" i="127"/>
  <c r="AB10" i="127"/>
  <c r="AA10" i="127"/>
  <c r="J10" i="127"/>
  <c r="M17" i="127" l="1"/>
  <c r="N17" i="127"/>
  <c r="L17" i="127"/>
  <c r="L25" i="127"/>
  <c r="N25" i="127"/>
  <c r="M25" i="127"/>
  <c r="M10" i="127"/>
  <c r="L10" i="127"/>
  <c r="N10" i="127"/>
  <c r="M36" i="127"/>
  <c r="N36" i="127"/>
  <c r="L36" i="127"/>
  <c r="AB18" i="127"/>
  <c r="J11" i="127"/>
  <c r="AB11" i="127"/>
  <c r="AA11" i="127"/>
  <c r="AA36" i="127"/>
  <c r="J12" i="127"/>
  <c r="AA12" i="127"/>
  <c r="J13" i="127"/>
  <c r="AA13" i="127"/>
  <c r="J14" i="127"/>
  <c r="AA14" i="127"/>
  <c r="J15" i="127"/>
  <c r="AA15" i="127"/>
  <c r="J16" i="127"/>
  <c r="AA16" i="127"/>
  <c r="J28" i="127"/>
  <c r="AA28" i="127"/>
  <c r="J30" i="127"/>
  <c r="AA30" i="127"/>
  <c r="AB36" i="127"/>
  <c r="J26" i="127"/>
  <c r="J18" i="127"/>
  <c r="AA18" i="127"/>
  <c r="J19" i="127"/>
  <c r="AA19" i="127"/>
  <c r="J20" i="127"/>
  <c r="AA20" i="127"/>
  <c r="J21" i="127"/>
  <c r="AA21" i="127"/>
  <c r="J22" i="127"/>
  <c r="AA22" i="127"/>
  <c r="J23" i="127"/>
  <c r="AA23" i="127"/>
  <c r="J24" i="127"/>
  <c r="AA24" i="127"/>
  <c r="J31" i="127"/>
  <c r="AA31" i="127"/>
  <c r="J32" i="127"/>
  <c r="AB32" i="127"/>
  <c r="AA32" i="127"/>
  <c r="K25" i="127" l="1"/>
  <c r="F25" i="127" s="1"/>
  <c r="H25" i="127" s="1"/>
  <c r="K17" i="127"/>
  <c r="F17" i="127" s="1"/>
  <c r="H17" i="127" s="1"/>
  <c r="K10" i="127"/>
  <c r="F10" i="127" s="1"/>
  <c r="H10" i="127" s="1"/>
  <c r="K36" i="127"/>
  <c r="F36" i="127" s="1"/>
  <c r="H36" i="127" s="1"/>
  <c r="N26" i="127"/>
  <c r="L26" i="127"/>
  <c r="M26" i="127"/>
  <c r="L30" i="127"/>
  <c r="N30" i="127"/>
  <c r="M30" i="127"/>
  <c r="N24" i="127"/>
  <c r="L24" i="127"/>
  <c r="M24" i="127"/>
  <c r="M18" i="127"/>
  <c r="L18" i="127"/>
  <c r="N18" i="127"/>
  <c r="N12" i="127"/>
  <c r="M12" i="127"/>
  <c r="L12" i="127"/>
  <c r="N31" i="127"/>
  <c r="L31" i="127"/>
  <c r="M31" i="127"/>
  <c r="N15" i="127"/>
  <c r="M15" i="127"/>
  <c r="L15" i="127"/>
  <c r="M13" i="127"/>
  <c r="L13" i="127"/>
  <c r="N13" i="127"/>
  <c r="M11" i="127"/>
  <c r="L11" i="127"/>
  <c r="N11" i="127"/>
  <c r="M22" i="127"/>
  <c r="L22" i="127"/>
  <c r="N22" i="127"/>
  <c r="M20" i="127"/>
  <c r="L20" i="127"/>
  <c r="N20" i="127"/>
  <c r="N16" i="127"/>
  <c r="L16" i="127"/>
  <c r="M16" i="127"/>
  <c r="M14" i="127"/>
  <c r="N14" i="127"/>
  <c r="L14" i="127"/>
  <c r="L32" i="127"/>
  <c r="N32" i="127"/>
  <c r="M32" i="127"/>
  <c r="M23" i="127"/>
  <c r="N23" i="127"/>
  <c r="L23" i="127"/>
  <c r="M21" i="127"/>
  <c r="L21" i="127"/>
  <c r="N21" i="127"/>
  <c r="N19" i="127"/>
  <c r="M19" i="127"/>
  <c r="L19" i="127"/>
  <c r="M28" i="127"/>
  <c r="L28" i="127"/>
  <c r="N28" i="127"/>
  <c r="O9" i="127"/>
  <c r="J9" i="127"/>
  <c r="AB9" i="127"/>
  <c r="AA9" i="127"/>
  <c r="K30" i="127" l="1"/>
  <c r="F30" i="127" s="1"/>
  <c r="H30" i="127" s="1"/>
  <c r="K24" i="127"/>
  <c r="F24" i="127" s="1"/>
  <c r="H24" i="127" s="1"/>
  <c r="K18" i="127"/>
  <c r="F18" i="127" s="1"/>
  <c r="H18" i="127" s="1"/>
  <c r="K26" i="127"/>
  <c r="F26" i="127" s="1"/>
  <c r="H26" i="127" s="1"/>
  <c r="K32" i="127"/>
  <c r="F32" i="127" s="1"/>
  <c r="H32" i="127" s="1"/>
  <c r="K31" i="127"/>
  <c r="F31" i="127" s="1"/>
  <c r="H31" i="127" s="1"/>
  <c r="K28" i="127"/>
  <c r="F28" i="127" s="1"/>
  <c r="H28" i="127" s="1"/>
  <c r="K20" i="127"/>
  <c r="F20" i="127" s="1"/>
  <c r="H20" i="127" s="1"/>
  <c r="K14" i="127"/>
  <c r="F14" i="127" s="1"/>
  <c r="H14" i="127" s="1"/>
  <c r="K12" i="127"/>
  <c r="F12" i="127" s="1"/>
  <c r="H12" i="127" s="1"/>
  <c r="K23" i="127"/>
  <c r="F23" i="127" s="1"/>
  <c r="H23" i="127" s="1"/>
  <c r="K21" i="127"/>
  <c r="F21" i="127" s="1"/>
  <c r="H21" i="127" s="1"/>
  <c r="K19" i="127"/>
  <c r="F19" i="127" s="1"/>
  <c r="H19" i="127" s="1"/>
  <c r="K16" i="127"/>
  <c r="F16" i="127" s="1"/>
  <c r="H16" i="127" s="1"/>
  <c r="K15" i="127"/>
  <c r="F15" i="127" s="1"/>
  <c r="H15" i="127" s="1"/>
  <c r="K13" i="127"/>
  <c r="F13" i="127" s="1"/>
  <c r="H13" i="127" s="1"/>
  <c r="K11" i="127"/>
  <c r="F11" i="127" s="1"/>
  <c r="H11" i="127" s="1"/>
  <c r="M9" i="127"/>
  <c r="L9" i="127"/>
  <c r="N9" i="127"/>
  <c r="K22" i="127"/>
  <c r="F22" i="127" s="1"/>
  <c r="H22" i="127" s="1"/>
  <c r="K9" i="127" l="1"/>
  <c r="F9" i="127" s="1"/>
  <c r="H9" i="127" s="1"/>
  <c r="O8" i="127"/>
  <c r="O40" i="127" s="1"/>
  <c r="AA8" i="127"/>
  <c r="AA40" i="127" s="1"/>
  <c r="AB8" i="127"/>
  <c r="AB40" i="127" s="1"/>
  <c r="J8" i="127"/>
  <c r="M8" i="127" l="1"/>
  <c r="M40" i="127" s="1"/>
  <c r="N8" i="127"/>
  <c r="N40" i="127" s="1"/>
  <c r="L8" i="127"/>
  <c r="J40" i="127"/>
  <c r="K8" i="127" l="1"/>
  <c r="L40" i="127"/>
  <c r="F8" i="127" l="1"/>
  <c r="K40" i="127"/>
  <c r="F40" i="127" l="1"/>
  <c r="H8" i="127"/>
  <c r="AB35" i="127" l="1"/>
  <c r="O35" i="127"/>
  <c r="J35" i="127"/>
  <c r="AA35" i="127"/>
  <c r="M35" i="127" l="1"/>
  <c r="N35" i="127"/>
  <c r="L35" i="127"/>
  <c r="K35" i="127" l="1"/>
  <c r="F35" i="127" s="1"/>
  <c r="H35" i="127" s="1"/>
  <c r="H40" i="127" s="1"/>
  <c r="G12" i="127" s="1"/>
  <c r="G18" i="127" l="1"/>
  <c r="G19" i="127"/>
  <c r="G20" i="127"/>
  <c r="G9" i="127"/>
  <c r="G6" i="127"/>
  <c r="G40" i="127" s="1"/>
  <c r="G13" i="127"/>
  <c r="G24" i="127"/>
  <c r="G22" i="127"/>
  <c r="G15" i="127"/>
  <c r="G30" i="127"/>
  <c r="G31" i="127"/>
  <c r="G8" i="127"/>
  <c r="G16" i="127"/>
  <c r="G26" i="127"/>
  <c r="G27" i="127"/>
  <c r="G10" i="127"/>
  <c r="G29" i="127"/>
  <c r="G36" i="127"/>
  <c r="G28" i="127"/>
  <c r="G35" i="127"/>
  <c r="G25" i="127"/>
  <c r="G7" i="127"/>
  <c r="G33" i="127"/>
  <c r="G21" i="127"/>
  <c r="G11" i="127"/>
  <c r="G23" i="127"/>
  <c r="G14" i="127"/>
  <c r="G17" i="127"/>
  <c r="G34" i="127"/>
  <c r="G32" i="127"/>
  <c r="H39" i="136" l="1"/>
  <c r="H43" i="136" l="1"/>
  <c r="G39" i="136" l="1"/>
  <c r="M33" i="147" l="1"/>
  <c r="O33" i="147"/>
  <c r="N33" i="147"/>
  <c r="M17" i="147"/>
  <c r="O17" i="147"/>
  <c r="N17" i="147"/>
  <c r="O32" i="147"/>
  <c r="N32" i="147"/>
  <c r="M32" i="147"/>
  <c r="M26" i="147"/>
  <c r="O26" i="147"/>
  <c r="N26" i="147"/>
  <c r="N12" i="147"/>
  <c r="M12" i="147"/>
  <c r="O12" i="147"/>
  <c r="M36" i="147"/>
  <c r="N36" i="147"/>
  <c r="O36" i="147"/>
  <c r="O8" i="147"/>
  <c r="M8" i="147"/>
  <c r="N8" i="147"/>
  <c r="O14" i="147"/>
  <c r="M14" i="147"/>
  <c r="N14" i="147"/>
  <c r="O28" i="147"/>
  <c r="M28" i="147"/>
  <c r="N28" i="147"/>
  <c r="O7" i="147"/>
  <c r="M7" i="147"/>
  <c r="N7" i="147"/>
  <c r="M35" i="147"/>
  <c r="N35" i="147"/>
  <c r="O35" i="147"/>
  <c r="O21" i="147"/>
  <c r="M21" i="147"/>
  <c r="N21" i="147"/>
  <c r="M15" i="147"/>
  <c r="N15" i="147"/>
  <c r="O15" i="147"/>
  <c r="O16" i="147"/>
  <c r="N16" i="147"/>
  <c r="M16" i="147"/>
  <c r="O10" i="147"/>
  <c r="N10" i="147"/>
  <c r="M10" i="147"/>
  <c r="M22" i="147"/>
  <c r="O22" i="147"/>
  <c r="N22" i="147"/>
  <c r="N11" i="147"/>
  <c r="M11" i="147"/>
  <c r="O11" i="147"/>
  <c r="M24" i="147"/>
  <c r="O24" i="147"/>
  <c r="N24" i="147"/>
  <c r="M18" i="147"/>
  <c r="O18" i="147"/>
  <c r="N18" i="147"/>
  <c r="M30" i="147"/>
  <c r="O30" i="147"/>
  <c r="N30" i="147"/>
  <c r="M31" i="147"/>
  <c r="N31" i="147"/>
  <c r="O31" i="147"/>
  <c r="O29" i="147"/>
  <c r="N29" i="147"/>
  <c r="M29" i="147"/>
  <c r="N23" i="147"/>
  <c r="M23" i="147"/>
  <c r="O23" i="147"/>
  <c r="O13" i="147"/>
  <c r="N13" i="147"/>
  <c r="M13" i="147"/>
  <c r="O27" i="147"/>
  <c r="N27" i="147"/>
  <c r="M27" i="147"/>
  <c r="L28" i="147" l="1"/>
  <c r="L11" i="147"/>
  <c r="L8" i="147"/>
  <c r="L31" i="147"/>
  <c r="L18" i="147"/>
  <c r="L14" i="147"/>
  <c r="L10" i="147"/>
  <c r="L27" i="147"/>
  <c r="L24" i="147"/>
  <c r="L7" i="147"/>
  <c r="L29" i="147"/>
  <c r="L17" i="147"/>
  <c r="L26" i="147"/>
  <c r="L32" i="147"/>
  <c r="L13" i="147"/>
  <c r="L22" i="147"/>
  <c r="L21" i="147"/>
  <c r="L35" i="147"/>
  <c r="L12" i="147"/>
  <c r="L23" i="147"/>
  <c r="L36" i="147"/>
  <c r="AC41" i="147"/>
  <c r="L30" i="147"/>
  <c r="L16" i="147"/>
  <c r="L15" i="147"/>
  <c r="P41" i="147"/>
  <c r="M25" i="147"/>
  <c r="N25" i="147"/>
  <c r="O25" i="147"/>
  <c r="M9" i="147"/>
  <c r="O9" i="147"/>
  <c r="N9" i="147"/>
  <c r="K41" i="147"/>
  <c r="AB41" i="147"/>
  <c r="L25" i="147" l="1"/>
  <c r="L9" i="147"/>
  <c r="M41" i="147"/>
  <c r="O41" i="147"/>
  <c r="N41" i="147"/>
  <c r="L41" i="147" l="1"/>
  <c r="AG6" i="150" l="1"/>
  <c r="AG41" i="150" l="1"/>
  <c r="AG6" i="158" l="1"/>
  <c r="AG41" i="158" s="1"/>
  <c r="AI6" i="158" l="1"/>
  <c r="AI41" i="158" l="1"/>
  <c r="T16" i="160" l="1"/>
  <c r="T41" i="160" l="1"/>
  <c r="AF6" i="160" l="1"/>
  <c r="AF41" i="160" l="1"/>
  <c r="T7" i="161" l="1"/>
  <c r="T8" i="161"/>
  <c r="T9" i="161"/>
  <c r="T10" i="161"/>
  <c r="T11" i="161"/>
  <c r="T12" i="161"/>
  <c r="T13" i="161"/>
  <c r="T14" i="161"/>
  <c r="T15" i="161"/>
  <c r="T16" i="161"/>
  <c r="T17" i="161"/>
  <c r="T18" i="161"/>
  <c r="T20" i="161"/>
  <c r="T21" i="161"/>
  <c r="T22" i="161"/>
  <c r="T23" i="161"/>
  <c r="T24" i="161"/>
  <c r="T25" i="161"/>
  <c r="T26" i="161"/>
  <c r="T27" i="161"/>
  <c r="T28" i="161"/>
  <c r="T29" i="161"/>
  <c r="T30" i="161"/>
  <c r="T31" i="161"/>
  <c r="T32" i="161"/>
  <c r="T33" i="161"/>
  <c r="T34" i="161"/>
  <c r="T35" i="161"/>
  <c r="T36" i="161"/>
  <c r="T37" i="161"/>
  <c r="T38" i="161"/>
  <c r="T39" i="161"/>
  <c r="T6" i="161" l="1"/>
  <c r="AG6" i="161" l="1"/>
  <c r="AH6" i="161"/>
  <c r="AI6" i="161"/>
  <c r="AF6" i="161"/>
  <c r="AL6" i="161"/>
  <c r="T41" i="161"/>
  <c r="AL41" i="161" l="1"/>
  <c r="AH41" i="161"/>
  <c r="AH7" i="164"/>
  <c r="AF41" i="161"/>
  <c r="AI41" i="161"/>
  <c r="AI7" i="164"/>
  <c r="AG41" i="161"/>
  <c r="AG7" i="164"/>
  <c r="O6" i="165" l="1"/>
  <c r="O41" i="165" s="1"/>
  <c r="AG42" i="164"/>
  <c r="P6" i="165"/>
  <c r="P41" i="165" s="1"/>
  <c r="AH42" i="164"/>
  <c r="Q6" i="165"/>
  <c r="Q41" i="165" s="1"/>
  <c r="AI42" i="164"/>
  <c r="C35" i="147" l="1"/>
  <c r="C37" i="147"/>
  <c r="C39" i="147"/>
  <c r="C40" i="164" l="1"/>
  <c r="F39" i="147"/>
  <c r="G39" i="147"/>
  <c r="F37" i="147"/>
  <c r="C38" i="164"/>
  <c r="G37" i="147"/>
  <c r="F36" i="147"/>
  <c r="G36" i="147"/>
  <c r="C36" i="164"/>
  <c r="F35" i="147"/>
  <c r="G35" i="147"/>
  <c r="C8" i="147"/>
  <c r="C9" i="147"/>
  <c r="C10" i="147"/>
  <c r="C11" i="147"/>
  <c r="C12" i="147"/>
  <c r="C13" i="147"/>
  <c r="C14" i="147"/>
  <c r="C15" i="147"/>
  <c r="C16" i="147"/>
  <c r="C17" i="147"/>
  <c r="C18" i="147"/>
  <c r="C21" i="147"/>
  <c r="C22" i="147"/>
  <c r="C23" i="147"/>
  <c r="C24" i="147"/>
  <c r="C25" i="147"/>
  <c r="C26" i="147"/>
  <c r="C27" i="147"/>
  <c r="C29" i="147"/>
  <c r="C30" i="147"/>
  <c r="C31" i="147"/>
  <c r="C32" i="147"/>
  <c r="C33" i="147"/>
  <c r="C37" i="165" l="1"/>
  <c r="C35" i="165"/>
  <c r="C36" i="165"/>
  <c r="C39" i="165"/>
  <c r="G19" i="147"/>
  <c r="F19" i="147"/>
  <c r="F11" i="147"/>
  <c r="C12" i="164"/>
  <c r="G11" i="147"/>
  <c r="F27" i="147"/>
  <c r="C28" i="164"/>
  <c r="G27" i="147"/>
  <c r="F18" i="147"/>
  <c r="G18" i="147"/>
  <c r="C19" i="164"/>
  <c r="C11" i="164"/>
  <c r="F10" i="147"/>
  <c r="G10" i="147"/>
  <c r="F28" i="147"/>
  <c r="G28" i="147"/>
  <c r="F33" i="147"/>
  <c r="G33" i="147"/>
  <c r="C34" i="164"/>
  <c r="F25" i="147"/>
  <c r="G25" i="147"/>
  <c r="C26" i="164"/>
  <c r="C17" i="164"/>
  <c r="F16" i="147"/>
  <c r="G16" i="147"/>
  <c r="G8" i="147"/>
  <c r="F8" i="147"/>
  <c r="C9" i="164"/>
  <c r="C33" i="164"/>
  <c r="G32" i="147"/>
  <c r="F32" i="147"/>
  <c r="C25" i="164"/>
  <c r="G24" i="147"/>
  <c r="F24" i="147"/>
  <c r="F15" i="147"/>
  <c r="G15" i="147"/>
  <c r="C16" i="164"/>
  <c r="F7" i="147"/>
  <c r="C41" i="147"/>
  <c r="G31" i="147"/>
  <c r="C32" i="164"/>
  <c r="F31" i="147"/>
  <c r="G23" i="147"/>
  <c r="F23" i="147"/>
  <c r="C24" i="164"/>
  <c r="G14" i="147"/>
  <c r="F14" i="147"/>
  <c r="C15" i="164"/>
  <c r="F26" i="147"/>
  <c r="G26" i="147"/>
  <c r="C27" i="164"/>
  <c r="F9" i="147"/>
  <c r="C10" i="164"/>
  <c r="G9" i="147"/>
  <c r="F30" i="147"/>
  <c r="G30" i="147"/>
  <c r="C31" i="164"/>
  <c r="F22" i="147"/>
  <c r="G22" i="147"/>
  <c r="C23" i="164"/>
  <c r="F13" i="147"/>
  <c r="C14" i="164"/>
  <c r="G13" i="147"/>
  <c r="G17" i="147"/>
  <c r="C18" i="164"/>
  <c r="F17" i="147"/>
  <c r="C30" i="164"/>
  <c r="G29" i="147"/>
  <c r="F29" i="147"/>
  <c r="C22" i="164"/>
  <c r="F21" i="147"/>
  <c r="G21" i="147"/>
  <c r="G12" i="147"/>
  <c r="C13" i="164"/>
  <c r="F12" i="147"/>
  <c r="C22" i="165" l="1"/>
  <c r="C15" i="165"/>
  <c r="C32" i="165"/>
  <c r="C9" i="165"/>
  <c r="C25" i="165"/>
  <c r="C27" i="165"/>
  <c r="C29" i="165"/>
  <c r="C26" i="165"/>
  <c r="C8" i="165"/>
  <c r="C12" i="165"/>
  <c r="C33" i="165"/>
  <c r="C10" i="165"/>
  <c r="C11" i="165"/>
  <c r="C23" i="165"/>
  <c r="C17" i="165"/>
  <c r="C30" i="165"/>
  <c r="C31" i="165"/>
  <c r="C18" i="165"/>
  <c r="C14" i="165"/>
  <c r="C24" i="165"/>
  <c r="C28" i="165"/>
  <c r="C21" i="165"/>
  <c r="C13" i="165"/>
  <c r="C16" i="165"/>
  <c r="C19" i="165"/>
  <c r="C7" i="165"/>
  <c r="C42" i="164"/>
  <c r="F41" i="147"/>
  <c r="G7" i="147"/>
  <c r="G41" i="147" s="1"/>
  <c r="C41" i="165" l="1"/>
  <c r="H30" i="147"/>
  <c r="H23" i="147"/>
  <c r="H10" i="147"/>
  <c r="H17" i="147"/>
  <c r="H34" i="147"/>
  <c r="H32" i="147"/>
  <c r="H6" i="147"/>
  <c r="H27" i="147"/>
  <c r="H7" i="147"/>
  <c r="H28" i="147"/>
  <c r="H26" i="147"/>
  <c r="H19" i="147"/>
  <c r="H8" i="147"/>
  <c r="H35" i="147"/>
  <c r="H15" i="147"/>
  <c r="H33" i="147"/>
  <c r="H36" i="147"/>
  <c r="H22" i="147"/>
  <c r="H31" i="147"/>
  <c r="H18" i="147"/>
  <c r="H24" i="147"/>
  <c r="H29" i="147"/>
  <c r="H13" i="147"/>
  <c r="H11" i="147"/>
  <c r="H25" i="147"/>
  <c r="H20" i="147"/>
  <c r="H39" i="147"/>
  <c r="H38" i="147"/>
  <c r="H21" i="147"/>
  <c r="H12" i="147"/>
  <c r="H16" i="147"/>
  <c r="H14" i="147"/>
  <c r="H37" i="147"/>
  <c r="H9" i="147"/>
  <c r="I11" i="147" l="1"/>
  <c r="I16" i="147"/>
  <c r="I35" i="147"/>
  <c r="I32" i="147"/>
  <c r="I21" i="147"/>
  <c r="I24" i="147"/>
  <c r="I8" i="147"/>
  <c r="I34" i="147"/>
  <c r="I6" i="147"/>
  <c r="H41" i="147"/>
  <c r="I19" i="147"/>
  <c r="I17" i="147"/>
  <c r="I27" i="147"/>
  <c r="I29" i="147"/>
  <c r="I39" i="147"/>
  <c r="I31" i="147"/>
  <c r="I26" i="147"/>
  <c r="I10" i="147"/>
  <c r="I33" i="147"/>
  <c r="I13" i="147"/>
  <c r="I12" i="147"/>
  <c r="I18" i="147"/>
  <c r="I9" i="147"/>
  <c r="I20" i="147"/>
  <c r="I22" i="147"/>
  <c r="I28" i="147"/>
  <c r="I23" i="147"/>
  <c r="I14" i="147"/>
  <c r="I15" i="147"/>
  <c r="I38" i="147"/>
  <c r="I37" i="147"/>
  <c r="I25" i="147"/>
  <c r="I36" i="147"/>
  <c r="I7" i="147"/>
  <c r="I30" i="147"/>
  <c r="G20" i="150" l="1"/>
  <c r="G30" i="150"/>
  <c r="G35" i="150"/>
  <c r="G34" i="150"/>
  <c r="F19" i="150"/>
  <c r="G19" i="150"/>
  <c r="G7" i="150"/>
  <c r="G28" i="150"/>
  <c r="G38" i="150"/>
  <c r="F6" i="150"/>
  <c r="I41" i="147"/>
  <c r="G6" i="150"/>
  <c r="P6" i="163" l="1"/>
  <c r="P14" i="163" l="1"/>
  <c r="P34" i="163"/>
  <c r="P28" i="163"/>
  <c r="P29" i="163"/>
  <c r="P16" i="163"/>
  <c r="P18" i="163"/>
  <c r="P39" i="163"/>
  <c r="P26" i="163"/>
  <c r="P30" i="163"/>
  <c r="P32" i="163"/>
  <c r="P36" i="163"/>
  <c r="P13" i="163"/>
  <c r="P23" i="163"/>
  <c r="P17" i="163"/>
  <c r="P33" i="163"/>
  <c r="P35" i="163" l="1"/>
  <c r="P31" i="163"/>
  <c r="P25" i="163"/>
  <c r="P21" i="163"/>
  <c r="P20" i="163"/>
  <c r="P24" i="163"/>
  <c r="P12" i="163"/>
  <c r="P9" i="163"/>
  <c r="P8" i="163"/>
  <c r="P7" i="163" l="1"/>
  <c r="P38" i="163"/>
  <c r="P37" i="163"/>
  <c r="P22" i="163"/>
  <c r="P15" i="163"/>
  <c r="P10" i="163"/>
  <c r="P11" i="163"/>
  <c r="P27" i="163"/>
  <c r="P41" i="163" l="1"/>
  <c r="T28" i="163" l="1"/>
  <c r="T22" i="163"/>
  <c r="T7" i="163"/>
  <c r="T8" i="164" l="1"/>
  <c r="AM8" i="164" s="1"/>
  <c r="L7" i="165" s="1"/>
  <c r="M7" i="165" s="1"/>
  <c r="T23" i="164"/>
  <c r="AM23" i="164" s="1"/>
  <c r="L22" i="165" s="1"/>
  <c r="M22" i="165" s="1"/>
  <c r="T29" i="164"/>
  <c r="AM29" i="164" s="1"/>
  <c r="L28" i="165" s="1"/>
  <c r="M28" i="165" s="1"/>
  <c r="T15" i="164" l="1"/>
  <c r="AM15" i="164" s="1"/>
  <c r="T33" i="164"/>
  <c r="AM33" i="164" s="1"/>
  <c r="L32" i="165" s="1"/>
  <c r="M32" i="165" s="1"/>
  <c r="T24" i="164"/>
  <c r="AM24" i="164" s="1"/>
  <c r="L23" i="165" s="1"/>
  <c r="M23" i="165" s="1"/>
  <c r="T14" i="164"/>
  <c r="AM14" i="164" s="1"/>
  <c r="L13" i="165" s="1"/>
  <c r="M13" i="165" s="1"/>
  <c r="T40" i="164"/>
  <c r="AM40" i="164" s="1"/>
  <c r="L39" i="165" s="1"/>
  <c r="M39" i="165" s="1"/>
  <c r="T32" i="164"/>
  <c r="AM32" i="164" s="1"/>
  <c r="L31" i="165" s="1"/>
  <c r="M31" i="165" s="1"/>
  <c r="T22" i="164"/>
  <c r="AM22" i="164" s="1"/>
  <c r="L21" i="165" s="1"/>
  <c r="M21" i="165" s="1"/>
  <c r="T13" i="164"/>
  <c r="AM13" i="164" s="1"/>
  <c r="L12" i="165" s="1"/>
  <c r="M12" i="165" s="1"/>
  <c r="T39" i="164"/>
  <c r="AM39" i="164" s="1"/>
  <c r="T31" i="164"/>
  <c r="AM31" i="164" s="1"/>
  <c r="L30" i="165" s="1"/>
  <c r="M30" i="165" s="1"/>
  <c r="T21" i="164"/>
  <c r="AM21" i="164" s="1"/>
  <c r="L20" i="165" s="1"/>
  <c r="M20" i="165" s="1"/>
  <c r="T12" i="164"/>
  <c r="AM12" i="164" s="1"/>
  <c r="L11" i="165" s="1"/>
  <c r="M11" i="165" s="1"/>
  <c r="T38" i="164"/>
  <c r="AM38" i="164" s="1"/>
  <c r="L37" i="165" s="1"/>
  <c r="M37" i="165" s="1"/>
  <c r="T30" i="164"/>
  <c r="AM30" i="164" s="1"/>
  <c r="L29" i="165" s="1"/>
  <c r="M29" i="165" s="1"/>
  <c r="T19" i="164"/>
  <c r="AM19" i="164" s="1"/>
  <c r="L18" i="165" s="1"/>
  <c r="M18" i="165" s="1"/>
  <c r="T11" i="164"/>
  <c r="AM11" i="164" s="1"/>
  <c r="L10" i="165" s="1"/>
  <c r="M10" i="165" s="1"/>
  <c r="T37" i="164"/>
  <c r="AM37" i="164" s="1"/>
  <c r="T28" i="164"/>
  <c r="AM28" i="164" s="1"/>
  <c r="L27" i="165" s="1"/>
  <c r="M27" i="165" s="1"/>
  <c r="T18" i="164"/>
  <c r="AM18" i="164" s="1"/>
  <c r="L17" i="165" s="1"/>
  <c r="M17" i="165" s="1"/>
  <c r="T10" i="164"/>
  <c r="AM10" i="164" s="1"/>
  <c r="L9" i="165" s="1"/>
  <c r="M9" i="165" s="1"/>
  <c r="T34" i="164"/>
  <c r="AM34" i="164" s="1"/>
  <c r="L33" i="165" s="1"/>
  <c r="M33" i="165" s="1"/>
  <c r="T36" i="164"/>
  <c r="AM36" i="164" s="1"/>
  <c r="L35" i="165" s="1"/>
  <c r="M35" i="165" s="1"/>
  <c r="T27" i="164"/>
  <c r="AM27" i="164" s="1"/>
  <c r="L26" i="165" s="1"/>
  <c r="M26" i="165" s="1"/>
  <c r="T17" i="164"/>
  <c r="AM17" i="164" s="1"/>
  <c r="L16" i="165" s="1"/>
  <c r="M16" i="165" s="1"/>
  <c r="T9" i="164"/>
  <c r="AM9" i="164" s="1"/>
  <c r="L8" i="165" s="1"/>
  <c r="M8" i="165" s="1"/>
  <c r="T25" i="164"/>
  <c r="AM25" i="164" s="1"/>
  <c r="L24" i="165" s="1"/>
  <c r="M24" i="165" s="1"/>
  <c r="T35" i="164"/>
  <c r="AM35" i="164" s="1"/>
  <c r="L34" i="165" s="1"/>
  <c r="M34" i="165" s="1"/>
  <c r="T26" i="164"/>
  <c r="AM26" i="164" s="1"/>
  <c r="L25" i="165" s="1"/>
  <c r="M25" i="165" s="1"/>
  <c r="T16" i="164"/>
  <c r="AM16" i="164" s="1"/>
  <c r="L15" i="165" s="1"/>
  <c r="M15" i="165" s="1"/>
  <c r="L14" i="165"/>
  <c r="M14" i="165" s="1"/>
  <c r="L38" i="165"/>
  <c r="M38" i="165" s="1"/>
  <c r="L36" i="165"/>
  <c r="M36" i="165" s="1"/>
  <c r="T6" i="163"/>
  <c r="AL41" i="163" l="1"/>
  <c r="AN7" i="164"/>
  <c r="T7" i="164"/>
  <c r="T41" i="163"/>
  <c r="AN42" i="164" l="1"/>
  <c r="R6" i="165"/>
  <c r="R41" i="165" s="1"/>
  <c r="AF41" i="163"/>
  <c r="AF7" i="164"/>
  <c r="AM7" i="164"/>
  <c r="T42" i="164"/>
  <c r="N6" i="165" l="1"/>
  <c r="N41" i="165" s="1"/>
  <c r="AF42" i="164"/>
  <c r="L6" i="165"/>
  <c r="AM42" i="164"/>
  <c r="M6" i="165" l="1"/>
  <c r="L41" i="165"/>
  <c r="AB7" i="157" l="1"/>
  <c r="AC7" i="157"/>
  <c r="K7" i="157"/>
  <c r="P7" i="157" l="1"/>
  <c r="O7" i="157"/>
  <c r="M7" i="157"/>
  <c r="N7" i="157"/>
  <c r="L7" i="157" l="1"/>
  <c r="AB26" i="161"/>
  <c r="K26" i="161"/>
  <c r="AC26" i="161"/>
  <c r="AC9" i="161"/>
  <c r="AB9" i="161"/>
  <c r="K9" i="161"/>
  <c r="K24" i="161"/>
  <c r="AC24" i="161"/>
  <c r="AB24" i="161"/>
  <c r="K11" i="161"/>
  <c r="AB11" i="161"/>
  <c r="AC11" i="161"/>
  <c r="K17" i="161"/>
  <c r="AB17" i="161"/>
  <c r="AC17" i="161"/>
  <c r="AC27" i="161"/>
  <c r="K27" i="161"/>
  <c r="AB27" i="161"/>
  <c r="AB33" i="161"/>
  <c r="K33" i="161"/>
  <c r="AC33" i="161"/>
  <c r="AC10" i="161"/>
  <c r="K10" i="161"/>
  <c r="AB10" i="161"/>
  <c r="K21" i="161"/>
  <c r="AB21" i="161"/>
  <c r="AC21" i="161"/>
  <c r="AB16" i="161"/>
  <c r="K16" i="161"/>
  <c r="AC16" i="161"/>
  <c r="AB32" i="161"/>
  <c r="AC32" i="161"/>
  <c r="K32" i="161"/>
  <c r="K31" i="161"/>
  <c r="AC31" i="161"/>
  <c r="AB31" i="161"/>
  <c r="AC18" i="161"/>
  <c r="K18" i="161"/>
  <c r="AB18" i="161"/>
  <c r="AB34" i="161"/>
  <c r="AC34" i="161"/>
  <c r="K34" i="161"/>
  <c r="AB12" i="161"/>
  <c r="AC12" i="161"/>
  <c r="K12" i="161"/>
  <c r="N18" i="161" l="1"/>
  <c r="O18" i="161"/>
  <c r="M18" i="161"/>
  <c r="P33" i="161"/>
  <c r="N17" i="161"/>
  <c r="M17" i="161"/>
  <c r="O17" i="161"/>
  <c r="P24" i="161"/>
  <c r="O26" i="161"/>
  <c r="M26" i="161"/>
  <c r="N26" i="161"/>
  <c r="P17" i="161"/>
  <c r="O24" i="161"/>
  <c r="N24" i="161"/>
  <c r="M24" i="161"/>
  <c r="P12" i="161"/>
  <c r="P18" i="161"/>
  <c r="P32" i="161"/>
  <c r="M34" i="161"/>
  <c r="N34" i="161"/>
  <c r="O34" i="161"/>
  <c r="P16" i="161"/>
  <c r="N9" i="161"/>
  <c r="O9" i="161"/>
  <c r="M9" i="161"/>
  <c r="N21" i="161"/>
  <c r="M21" i="161"/>
  <c r="O21" i="161"/>
  <c r="P10" i="161"/>
  <c r="O27" i="161"/>
  <c r="N27" i="161"/>
  <c r="M27" i="161"/>
  <c r="P9" i="161"/>
  <c r="P34" i="161"/>
  <c r="P31" i="161"/>
  <c r="O16" i="161"/>
  <c r="M16" i="161"/>
  <c r="N16" i="161"/>
  <c r="M10" i="161"/>
  <c r="O10" i="161"/>
  <c r="N10" i="161"/>
  <c r="P11" i="161"/>
  <c r="M33" i="161"/>
  <c r="O33" i="161"/>
  <c r="N33" i="161"/>
  <c r="O31" i="161"/>
  <c r="N31" i="161"/>
  <c r="M31" i="161"/>
  <c r="P27" i="161"/>
  <c r="O11" i="161"/>
  <c r="N11" i="161"/>
  <c r="M11" i="161"/>
  <c r="O12" i="161"/>
  <c r="M12" i="161"/>
  <c r="N12" i="161"/>
  <c r="O32" i="161"/>
  <c r="M32" i="161"/>
  <c r="N32" i="161"/>
  <c r="P21" i="161"/>
  <c r="P26" i="161"/>
  <c r="L18" i="161" l="1"/>
  <c r="L27" i="161"/>
  <c r="L31" i="161"/>
  <c r="L11" i="161"/>
  <c r="L33" i="161"/>
  <c r="L34" i="161"/>
  <c r="L21" i="161"/>
  <c r="L26" i="161"/>
  <c r="L12" i="161"/>
  <c r="L10" i="161"/>
  <c r="L17" i="161"/>
  <c r="L16" i="161"/>
  <c r="L24" i="161"/>
  <c r="L32" i="161"/>
  <c r="L9" i="161"/>
  <c r="AB26" i="159" l="1"/>
  <c r="K26" i="159"/>
  <c r="AC26" i="159"/>
  <c r="AB16" i="159"/>
  <c r="AC16" i="159"/>
  <c r="K16" i="159"/>
  <c r="P16" i="159" l="1"/>
  <c r="P26" i="159"/>
  <c r="N16" i="159"/>
  <c r="O16" i="159"/>
  <c r="M16" i="159"/>
  <c r="M26" i="159"/>
  <c r="O26" i="159"/>
  <c r="N26" i="159"/>
  <c r="P7" i="158"/>
  <c r="K32" i="158"/>
  <c r="AB32" i="158"/>
  <c r="AC32" i="158"/>
  <c r="AC37" i="158"/>
  <c r="K37" i="158"/>
  <c r="AB37" i="158"/>
  <c r="AC24" i="158"/>
  <c r="AB24" i="158"/>
  <c r="K24" i="158"/>
  <c r="K23" i="158"/>
  <c r="AC23" i="158"/>
  <c r="AB23" i="158"/>
  <c r="AC9" i="158"/>
  <c r="K9" i="158"/>
  <c r="AB9" i="158"/>
  <c r="AB12" i="158"/>
  <c r="AC12" i="158"/>
  <c r="K12" i="158"/>
  <c r="AC6" i="158"/>
  <c r="P6" i="158"/>
  <c r="AB6" i="158"/>
  <c r="K20" i="158"/>
  <c r="AC20" i="158"/>
  <c r="AB20" i="158"/>
  <c r="AC11" i="158"/>
  <c r="K11" i="158"/>
  <c r="AB11" i="158"/>
  <c r="K15" i="158"/>
  <c r="AC15" i="158"/>
  <c r="AB15" i="158"/>
  <c r="AB33" i="158"/>
  <c r="K33" i="158"/>
  <c r="AC33" i="158"/>
  <c r="K34" i="158"/>
  <c r="AC34" i="158"/>
  <c r="AB34" i="158"/>
  <c r="AC21" i="158"/>
  <c r="AB21" i="158"/>
  <c r="K21" i="158"/>
  <c r="K25" i="158"/>
  <c r="AC25" i="158"/>
  <c r="AB25" i="158"/>
  <c r="AC16" i="158"/>
  <c r="AB16" i="158"/>
  <c r="K16" i="158"/>
  <c r="K36" i="158"/>
  <c r="AC36" i="158"/>
  <c r="AB36" i="158"/>
  <c r="K7" i="158"/>
  <c r="AC7" i="158"/>
  <c r="AB7" i="158"/>
  <c r="AB27" i="158"/>
  <c r="AC27" i="158"/>
  <c r="K27" i="158"/>
  <c r="AC29" i="158"/>
  <c r="K29" i="158"/>
  <c r="AB29" i="158"/>
  <c r="AC31" i="158"/>
  <c r="K31" i="158"/>
  <c r="AB31" i="158"/>
  <c r="AC14" i="158"/>
  <c r="AB14" i="158"/>
  <c r="K14" i="158"/>
  <c r="AC8" i="158"/>
  <c r="AB8" i="158"/>
  <c r="K8" i="158"/>
  <c r="AC26" i="158"/>
  <c r="AB26" i="158"/>
  <c r="K26" i="158"/>
  <c r="K13" i="158"/>
  <c r="AC13" i="158"/>
  <c r="AB13" i="158"/>
  <c r="K17" i="158"/>
  <c r="AB17" i="158"/>
  <c r="AC17" i="158"/>
  <c r="AB30" i="158"/>
  <c r="AC30" i="158"/>
  <c r="K30" i="158"/>
  <c r="AC10" i="158"/>
  <c r="K10" i="158"/>
  <c r="AB10" i="158"/>
  <c r="K35" i="158"/>
  <c r="AC35" i="158"/>
  <c r="AB35" i="158"/>
  <c r="AC28" i="158"/>
  <c r="K28" i="158"/>
  <c r="AB28" i="158"/>
  <c r="AB39" i="158"/>
  <c r="K39" i="158"/>
  <c r="AC39" i="158"/>
  <c r="AC22" i="158"/>
  <c r="K22" i="158"/>
  <c r="AB22" i="158"/>
  <c r="K38" i="158"/>
  <c r="AC38" i="158"/>
  <c r="AB38" i="158"/>
  <c r="L16" i="159" l="1"/>
  <c r="L26" i="159"/>
  <c r="O34" i="158"/>
  <c r="M34" i="158"/>
  <c r="N34" i="158"/>
  <c r="N35" i="158"/>
  <c r="M35" i="158"/>
  <c r="O35" i="158"/>
  <c r="P27" i="158"/>
  <c r="P28" i="158"/>
  <c r="P30" i="158"/>
  <c r="P15" i="158"/>
  <c r="P20" i="158"/>
  <c r="N12" i="158"/>
  <c r="O12" i="158"/>
  <c r="M12" i="158"/>
  <c r="P23" i="158"/>
  <c r="N38" i="158"/>
  <c r="M38" i="158"/>
  <c r="O38" i="158"/>
  <c r="P39" i="158"/>
  <c r="P37" i="158"/>
  <c r="M13" i="158"/>
  <c r="N13" i="158"/>
  <c r="O13" i="158"/>
  <c r="P8" i="158"/>
  <c r="N27" i="158"/>
  <c r="M27" i="158"/>
  <c r="O27" i="158"/>
  <c r="P22" i="158"/>
  <c r="P10" i="158"/>
  <c r="P17" i="158"/>
  <c r="N26" i="158"/>
  <c r="M26" i="158"/>
  <c r="O26" i="158"/>
  <c r="O31" i="158"/>
  <c r="M31" i="158"/>
  <c r="N31" i="158"/>
  <c r="M36" i="158"/>
  <c r="N36" i="158"/>
  <c r="O36" i="158"/>
  <c r="N25" i="158"/>
  <c r="M25" i="158"/>
  <c r="O25" i="158"/>
  <c r="O37" i="158"/>
  <c r="N37" i="158"/>
  <c r="M37" i="158"/>
  <c r="M14" i="158"/>
  <c r="N14" i="158"/>
  <c r="O14" i="158"/>
  <c r="O16" i="158"/>
  <c r="N16" i="158"/>
  <c r="M16" i="158"/>
  <c r="P21" i="158"/>
  <c r="P34" i="158"/>
  <c r="O15" i="158"/>
  <c r="N15" i="158"/>
  <c r="M15" i="158"/>
  <c r="N20" i="158"/>
  <c r="O20" i="158"/>
  <c r="M20" i="158"/>
  <c r="M24" i="158"/>
  <c r="O24" i="158"/>
  <c r="N24" i="158"/>
  <c r="P32" i="158"/>
  <c r="N28" i="158"/>
  <c r="O28" i="158"/>
  <c r="M28" i="158"/>
  <c r="P35" i="158"/>
  <c r="N17" i="158"/>
  <c r="O17" i="158"/>
  <c r="M17" i="158"/>
  <c r="O29" i="158"/>
  <c r="N29" i="158"/>
  <c r="M29" i="158"/>
  <c r="P16" i="158"/>
  <c r="M21" i="158"/>
  <c r="O21" i="158"/>
  <c r="N21" i="158"/>
  <c r="O9" i="158"/>
  <c r="N9" i="158"/>
  <c r="M9" i="158"/>
  <c r="N22" i="158"/>
  <c r="M22" i="158"/>
  <c r="O22" i="158"/>
  <c r="N10" i="158"/>
  <c r="O10" i="158"/>
  <c r="M10" i="158"/>
  <c r="P26" i="158"/>
  <c r="M39" i="158"/>
  <c r="N39" i="158"/>
  <c r="O39" i="158"/>
  <c r="O30" i="158"/>
  <c r="N30" i="158"/>
  <c r="M30" i="158"/>
  <c r="N8" i="158"/>
  <c r="O8" i="158"/>
  <c r="M8" i="158"/>
  <c r="P14" i="158"/>
  <c r="P33" i="158"/>
  <c r="M11" i="158"/>
  <c r="O11" i="158"/>
  <c r="N11" i="158"/>
  <c r="P38" i="158"/>
  <c r="P29" i="158"/>
  <c r="O7" i="158"/>
  <c r="N7" i="158"/>
  <c r="M7" i="158"/>
  <c r="M33" i="158"/>
  <c r="O33" i="158"/>
  <c r="N33" i="158"/>
  <c r="P9" i="158"/>
  <c r="P24" i="158"/>
  <c r="N32" i="158"/>
  <c r="O32" i="158"/>
  <c r="M32" i="158"/>
  <c r="P36" i="158"/>
  <c r="P25" i="158"/>
  <c r="M23" i="158"/>
  <c r="N23" i="158"/>
  <c r="O23" i="158"/>
  <c r="P13" i="158"/>
  <c r="P31" i="158"/>
  <c r="P11" i="158"/>
  <c r="P12" i="158"/>
  <c r="L20" i="158" l="1"/>
  <c r="L8" i="158"/>
  <c r="L38" i="158"/>
  <c r="L14" i="158"/>
  <c r="L30" i="158"/>
  <c r="L17" i="158"/>
  <c r="L31" i="158"/>
  <c r="L11" i="158"/>
  <c r="L24" i="158"/>
  <c r="L35" i="158"/>
  <c r="L33" i="158"/>
  <c r="L22" i="158"/>
  <c r="L7" i="158"/>
  <c r="L39" i="158"/>
  <c r="L29" i="158"/>
  <c r="L34" i="158"/>
  <c r="L16" i="158"/>
  <c r="L25" i="158"/>
  <c r="L26" i="158"/>
  <c r="L10" i="158"/>
  <c r="L28" i="158"/>
  <c r="L13" i="158"/>
  <c r="L32" i="158"/>
  <c r="L27" i="158"/>
  <c r="L12" i="158"/>
  <c r="L23" i="158"/>
  <c r="L37" i="158"/>
  <c r="L36" i="158"/>
  <c r="L15" i="158"/>
  <c r="L9" i="158"/>
  <c r="L21" i="158"/>
  <c r="AC7" i="150" l="1"/>
  <c r="K7" i="150"/>
  <c r="AB7" i="150"/>
  <c r="AC7" i="153"/>
  <c r="K7" i="153"/>
  <c r="AB7" i="153"/>
  <c r="P7" i="150" l="1"/>
  <c r="P7" i="153"/>
  <c r="O7" i="153"/>
  <c r="N7" i="153"/>
  <c r="M7" i="153"/>
  <c r="N7" i="150"/>
  <c r="M7" i="150"/>
  <c r="O7" i="150"/>
  <c r="AC32" i="157"/>
  <c r="AB32" i="157"/>
  <c r="K32" i="157"/>
  <c r="L7" i="150" l="1"/>
  <c r="F7" i="150" s="1"/>
  <c r="O32" i="157"/>
  <c r="M32" i="157"/>
  <c r="N32" i="157"/>
  <c r="P32" i="157"/>
  <c r="L7" i="153"/>
  <c r="AB11" i="157"/>
  <c r="K11" i="157"/>
  <c r="AC11" i="157"/>
  <c r="K31" i="157"/>
  <c r="AB31" i="157"/>
  <c r="AC31" i="157"/>
  <c r="K26" i="157"/>
  <c r="AC26" i="157"/>
  <c r="AB26" i="157"/>
  <c r="L32" i="157" l="1"/>
  <c r="O11" i="157"/>
  <c r="N11" i="157"/>
  <c r="M11" i="157"/>
  <c r="M26" i="157"/>
  <c r="O26" i="157"/>
  <c r="N26" i="157"/>
  <c r="P26" i="157"/>
  <c r="P31" i="157"/>
  <c r="P11" i="157"/>
  <c r="M31" i="157"/>
  <c r="O31" i="157"/>
  <c r="N31" i="157"/>
  <c r="K11" i="156"/>
  <c r="AC11" i="156"/>
  <c r="AB11" i="156"/>
  <c r="AB12" i="157"/>
  <c r="K12" i="157"/>
  <c r="AC12" i="157"/>
  <c r="AB33" i="157"/>
  <c r="AC33" i="157"/>
  <c r="K33" i="157"/>
  <c r="K8" i="157"/>
  <c r="AB8" i="157"/>
  <c r="AC8" i="157"/>
  <c r="K34" i="157"/>
  <c r="AC34" i="157"/>
  <c r="AB34" i="157"/>
  <c r="K27" i="157"/>
  <c r="AB27" i="157"/>
  <c r="AC27" i="157"/>
  <c r="AB9" i="157"/>
  <c r="AC9" i="157"/>
  <c r="K9" i="157"/>
  <c r="AC25" i="157"/>
  <c r="K25" i="157"/>
  <c r="AB25" i="157"/>
  <c r="AB17" i="157"/>
  <c r="K17" i="157"/>
  <c r="AC17" i="157"/>
  <c r="AB21" i="157"/>
  <c r="AC21" i="157"/>
  <c r="K21" i="157"/>
  <c r="AB22" i="157"/>
  <c r="AC22" i="157"/>
  <c r="K22" i="157"/>
  <c r="AB18" i="157"/>
  <c r="AC18" i="157"/>
  <c r="K18" i="157"/>
  <c r="L26" i="157" l="1"/>
  <c r="L11" i="157"/>
  <c r="L31" i="157"/>
  <c r="N18" i="157"/>
  <c r="O18" i="157"/>
  <c r="M18" i="157"/>
  <c r="N21" i="157"/>
  <c r="O21" i="157"/>
  <c r="M21" i="157"/>
  <c r="O27" i="157"/>
  <c r="N27" i="157"/>
  <c r="M27" i="157"/>
  <c r="P33" i="157"/>
  <c r="P25" i="157"/>
  <c r="O33" i="157"/>
  <c r="N33" i="157"/>
  <c r="M33" i="157"/>
  <c r="P18" i="157"/>
  <c r="P21" i="157"/>
  <c r="N17" i="157"/>
  <c r="M17" i="157"/>
  <c r="O17" i="157"/>
  <c r="N9" i="157"/>
  <c r="M9" i="157"/>
  <c r="O9" i="157"/>
  <c r="P11" i="156"/>
  <c r="P22" i="157"/>
  <c r="P34" i="157"/>
  <c r="M11" i="156"/>
  <c r="O11" i="156"/>
  <c r="N11" i="156"/>
  <c r="P17" i="157"/>
  <c r="O22" i="157"/>
  <c r="M22" i="157"/>
  <c r="N22" i="157"/>
  <c r="P9" i="157"/>
  <c r="M34" i="157"/>
  <c r="N34" i="157"/>
  <c r="O34" i="157"/>
  <c r="P8" i="157"/>
  <c r="O12" i="157"/>
  <c r="N12" i="157"/>
  <c r="M12" i="157"/>
  <c r="N25" i="157"/>
  <c r="M25" i="157"/>
  <c r="O25" i="157"/>
  <c r="N8" i="157"/>
  <c r="O8" i="157"/>
  <c r="M8" i="157"/>
  <c r="P27" i="157"/>
  <c r="P12" i="157"/>
  <c r="AC21" i="156"/>
  <c r="K21" i="156"/>
  <c r="AB21" i="156"/>
  <c r="K25" i="156"/>
  <c r="AB25" i="156"/>
  <c r="AC25" i="156"/>
  <c r="AC33" i="156"/>
  <c r="K33" i="156"/>
  <c r="AB33" i="156"/>
  <c r="L18" i="157" l="1"/>
  <c r="L9" i="157"/>
  <c r="L25" i="157"/>
  <c r="L27" i="157"/>
  <c r="L22" i="157"/>
  <c r="L8" i="157"/>
  <c r="L33" i="157"/>
  <c r="L21" i="157"/>
  <c r="L11" i="156"/>
  <c r="L34" i="157"/>
  <c r="L17" i="157"/>
  <c r="L12" i="157"/>
  <c r="O25" i="156"/>
  <c r="N25" i="156"/>
  <c r="M25" i="156"/>
  <c r="P33" i="156"/>
  <c r="P25" i="156"/>
  <c r="P21" i="156"/>
  <c r="M21" i="156"/>
  <c r="N21" i="156"/>
  <c r="O21" i="156"/>
  <c r="N33" i="156"/>
  <c r="O33" i="156"/>
  <c r="M33" i="156"/>
  <c r="K34" i="156"/>
  <c r="AB34" i="156"/>
  <c r="AC34" i="156"/>
  <c r="AC24" i="156"/>
  <c r="K24" i="156"/>
  <c r="AB24" i="156"/>
  <c r="AB10" i="156"/>
  <c r="AC10" i="156"/>
  <c r="K10" i="156"/>
  <c r="K26" i="156"/>
  <c r="AC26" i="156"/>
  <c r="AB26" i="156"/>
  <c r="K18" i="156"/>
  <c r="AC18" i="156"/>
  <c r="AB18" i="156"/>
  <c r="L25" i="156" l="1"/>
  <c r="L33" i="156"/>
  <c r="L21" i="156"/>
  <c r="P24" i="156"/>
  <c r="O18" i="156"/>
  <c r="M18" i="156"/>
  <c r="N18" i="156"/>
  <c r="N24" i="156"/>
  <c r="O24" i="156"/>
  <c r="M24" i="156"/>
  <c r="P26" i="156"/>
  <c r="P18" i="156"/>
  <c r="N26" i="156"/>
  <c r="O26" i="156"/>
  <c r="M26" i="156"/>
  <c r="P10" i="156"/>
  <c r="P34" i="156"/>
  <c r="O10" i="156"/>
  <c r="M10" i="156"/>
  <c r="N10" i="156"/>
  <c r="N34" i="156"/>
  <c r="O34" i="156"/>
  <c r="M34" i="156"/>
  <c r="K12" i="156"/>
  <c r="AC12" i="156"/>
  <c r="AB12" i="156"/>
  <c r="L24" i="156" l="1"/>
  <c r="L34" i="156"/>
  <c r="L18" i="156"/>
  <c r="L10" i="156"/>
  <c r="L26" i="156"/>
  <c r="P12" i="156"/>
  <c r="N12" i="156"/>
  <c r="O12" i="156"/>
  <c r="M12" i="156"/>
  <c r="AB30" i="155"/>
  <c r="AC30" i="155"/>
  <c r="K30" i="155"/>
  <c r="K18" i="155"/>
  <c r="AC18" i="155"/>
  <c r="AB18" i="155"/>
  <c r="K21" i="155"/>
  <c r="AB21" i="155"/>
  <c r="AC21" i="155"/>
  <c r="AC10" i="155"/>
  <c r="K10" i="155"/>
  <c r="AB10" i="155"/>
  <c r="L12" i="156" l="1"/>
  <c r="P10" i="155"/>
  <c r="P21" i="155"/>
  <c r="N10" i="155"/>
  <c r="O10" i="155"/>
  <c r="M10" i="155"/>
  <c r="O21" i="155"/>
  <c r="M21" i="155"/>
  <c r="N21" i="155"/>
  <c r="P30" i="155"/>
  <c r="M30" i="155"/>
  <c r="O30" i="155"/>
  <c r="N30" i="155"/>
  <c r="N18" i="155"/>
  <c r="M18" i="155"/>
  <c r="O18" i="155"/>
  <c r="P18" i="155"/>
  <c r="AB32" i="155"/>
  <c r="K32" i="155"/>
  <c r="AC32" i="155"/>
  <c r="AC11" i="155"/>
  <c r="AB11" i="155"/>
  <c r="K11" i="155"/>
  <c r="AB33" i="155"/>
  <c r="AC33" i="155"/>
  <c r="K33" i="155"/>
  <c r="AC9" i="155"/>
  <c r="AB9" i="155"/>
  <c r="K9" i="155"/>
  <c r="AB34" i="155"/>
  <c r="K34" i="155"/>
  <c r="AC34" i="155"/>
  <c r="AC24" i="155"/>
  <c r="K24" i="155"/>
  <c r="AB24" i="155"/>
  <c r="AC27" i="155"/>
  <c r="K27" i="155"/>
  <c r="AB27" i="155"/>
  <c r="AB26" i="155"/>
  <c r="AC26" i="155"/>
  <c r="K26" i="155"/>
  <c r="L10" i="155" l="1"/>
  <c r="L21" i="155"/>
  <c r="L30" i="155"/>
  <c r="L18" i="155"/>
  <c r="N24" i="155"/>
  <c r="O24" i="155"/>
  <c r="M24" i="155"/>
  <c r="N32" i="155"/>
  <c r="M32" i="155"/>
  <c r="O32" i="155"/>
  <c r="P34" i="155"/>
  <c r="N33" i="155"/>
  <c r="M33" i="155"/>
  <c r="O33" i="155"/>
  <c r="P32" i="155"/>
  <c r="P26" i="155"/>
  <c r="N26" i="155"/>
  <c r="O26" i="155"/>
  <c r="M26" i="155"/>
  <c r="N34" i="155"/>
  <c r="O34" i="155"/>
  <c r="M34" i="155"/>
  <c r="N27" i="155"/>
  <c r="O27" i="155"/>
  <c r="M27" i="155"/>
  <c r="O11" i="155"/>
  <c r="N11" i="155"/>
  <c r="M11" i="155"/>
  <c r="P27" i="155"/>
  <c r="P24" i="155"/>
  <c r="N9" i="155"/>
  <c r="O9" i="155"/>
  <c r="M9" i="155"/>
  <c r="P33" i="155"/>
  <c r="P9" i="155"/>
  <c r="P11" i="155"/>
  <c r="P37" i="162"/>
  <c r="AC30" i="157"/>
  <c r="K30" i="157"/>
  <c r="AB30" i="157"/>
  <c r="AB16" i="155"/>
  <c r="K16" i="155"/>
  <c r="AC16" i="155"/>
  <c r="AB24" i="157"/>
  <c r="AC24" i="157"/>
  <c r="K24" i="157"/>
  <c r="K38" i="156"/>
  <c r="AB38" i="156"/>
  <c r="AC38" i="156"/>
  <c r="AB15" i="155"/>
  <c r="AC15" i="155"/>
  <c r="K15" i="155"/>
  <c r="AB36" i="163"/>
  <c r="AC36" i="163"/>
  <c r="AB31" i="162"/>
  <c r="AC31" i="162"/>
  <c r="K31" i="162"/>
  <c r="K14" i="162"/>
  <c r="AC14" i="162"/>
  <c r="AB14" i="162"/>
  <c r="K38" i="161"/>
  <c r="AB38" i="161"/>
  <c r="AC38" i="161"/>
  <c r="K23" i="157"/>
  <c r="AC23" i="157"/>
  <c r="AB23" i="157"/>
  <c r="K8" i="155"/>
  <c r="AB8" i="155"/>
  <c r="AC8" i="155"/>
  <c r="K22" i="161"/>
  <c r="AB22" i="161"/>
  <c r="AC22" i="161"/>
  <c r="AC12" i="160"/>
  <c r="K12" i="160"/>
  <c r="AB12" i="160"/>
  <c r="K28" i="159"/>
  <c r="AC28" i="159"/>
  <c r="AB28" i="159"/>
  <c r="AC10" i="159"/>
  <c r="K10" i="159"/>
  <c r="AB10" i="159"/>
  <c r="AC8" i="156"/>
  <c r="K8" i="156"/>
  <c r="AB8" i="156"/>
  <c r="AC20" i="161"/>
  <c r="AB20" i="161"/>
  <c r="K20" i="161"/>
  <c r="AB6" i="163"/>
  <c r="AC6" i="163"/>
  <c r="AB15" i="156"/>
  <c r="K15" i="156"/>
  <c r="AC15" i="156"/>
  <c r="AC30" i="161"/>
  <c r="AB30" i="161"/>
  <c r="K30" i="161"/>
  <c r="AC11" i="160"/>
  <c r="AB11" i="160"/>
  <c r="K11" i="160"/>
  <c r="AC31" i="159"/>
  <c r="K31" i="159"/>
  <c r="AB31" i="159"/>
  <c r="AB13" i="159"/>
  <c r="AC13" i="159"/>
  <c r="K13" i="159"/>
  <c r="AC30" i="163"/>
  <c r="K30" i="163"/>
  <c r="AB30" i="163"/>
  <c r="AC35" i="156"/>
  <c r="AB35" i="156"/>
  <c r="K35" i="156"/>
  <c r="AB20" i="162"/>
  <c r="K20" i="162"/>
  <c r="AC20" i="162"/>
  <c r="K17" i="155"/>
  <c r="AB17" i="155"/>
  <c r="AC17" i="155"/>
  <c r="K13" i="156"/>
  <c r="AC13" i="156"/>
  <c r="AB13" i="156"/>
  <c r="K30" i="160"/>
  <c r="AB30" i="160"/>
  <c r="AC30" i="160"/>
  <c r="AB13" i="160"/>
  <c r="AC13" i="160"/>
  <c r="K13" i="160"/>
  <c r="K39" i="163"/>
  <c r="AC39" i="163"/>
  <c r="AB39" i="163"/>
  <c r="K37" i="157"/>
  <c r="AC37" i="157"/>
  <c r="AB37" i="157"/>
  <c r="AB25" i="162"/>
  <c r="K25" i="162"/>
  <c r="AC25" i="162"/>
  <c r="K31" i="160"/>
  <c r="AC31" i="160"/>
  <c r="AB31" i="160"/>
  <c r="K14" i="160"/>
  <c r="AC14" i="160"/>
  <c r="AB14" i="160"/>
  <c r="K30" i="159"/>
  <c r="AB30" i="159"/>
  <c r="AC30" i="159"/>
  <c r="AC29" i="163"/>
  <c r="K29" i="163"/>
  <c r="AB29" i="163"/>
  <c r="AB36" i="162"/>
  <c r="K36" i="162"/>
  <c r="AC36" i="162"/>
  <c r="AB11" i="162"/>
  <c r="K11" i="162"/>
  <c r="AC11" i="162"/>
  <c r="K29" i="161"/>
  <c r="AB29" i="161"/>
  <c r="AC29" i="161"/>
  <c r="AB39" i="160"/>
  <c r="K39" i="160"/>
  <c r="AC39" i="160"/>
  <c r="AB6" i="160"/>
  <c r="P6" i="160"/>
  <c r="AC6" i="160"/>
  <c r="AB36" i="157"/>
  <c r="AC36" i="157"/>
  <c r="K36" i="157"/>
  <c r="AC31" i="156"/>
  <c r="AB31" i="156"/>
  <c r="K31" i="156"/>
  <c r="AC23" i="156"/>
  <c r="K23" i="156"/>
  <c r="AB23" i="156"/>
  <c r="AC13" i="157"/>
  <c r="AB13" i="157"/>
  <c r="K13" i="157"/>
  <c r="AC35" i="155"/>
  <c r="K35" i="155"/>
  <c r="AB35" i="155"/>
  <c r="AB21" i="162"/>
  <c r="K21" i="162"/>
  <c r="AC21" i="162"/>
  <c r="AC28" i="163"/>
  <c r="AB28" i="163"/>
  <c r="AB39" i="162"/>
  <c r="AC39" i="162"/>
  <c r="K39" i="162"/>
  <c r="AB6" i="162"/>
  <c r="P6" i="162"/>
  <c r="AC6" i="162"/>
  <c r="K33" i="160"/>
  <c r="AB33" i="160"/>
  <c r="AC33" i="160"/>
  <c r="AB14" i="159"/>
  <c r="K14" i="159"/>
  <c r="AC14" i="159"/>
  <c r="AB37" i="156"/>
  <c r="K37" i="156"/>
  <c r="AC37" i="156"/>
  <c r="AB34" i="162"/>
  <c r="AC34" i="162"/>
  <c r="K34" i="162"/>
  <c r="AC17" i="162"/>
  <c r="K17" i="162"/>
  <c r="AB17" i="162"/>
  <c r="K9" i="162"/>
  <c r="AC9" i="162"/>
  <c r="AB9" i="162"/>
  <c r="AC15" i="157"/>
  <c r="AB15" i="157"/>
  <c r="K15" i="157"/>
  <c r="K13" i="155"/>
  <c r="AC13" i="155"/>
  <c r="AB13" i="155"/>
  <c r="AC34" i="163"/>
  <c r="AB34" i="163"/>
  <c r="K32" i="160"/>
  <c r="AC32" i="160"/>
  <c r="AB32" i="160"/>
  <c r="AB7" i="156"/>
  <c r="AC7" i="156"/>
  <c r="K7" i="156"/>
  <c r="AC22" i="159"/>
  <c r="AB22" i="159"/>
  <c r="K22" i="159"/>
  <c r="K38" i="160"/>
  <c r="AC38" i="160"/>
  <c r="AB38" i="160"/>
  <c r="K37" i="159"/>
  <c r="AC37" i="159"/>
  <c r="AB37" i="159"/>
  <c r="AC6" i="157"/>
  <c r="P6" i="157"/>
  <c r="AB6" i="157"/>
  <c r="AC23" i="162"/>
  <c r="AB23" i="162"/>
  <c r="K23" i="162"/>
  <c r="AC37" i="155"/>
  <c r="AB37" i="155"/>
  <c r="K37" i="155"/>
  <c r="AC29" i="160"/>
  <c r="AB29" i="160"/>
  <c r="K29" i="160"/>
  <c r="K36" i="159"/>
  <c r="AC36" i="159"/>
  <c r="AB36" i="159"/>
  <c r="AB38" i="157"/>
  <c r="K38" i="157"/>
  <c r="AC38" i="157"/>
  <c r="AB29" i="162"/>
  <c r="K29" i="162"/>
  <c r="AC29" i="162"/>
  <c r="AC14" i="161"/>
  <c r="AB14" i="161"/>
  <c r="K14" i="161"/>
  <c r="K23" i="160"/>
  <c r="AC23" i="160"/>
  <c r="AB23" i="160"/>
  <c r="AB39" i="156"/>
  <c r="AC39" i="156"/>
  <c r="K39" i="156"/>
  <c r="AB28" i="162"/>
  <c r="K28" i="162"/>
  <c r="AC28" i="162"/>
  <c r="AB6" i="155"/>
  <c r="P6" i="155"/>
  <c r="AC6" i="155"/>
  <c r="AC34" i="160"/>
  <c r="K34" i="160"/>
  <c r="AB34" i="160"/>
  <c r="AC16" i="162"/>
  <c r="AB16" i="162"/>
  <c r="K16" i="162"/>
  <c r="K28" i="161"/>
  <c r="AC28" i="161"/>
  <c r="AB28" i="161"/>
  <c r="K16" i="157"/>
  <c r="AB16" i="157"/>
  <c r="AC16" i="157"/>
  <c r="AC22" i="155"/>
  <c r="AB22" i="155"/>
  <c r="K22" i="155"/>
  <c r="AB25" i="161"/>
  <c r="AC25" i="161"/>
  <c r="K25" i="161"/>
  <c r="K22" i="153"/>
  <c r="AB22" i="153"/>
  <c r="AC22" i="153"/>
  <c r="AB15" i="161"/>
  <c r="K15" i="161"/>
  <c r="AC15" i="161"/>
  <c r="AC25" i="160"/>
  <c r="K25" i="160"/>
  <c r="AB25" i="160"/>
  <c r="AC16" i="160"/>
  <c r="K16" i="160"/>
  <c r="AB16" i="160"/>
  <c r="AB38" i="155"/>
  <c r="AC38" i="155"/>
  <c r="K38" i="155"/>
  <c r="AB18" i="163"/>
  <c r="AC18" i="163"/>
  <c r="K18" i="163"/>
  <c r="AC26" i="162"/>
  <c r="K26" i="162"/>
  <c r="AB26" i="162"/>
  <c r="AB23" i="159"/>
  <c r="K23" i="159"/>
  <c r="AC23" i="159"/>
  <c r="K39" i="155"/>
  <c r="AB39" i="155"/>
  <c r="AC39" i="155"/>
  <c r="AC8" i="161"/>
  <c r="AB8" i="161"/>
  <c r="K8" i="161"/>
  <c r="AB24" i="160"/>
  <c r="K24" i="160"/>
  <c r="AC24" i="160"/>
  <c r="K35" i="160"/>
  <c r="AB35" i="160"/>
  <c r="AC35" i="160"/>
  <c r="AB12" i="159"/>
  <c r="AC12" i="159"/>
  <c r="K12" i="159"/>
  <c r="AC33" i="163"/>
  <c r="K33" i="163"/>
  <c r="AB33" i="163"/>
  <c r="AB32" i="162"/>
  <c r="AC32" i="162"/>
  <c r="K32" i="162"/>
  <c r="K39" i="161"/>
  <c r="AB39" i="161"/>
  <c r="AC39" i="161"/>
  <c r="AC21" i="159"/>
  <c r="AB21" i="159"/>
  <c r="K21" i="159"/>
  <c r="AC23" i="161"/>
  <c r="K23" i="161"/>
  <c r="AB23" i="161"/>
  <c r="AB17" i="160"/>
  <c r="K17" i="160"/>
  <c r="AC17" i="160"/>
  <c r="K15" i="159"/>
  <c r="AB15" i="159"/>
  <c r="AC15" i="159"/>
  <c r="AC22" i="156"/>
  <c r="AB22" i="156"/>
  <c r="K22" i="156"/>
  <c r="K9" i="156"/>
  <c r="AC9" i="156"/>
  <c r="AB9" i="156"/>
  <c r="AB32" i="163"/>
  <c r="AC32" i="163"/>
  <c r="AB35" i="162"/>
  <c r="K35" i="162"/>
  <c r="AC35" i="162"/>
  <c r="AB18" i="162"/>
  <c r="AC18" i="162"/>
  <c r="K18" i="162"/>
  <c r="K16" i="156"/>
  <c r="AB16" i="156"/>
  <c r="AC16" i="156"/>
  <c r="K29" i="156"/>
  <c r="AB29" i="156"/>
  <c r="AC29" i="156"/>
  <c r="AB38" i="162"/>
  <c r="AC38" i="162"/>
  <c r="K38" i="162"/>
  <c r="AB22" i="162"/>
  <c r="K22" i="162"/>
  <c r="AC22" i="162"/>
  <c r="K13" i="162"/>
  <c r="AC13" i="162"/>
  <c r="AB13" i="162"/>
  <c r="K37" i="161"/>
  <c r="AC37" i="161"/>
  <c r="AB37" i="161"/>
  <c r="AB28" i="155"/>
  <c r="K28" i="155"/>
  <c r="AC28" i="155"/>
  <c r="AB17" i="163"/>
  <c r="AC17" i="163"/>
  <c r="K17" i="163"/>
  <c r="K35" i="159"/>
  <c r="AB35" i="159"/>
  <c r="AC35" i="159"/>
  <c r="AB9" i="159"/>
  <c r="AC9" i="159"/>
  <c r="K9" i="159"/>
  <c r="AC36" i="156"/>
  <c r="K36" i="156"/>
  <c r="AB36" i="156"/>
  <c r="AC29" i="155"/>
  <c r="AB29" i="155"/>
  <c r="K29" i="155"/>
  <c r="K18" i="160"/>
  <c r="AB18" i="160"/>
  <c r="AC18" i="160"/>
  <c r="AB10" i="160"/>
  <c r="K10" i="160"/>
  <c r="AC10" i="160"/>
  <c r="AB34" i="159"/>
  <c r="AC34" i="159"/>
  <c r="K34" i="159"/>
  <c r="AB24" i="162"/>
  <c r="AC24" i="162"/>
  <c r="K24" i="162"/>
  <c r="K15" i="162"/>
  <c r="AB15" i="162"/>
  <c r="AC15" i="162"/>
  <c r="K35" i="161"/>
  <c r="AB35" i="161"/>
  <c r="AC35" i="161"/>
  <c r="AB25" i="159"/>
  <c r="AC25" i="159"/>
  <c r="K25" i="159"/>
  <c r="AC7" i="155"/>
  <c r="AB7" i="155"/>
  <c r="K7" i="155"/>
  <c r="K36" i="161"/>
  <c r="AB36" i="161"/>
  <c r="AC36" i="161"/>
  <c r="AC6" i="161"/>
  <c r="AB6" i="161"/>
  <c r="P6" i="161"/>
  <c r="AB26" i="160"/>
  <c r="K26" i="160"/>
  <c r="AC26" i="160"/>
  <c r="K9" i="160"/>
  <c r="AC9" i="160"/>
  <c r="AB9" i="160"/>
  <c r="AB33" i="159"/>
  <c r="AC33" i="159"/>
  <c r="K33" i="159"/>
  <c r="K35" i="157"/>
  <c r="AB35" i="157"/>
  <c r="AC35" i="157"/>
  <c r="AB10" i="162"/>
  <c r="K10" i="162"/>
  <c r="AC10" i="162"/>
  <c r="AB20" i="159"/>
  <c r="K20" i="159"/>
  <c r="AC20" i="159"/>
  <c r="AB37" i="162"/>
  <c r="K37" i="162"/>
  <c r="AC37" i="162"/>
  <c r="AC20" i="157"/>
  <c r="K20" i="157"/>
  <c r="AB20" i="157"/>
  <c r="K8" i="160"/>
  <c r="AB8" i="160"/>
  <c r="AC8" i="160"/>
  <c r="AB32" i="159"/>
  <c r="K32" i="159"/>
  <c r="AC32" i="159"/>
  <c r="P6" i="159"/>
  <c r="AB6" i="159"/>
  <c r="AC6" i="159"/>
  <c r="AB28" i="157"/>
  <c r="K28" i="157"/>
  <c r="AC28" i="157"/>
  <c r="AB12" i="155"/>
  <c r="K12" i="155"/>
  <c r="AC12" i="155"/>
  <c r="AB26" i="163"/>
  <c r="AC26" i="163"/>
  <c r="K8" i="162"/>
  <c r="AC8" i="162"/>
  <c r="AB8" i="162"/>
  <c r="AB25" i="155"/>
  <c r="K25" i="155"/>
  <c r="AC25" i="155"/>
  <c r="AB33" i="162"/>
  <c r="K33" i="162"/>
  <c r="AC33" i="162"/>
  <c r="K15" i="160"/>
  <c r="AC15" i="160"/>
  <c r="AB15" i="160"/>
  <c r="AB27" i="159"/>
  <c r="K27" i="159"/>
  <c r="AC27" i="159"/>
  <c r="AB20" i="156"/>
  <c r="AC20" i="156"/>
  <c r="K20" i="156"/>
  <c r="AB8" i="159"/>
  <c r="K8" i="159"/>
  <c r="AC8" i="159"/>
  <c r="AC6" i="156"/>
  <c r="P6" i="156"/>
  <c r="AB6" i="156"/>
  <c r="K20" i="155"/>
  <c r="AC20" i="155"/>
  <c r="AB20" i="155"/>
  <c r="K22" i="160"/>
  <c r="AC22" i="160"/>
  <c r="AB22" i="160"/>
  <c r="K29" i="159"/>
  <c r="AB29" i="159"/>
  <c r="AC29" i="159"/>
  <c r="AC11" i="159"/>
  <c r="AB11" i="159"/>
  <c r="K11" i="159"/>
  <c r="AB7" i="159"/>
  <c r="AC7" i="159"/>
  <c r="K7" i="159"/>
  <c r="AB24" i="159"/>
  <c r="AC24" i="159"/>
  <c r="K24" i="159"/>
  <c r="K23" i="155"/>
  <c r="AC23" i="155"/>
  <c r="AB23" i="155"/>
  <c r="AC37" i="160"/>
  <c r="AB37" i="160"/>
  <c r="K37" i="160"/>
  <c r="K21" i="160"/>
  <c r="AB21" i="160"/>
  <c r="AC21" i="160"/>
  <c r="K14" i="157"/>
  <c r="AC14" i="157"/>
  <c r="AB14" i="157"/>
  <c r="AB23" i="163"/>
  <c r="AC23" i="163"/>
  <c r="K30" i="162"/>
  <c r="AC30" i="162"/>
  <c r="AB30" i="162"/>
  <c r="K28" i="156"/>
  <c r="AB28" i="156"/>
  <c r="AC28" i="156"/>
  <c r="AC7" i="160"/>
  <c r="AB7" i="160"/>
  <c r="K7" i="160"/>
  <c r="AB14" i="155"/>
  <c r="AC14" i="155"/>
  <c r="K14" i="155"/>
  <c r="AC27" i="160"/>
  <c r="K27" i="160"/>
  <c r="AB27" i="160"/>
  <c r="K13" i="161"/>
  <c r="AC13" i="161"/>
  <c r="AB13" i="161"/>
  <c r="AB7" i="161"/>
  <c r="K7" i="161"/>
  <c r="AC7" i="161"/>
  <c r="AC38" i="159"/>
  <c r="K38" i="159"/>
  <c r="AB38" i="159"/>
  <c r="AC27" i="156"/>
  <c r="K27" i="156"/>
  <c r="AB27" i="156"/>
  <c r="K14" i="156"/>
  <c r="AB14" i="156"/>
  <c r="AC14" i="156"/>
  <c r="AC31" i="155"/>
  <c r="AB31" i="155"/>
  <c r="K31" i="155"/>
  <c r="K7" i="162"/>
  <c r="AC7" i="162"/>
  <c r="AB7" i="162"/>
  <c r="AB39" i="157"/>
  <c r="AC39" i="157"/>
  <c r="K39" i="157"/>
  <c r="K29" i="157"/>
  <c r="AC29" i="157"/>
  <c r="AB29" i="157"/>
  <c r="K30" i="156"/>
  <c r="AC30" i="156"/>
  <c r="AB30" i="156"/>
  <c r="AC17" i="156"/>
  <c r="AB17" i="156"/>
  <c r="K17" i="156"/>
  <c r="K36" i="155"/>
  <c r="AC36" i="155"/>
  <c r="AB36" i="155"/>
  <c r="AB17" i="159"/>
  <c r="K17" i="159"/>
  <c r="AC17" i="159"/>
  <c r="K27" i="162"/>
  <c r="AB27" i="162"/>
  <c r="AC27" i="162"/>
  <c r="AB14" i="163"/>
  <c r="AC14" i="163"/>
  <c r="AB18" i="159"/>
  <c r="K18" i="159"/>
  <c r="AC18" i="159"/>
  <c r="K10" i="157"/>
  <c r="AB10" i="157"/>
  <c r="AC10" i="157"/>
  <c r="AC36" i="160"/>
  <c r="AB36" i="160"/>
  <c r="K36" i="160"/>
  <c r="K28" i="160"/>
  <c r="AC28" i="160"/>
  <c r="AB28" i="160"/>
  <c r="AC20" i="160"/>
  <c r="AB20" i="160"/>
  <c r="K20" i="160"/>
  <c r="AC39" i="159"/>
  <c r="K39" i="159"/>
  <c r="AB39" i="159"/>
  <c r="K32" i="156"/>
  <c r="AB32" i="156"/>
  <c r="AC32" i="156"/>
  <c r="AC13" i="163"/>
  <c r="AB13" i="163"/>
  <c r="AC12" i="162"/>
  <c r="K12" i="162"/>
  <c r="AB12" i="162"/>
  <c r="L34" i="155" l="1"/>
  <c r="L9" i="155"/>
  <c r="L27" i="155"/>
  <c r="L32" i="155"/>
  <c r="L33" i="155"/>
  <c r="L24" i="155"/>
  <c r="L26" i="155"/>
  <c r="L11" i="155"/>
  <c r="N17" i="159"/>
  <c r="M17" i="159"/>
  <c r="O17" i="159"/>
  <c r="O37" i="162"/>
  <c r="M37" i="162"/>
  <c r="N37" i="162"/>
  <c r="O39" i="161"/>
  <c r="N39" i="161"/>
  <c r="M39" i="161"/>
  <c r="M22" i="159"/>
  <c r="N22" i="159"/>
  <c r="O22" i="159"/>
  <c r="P34" i="162"/>
  <c r="O38" i="161"/>
  <c r="M38" i="161"/>
  <c r="N38" i="161"/>
  <c r="O17" i="156"/>
  <c r="N17" i="156"/>
  <c r="M17" i="156"/>
  <c r="P10" i="160"/>
  <c r="P29" i="155"/>
  <c r="P18" i="162"/>
  <c r="M29" i="160"/>
  <c r="O29" i="160"/>
  <c r="N29" i="160"/>
  <c r="AB41" i="160"/>
  <c r="K13" i="163"/>
  <c r="P10" i="157"/>
  <c r="P27" i="156"/>
  <c r="P27" i="160"/>
  <c r="P7" i="160"/>
  <c r="M30" i="162"/>
  <c r="O30" i="162"/>
  <c r="N30" i="162"/>
  <c r="P14" i="157"/>
  <c r="P11" i="159"/>
  <c r="O20" i="155"/>
  <c r="N20" i="155"/>
  <c r="M20" i="155"/>
  <c r="P8" i="159"/>
  <c r="N8" i="162"/>
  <c r="M8" i="162"/>
  <c r="O8" i="162"/>
  <c r="N8" i="160"/>
  <c r="O8" i="160"/>
  <c r="M8" i="160"/>
  <c r="M10" i="162"/>
  <c r="N10" i="162"/>
  <c r="O10" i="162"/>
  <c r="O33" i="159"/>
  <c r="M33" i="159"/>
  <c r="N33" i="159"/>
  <c r="N26" i="160"/>
  <c r="O26" i="160"/>
  <c r="M26" i="160"/>
  <c r="N34" i="159"/>
  <c r="M34" i="159"/>
  <c r="O34" i="159"/>
  <c r="M38" i="162"/>
  <c r="N38" i="162"/>
  <c r="O38" i="162"/>
  <c r="P17" i="160"/>
  <c r="M21" i="159"/>
  <c r="N21" i="159"/>
  <c r="O21" i="159"/>
  <c r="M32" i="162"/>
  <c r="N32" i="162"/>
  <c r="O32" i="162"/>
  <c r="P38" i="155"/>
  <c r="M16" i="157"/>
  <c r="N16" i="157"/>
  <c r="O16" i="157"/>
  <c r="P14" i="161"/>
  <c r="O38" i="157"/>
  <c r="M38" i="157"/>
  <c r="N38" i="157"/>
  <c r="P29" i="160"/>
  <c r="P23" i="162"/>
  <c r="P22" i="159"/>
  <c r="P13" i="155"/>
  <c r="P9" i="162"/>
  <c r="O14" i="159"/>
  <c r="M14" i="159"/>
  <c r="N14" i="159"/>
  <c r="K28" i="163"/>
  <c r="M36" i="157"/>
  <c r="O36" i="157"/>
  <c r="N36" i="157"/>
  <c r="P11" i="162"/>
  <c r="O35" i="156"/>
  <c r="M35" i="156"/>
  <c r="N35" i="156"/>
  <c r="M15" i="156"/>
  <c r="O15" i="156"/>
  <c r="N15" i="156"/>
  <c r="P28" i="159"/>
  <c r="P22" i="161"/>
  <c r="K36" i="163"/>
  <c r="M12" i="155"/>
  <c r="O12" i="155"/>
  <c r="N12" i="155"/>
  <c r="N17" i="160"/>
  <c r="O17" i="160"/>
  <c r="M17" i="160"/>
  <c r="AC41" i="162"/>
  <c r="P17" i="155"/>
  <c r="P11" i="160"/>
  <c r="M8" i="155"/>
  <c r="N8" i="155"/>
  <c r="O8" i="155"/>
  <c r="P30" i="157"/>
  <c r="P17" i="159"/>
  <c r="P39" i="159"/>
  <c r="N28" i="160"/>
  <c r="O28" i="160"/>
  <c r="M28" i="160"/>
  <c r="O10" i="157"/>
  <c r="M10" i="157"/>
  <c r="N10" i="157"/>
  <c r="K41" i="157"/>
  <c r="O29" i="157"/>
  <c r="M29" i="157"/>
  <c r="N29" i="157"/>
  <c r="M14" i="155"/>
  <c r="O14" i="155"/>
  <c r="N14" i="155"/>
  <c r="P22" i="160"/>
  <c r="AB41" i="156"/>
  <c r="P27" i="159"/>
  <c r="P33" i="162"/>
  <c r="P8" i="162"/>
  <c r="P36" i="161"/>
  <c r="O15" i="162"/>
  <c r="M15" i="162"/>
  <c r="N15" i="162"/>
  <c r="P34" i="159"/>
  <c r="M28" i="155"/>
  <c r="O28" i="155"/>
  <c r="N28" i="155"/>
  <c r="P13" i="162"/>
  <c r="P35" i="162"/>
  <c r="P12" i="159"/>
  <c r="O24" i="160"/>
  <c r="N24" i="160"/>
  <c r="M24" i="160"/>
  <c r="O26" i="162"/>
  <c r="M26" i="162"/>
  <c r="N26" i="162"/>
  <c r="P25" i="160"/>
  <c r="O22" i="155"/>
  <c r="N22" i="155"/>
  <c r="M22" i="155"/>
  <c r="AB41" i="155"/>
  <c r="P39" i="156"/>
  <c r="P38" i="157"/>
  <c r="N32" i="160"/>
  <c r="M32" i="160"/>
  <c r="O32" i="160"/>
  <c r="M13" i="155"/>
  <c r="O13" i="155"/>
  <c r="N13" i="155"/>
  <c r="O9" i="162"/>
  <c r="M9" i="162"/>
  <c r="N9" i="162"/>
  <c r="AB41" i="162"/>
  <c r="O35" i="155"/>
  <c r="M35" i="155"/>
  <c r="N35" i="155"/>
  <c r="O23" i="156"/>
  <c r="N23" i="156"/>
  <c r="M23" i="156"/>
  <c r="P39" i="160"/>
  <c r="M29" i="163"/>
  <c r="N29" i="163"/>
  <c r="O29" i="163"/>
  <c r="M25" i="162"/>
  <c r="N25" i="162"/>
  <c r="O25" i="162"/>
  <c r="P30" i="160"/>
  <c r="P13" i="159"/>
  <c r="O8" i="156"/>
  <c r="N8" i="156"/>
  <c r="M8" i="156"/>
  <c r="P23" i="157"/>
  <c r="P14" i="162"/>
  <c r="O38" i="156"/>
  <c r="M38" i="156"/>
  <c r="N38" i="156"/>
  <c r="M16" i="155"/>
  <c r="N16" i="155"/>
  <c r="O16" i="155"/>
  <c r="K14" i="163"/>
  <c r="N25" i="159"/>
  <c r="O25" i="159"/>
  <c r="M25" i="159"/>
  <c r="M31" i="160"/>
  <c r="N31" i="160"/>
  <c r="O31" i="160"/>
  <c r="P37" i="157"/>
  <c r="P35" i="156"/>
  <c r="P20" i="161"/>
  <c r="P29" i="157"/>
  <c r="P7" i="162"/>
  <c r="O38" i="159"/>
  <c r="N38" i="159"/>
  <c r="M38" i="159"/>
  <c r="P28" i="156"/>
  <c r="N22" i="160"/>
  <c r="M22" i="160"/>
  <c r="O22" i="160"/>
  <c r="O20" i="156"/>
  <c r="M20" i="156"/>
  <c r="N20" i="156"/>
  <c r="O28" i="157"/>
  <c r="N28" i="157"/>
  <c r="M28" i="157"/>
  <c r="M32" i="159"/>
  <c r="N32" i="159"/>
  <c r="O32" i="159"/>
  <c r="M20" i="157"/>
  <c r="O20" i="157"/>
  <c r="N20" i="157"/>
  <c r="P20" i="159"/>
  <c r="P26" i="160"/>
  <c r="M36" i="161"/>
  <c r="O36" i="161"/>
  <c r="N36" i="161"/>
  <c r="P25" i="159"/>
  <c r="P15" i="162"/>
  <c r="P36" i="156"/>
  <c r="P28" i="155"/>
  <c r="M16" i="156"/>
  <c r="N16" i="156"/>
  <c r="O16" i="156"/>
  <c r="P32" i="162"/>
  <c r="P24" i="160"/>
  <c r="O39" i="155"/>
  <c r="M39" i="155"/>
  <c r="N39" i="155"/>
  <c r="P26" i="162"/>
  <c r="O25" i="160"/>
  <c r="N25" i="160"/>
  <c r="M25" i="160"/>
  <c r="P22" i="153"/>
  <c r="O37" i="159"/>
  <c r="N37" i="159"/>
  <c r="M37" i="159"/>
  <c r="P32" i="160"/>
  <c r="M15" i="157"/>
  <c r="N15" i="157"/>
  <c r="O15" i="157"/>
  <c r="P14" i="159"/>
  <c r="P35" i="155"/>
  <c r="M39" i="160"/>
  <c r="O39" i="160"/>
  <c r="N39" i="160"/>
  <c r="M11" i="162"/>
  <c r="O11" i="162"/>
  <c r="N11" i="162"/>
  <c r="M14" i="160"/>
  <c r="O14" i="160"/>
  <c r="N14" i="160"/>
  <c r="M39" i="163"/>
  <c r="O39" i="163"/>
  <c r="N39" i="163"/>
  <c r="O30" i="160"/>
  <c r="N30" i="160"/>
  <c r="M30" i="160"/>
  <c r="N17" i="155"/>
  <c r="O17" i="155"/>
  <c r="M17" i="155"/>
  <c r="M30" i="161"/>
  <c r="N30" i="161"/>
  <c r="O30" i="161"/>
  <c r="P38" i="156"/>
  <c r="P16" i="155"/>
  <c r="M33" i="162"/>
  <c r="N33" i="162"/>
  <c r="O33" i="162"/>
  <c r="N37" i="161"/>
  <c r="O37" i="161"/>
  <c r="M37" i="161"/>
  <c r="N38" i="155"/>
  <c r="O38" i="155"/>
  <c r="M38" i="155"/>
  <c r="P25" i="161"/>
  <c r="P16" i="157"/>
  <c r="M14" i="161"/>
  <c r="N14" i="161"/>
  <c r="O14" i="161"/>
  <c r="M20" i="160"/>
  <c r="N20" i="160"/>
  <c r="O20" i="160"/>
  <c r="P36" i="160"/>
  <c r="P39" i="157"/>
  <c r="K41" i="162"/>
  <c r="M7" i="162"/>
  <c r="N7" i="162"/>
  <c r="O7" i="162"/>
  <c r="M14" i="156"/>
  <c r="O14" i="156"/>
  <c r="N14" i="156"/>
  <c r="P13" i="161"/>
  <c r="P14" i="155"/>
  <c r="K23" i="163"/>
  <c r="N7" i="159"/>
  <c r="M7" i="159"/>
  <c r="K41" i="159"/>
  <c r="O7" i="159"/>
  <c r="P29" i="159"/>
  <c r="P25" i="155"/>
  <c r="P32" i="159"/>
  <c r="M20" i="159"/>
  <c r="N20" i="159"/>
  <c r="O20" i="159"/>
  <c r="P35" i="157"/>
  <c r="P7" i="155"/>
  <c r="P24" i="162"/>
  <c r="O18" i="160"/>
  <c r="N18" i="160"/>
  <c r="M18" i="160"/>
  <c r="M36" i="156"/>
  <c r="N36" i="156"/>
  <c r="O36" i="156"/>
  <c r="N35" i="159"/>
  <c r="L35" i="159"/>
  <c r="O35" i="159"/>
  <c r="M35" i="159"/>
  <c r="M13" i="162"/>
  <c r="N13" i="162"/>
  <c r="O13" i="162"/>
  <c r="P38" i="162"/>
  <c r="P16" i="156"/>
  <c r="M35" i="162"/>
  <c r="N35" i="162"/>
  <c r="O35" i="162"/>
  <c r="N9" i="156"/>
  <c r="M9" i="156"/>
  <c r="O9" i="156"/>
  <c r="P23" i="161"/>
  <c r="P21" i="159"/>
  <c r="P39" i="155"/>
  <c r="N22" i="153"/>
  <c r="M22" i="153"/>
  <c r="O22" i="153"/>
  <c r="P22" i="155"/>
  <c r="O28" i="161"/>
  <c r="M28" i="161"/>
  <c r="N28" i="161"/>
  <c r="N34" i="160"/>
  <c r="M34" i="160"/>
  <c r="O34" i="160"/>
  <c r="N28" i="162"/>
  <c r="O28" i="162"/>
  <c r="M28" i="162"/>
  <c r="P29" i="162"/>
  <c r="O37" i="155"/>
  <c r="N37" i="155"/>
  <c r="M37" i="155"/>
  <c r="P38" i="160"/>
  <c r="O7" i="156"/>
  <c r="K41" i="156"/>
  <c r="N7" i="156"/>
  <c r="M7" i="156"/>
  <c r="P15" i="157"/>
  <c r="M17" i="162"/>
  <c r="O17" i="162"/>
  <c r="N17" i="162"/>
  <c r="P37" i="156"/>
  <c r="P39" i="162"/>
  <c r="P23" i="156"/>
  <c r="P36" i="157"/>
  <c r="P14" i="160"/>
  <c r="P25" i="162"/>
  <c r="N13" i="160"/>
  <c r="O13" i="160"/>
  <c r="M13" i="160"/>
  <c r="P13" i="156"/>
  <c r="P31" i="159"/>
  <c r="P30" i="161"/>
  <c r="P8" i="156"/>
  <c r="N28" i="159"/>
  <c r="M28" i="159"/>
  <c r="O28" i="159"/>
  <c r="N22" i="161"/>
  <c r="O22" i="161"/>
  <c r="M22" i="161"/>
  <c r="N23" i="157"/>
  <c r="M23" i="157"/>
  <c r="O23" i="157"/>
  <c r="O14" i="162"/>
  <c r="N14" i="162"/>
  <c r="M14" i="162"/>
  <c r="N15" i="155"/>
  <c r="O15" i="155"/>
  <c r="M15" i="155"/>
  <c r="P7" i="161"/>
  <c r="O27" i="159"/>
  <c r="N27" i="159"/>
  <c r="M27" i="159"/>
  <c r="P8" i="160"/>
  <c r="M39" i="156"/>
  <c r="N39" i="156"/>
  <c r="O39" i="156"/>
  <c r="M29" i="161"/>
  <c r="N29" i="161"/>
  <c r="O29" i="161"/>
  <c r="P36" i="162"/>
  <c r="M36" i="160"/>
  <c r="O36" i="160"/>
  <c r="N36" i="160"/>
  <c r="P18" i="159"/>
  <c r="M12" i="162"/>
  <c r="N12" i="162"/>
  <c r="O12" i="162"/>
  <c r="P32" i="156"/>
  <c r="P20" i="160"/>
  <c r="N18" i="159"/>
  <c r="O18" i="159"/>
  <c r="M18" i="159"/>
  <c r="P27" i="162"/>
  <c r="P36" i="155"/>
  <c r="P30" i="156"/>
  <c r="O39" i="157"/>
  <c r="M39" i="157"/>
  <c r="N39" i="157"/>
  <c r="M31" i="155"/>
  <c r="O31" i="155"/>
  <c r="N31" i="155"/>
  <c r="P14" i="156"/>
  <c r="P38" i="159"/>
  <c r="O13" i="161"/>
  <c r="M13" i="161"/>
  <c r="N13" i="161"/>
  <c r="O28" i="156"/>
  <c r="M28" i="156"/>
  <c r="N28" i="156"/>
  <c r="P21" i="160"/>
  <c r="N23" i="155"/>
  <c r="M23" i="155"/>
  <c r="O23" i="155"/>
  <c r="AC41" i="156"/>
  <c r="P20" i="156"/>
  <c r="P15" i="160"/>
  <c r="N25" i="155"/>
  <c r="M25" i="155"/>
  <c r="O25" i="155"/>
  <c r="K26" i="163"/>
  <c r="P28" i="157"/>
  <c r="P20" i="157"/>
  <c r="P9" i="160"/>
  <c r="N7" i="155"/>
  <c r="K41" i="155"/>
  <c r="M7" i="155"/>
  <c r="O7" i="155"/>
  <c r="P35" i="161"/>
  <c r="M24" i="162"/>
  <c r="O24" i="162"/>
  <c r="N24" i="162"/>
  <c r="P18" i="160"/>
  <c r="P35" i="159"/>
  <c r="P9" i="156"/>
  <c r="P15" i="159"/>
  <c r="N8" i="161"/>
  <c r="O8" i="161"/>
  <c r="M8" i="161"/>
  <c r="N18" i="163"/>
  <c r="M18" i="163"/>
  <c r="O18" i="163"/>
  <c r="P28" i="161"/>
  <c r="P34" i="160"/>
  <c r="P23" i="160"/>
  <c r="P36" i="159"/>
  <c r="AB41" i="157"/>
  <c r="K34" i="163"/>
  <c r="P17" i="162"/>
  <c r="O39" i="162"/>
  <c r="N39" i="162"/>
  <c r="M39" i="162"/>
  <c r="N13" i="157"/>
  <c r="M13" i="157"/>
  <c r="O13" i="157"/>
  <c r="N31" i="156"/>
  <c r="O31" i="156"/>
  <c r="M31" i="156"/>
  <c r="P29" i="161"/>
  <c r="P31" i="160"/>
  <c r="P13" i="160"/>
  <c r="O20" i="162"/>
  <c r="N20" i="162"/>
  <c r="M20" i="162"/>
  <c r="N30" i="163"/>
  <c r="M30" i="163"/>
  <c r="O30" i="163"/>
  <c r="M31" i="159"/>
  <c r="N31" i="159"/>
  <c r="O31" i="159"/>
  <c r="N20" i="161"/>
  <c r="O20" i="161"/>
  <c r="M20" i="161"/>
  <c r="P10" i="159"/>
  <c r="P31" i="162"/>
  <c r="P15" i="155"/>
  <c r="N24" i="157"/>
  <c r="M24" i="157"/>
  <c r="O24" i="157"/>
  <c r="M14" i="157"/>
  <c r="N14" i="157"/>
  <c r="O14" i="157"/>
  <c r="P24" i="159"/>
  <c r="N29" i="156"/>
  <c r="M29" i="156"/>
  <c r="O29" i="156"/>
  <c r="N12" i="159"/>
  <c r="M12" i="159"/>
  <c r="O12" i="159"/>
  <c r="P8" i="161"/>
  <c r="N16" i="162"/>
  <c r="O16" i="162"/>
  <c r="M16" i="162"/>
  <c r="M23" i="162"/>
  <c r="N23" i="162"/>
  <c r="O23" i="162"/>
  <c r="P37" i="159"/>
  <c r="P15" i="156"/>
  <c r="N32" i="156"/>
  <c r="O32" i="156"/>
  <c r="M32" i="156"/>
  <c r="M27" i="162"/>
  <c r="N27" i="162"/>
  <c r="O27" i="162"/>
  <c r="N36" i="155"/>
  <c r="M36" i="155"/>
  <c r="O36" i="155"/>
  <c r="O30" i="156"/>
  <c r="M30" i="156"/>
  <c r="N30" i="156"/>
  <c r="M7" i="160"/>
  <c r="N7" i="160"/>
  <c r="O7" i="160"/>
  <c r="K41" i="160"/>
  <c r="P30" i="162"/>
  <c r="M21" i="160"/>
  <c r="O21" i="160"/>
  <c r="N21" i="160"/>
  <c r="P23" i="155"/>
  <c r="O15" i="160"/>
  <c r="M15" i="160"/>
  <c r="N15" i="160"/>
  <c r="P12" i="155"/>
  <c r="AC41" i="159"/>
  <c r="AB41" i="161"/>
  <c r="N29" i="155"/>
  <c r="O29" i="155"/>
  <c r="M29" i="155"/>
  <c r="O9" i="159"/>
  <c r="M9" i="159"/>
  <c r="N9" i="159"/>
  <c r="N17" i="163"/>
  <c r="O17" i="163"/>
  <c r="M17" i="163"/>
  <c r="N22" i="162"/>
  <c r="M22" i="162"/>
  <c r="O22" i="162"/>
  <c r="N18" i="162"/>
  <c r="M18" i="162"/>
  <c r="O18" i="162"/>
  <c r="K32" i="163"/>
  <c r="P22" i="156"/>
  <c r="M15" i="159"/>
  <c r="O15" i="159"/>
  <c r="N15" i="159"/>
  <c r="M23" i="161"/>
  <c r="N23" i="161"/>
  <c r="O23" i="161"/>
  <c r="O33" i="163"/>
  <c r="N33" i="163"/>
  <c r="M33" i="163"/>
  <c r="O23" i="159"/>
  <c r="M23" i="159"/>
  <c r="N23" i="159"/>
  <c r="P16" i="160"/>
  <c r="P15" i="161"/>
  <c r="O25" i="161"/>
  <c r="M25" i="161"/>
  <c r="N25" i="161"/>
  <c r="P28" i="162"/>
  <c r="N29" i="162"/>
  <c r="M29" i="162"/>
  <c r="O29" i="162"/>
  <c r="P37" i="155"/>
  <c r="P7" i="156"/>
  <c r="M37" i="156"/>
  <c r="O37" i="156"/>
  <c r="N37" i="156"/>
  <c r="P33" i="160"/>
  <c r="P21" i="162"/>
  <c r="AC41" i="160"/>
  <c r="N36" i="162"/>
  <c r="O36" i="162"/>
  <c r="M36" i="162"/>
  <c r="P30" i="159"/>
  <c r="M12" i="160"/>
  <c r="O12" i="160"/>
  <c r="N12" i="160"/>
  <c r="P8" i="155"/>
  <c r="P38" i="161"/>
  <c r="O31" i="162"/>
  <c r="N31" i="162"/>
  <c r="M31" i="162"/>
  <c r="O30" i="157"/>
  <c r="N30" i="157"/>
  <c r="M30" i="157"/>
  <c r="O39" i="159"/>
  <c r="M39" i="159"/>
  <c r="N39" i="159"/>
  <c r="N37" i="160"/>
  <c r="M37" i="160"/>
  <c r="O37" i="160"/>
  <c r="M11" i="159"/>
  <c r="N11" i="159"/>
  <c r="O11" i="159"/>
  <c r="P33" i="159"/>
  <c r="P9" i="159"/>
  <c r="M35" i="160"/>
  <c r="N35" i="160"/>
  <c r="O35" i="160"/>
  <c r="P12" i="162"/>
  <c r="P28" i="160"/>
  <c r="P17" i="156"/>
  <c r="P31" i="155"/>
  <c r="N27" i="156"/>
  <c r="O27" i="156"/>
  <c r="M27" i="156"/>
  <c r="N7" i="161"/>
  <c r="O7" i="161"/>
  <c r="K41" i="161"/>
  <c r="M7" i="161"/>
  <c r="O27" i="160"/>
  <c r="M27" i="160"/>
  <c r="N27" i="160"/>
  <c r="P37" i="160"/>
  <c r="O24" i="159"/>
  <c r="N24" i="159"/>
  <c r="M24" i="159"/>
  <c r="P7" i="159"/>
  <c r="O29" i="159"/>
  <c r="N29" i="159"/>
  <c r="M29" i="159"/>
  <c r="P20" i="155"/>
  <c r="N8" i="159"/>
  <c r="M8" i="159"/>
  <c r="O8" i="159"/>
  <c r="AB41" i="159"/>
  <c r="P10" i="162"/>
  <c r="O35" i="157"/>
  <c r="N35" i="157"/>
  <c r="M35" i="157"/>
  <c r="M9" i="160"/>
  <c r="N9" i="160"/>
  <c r="O9" i="160"/>
  <c r="AC41" i="161"/>
  <c r="O35" i="161"/>
  <c r="N35" i="161"/>
  <c r="M35" i="161"/>
  <c r="N10" i="160"/>
  <c r="M10" i="160"/>
  <c r="O10" i="160"/>
  <c r="P37" i="161"/>
  <c r="P22" i="162"/>
  <c r="P29" i="156"/>
  <c r="N22" i="156"/>
  <c r="O22" i="156"/>
  <c r="M22" i="156"/>
  <c r="P39" i="161"/>
  <c r="P35" i="160"/>
  <c r="P23" i="159"/>
  <c r="M16" i="160"/>
  <c r="N16" i="160"/>
  <c r="O16" i="160"/>
  <c r="M15" i="161"/>
  <c r="O15" i="161"/>
  <c r="N15" i="161"/>
  <c r="P16" i="162"/>
  <c r="AC41" i="155"/>
  <c r="O23" i="160"/>
  <c r="M23" i="160"/>
  <c r="N23" i="160"/>
  <c r="M36" i="159"/>
  <c r="O36" i="159"/>
  <c r="N36" i="159"/>
  <c r="AC41" i="157"/>
  <c r="M38" i="160"/>
  <c r="N38" i="160"/>
  <c r="O38" i="160"/>
  <c r="N34" i="162"/>
  <c r="M34" i="162"/>
  <c r="O34" i="162"/>
  <c r="M33" i="160"/>
  <c r="N33" i="160"/>
  <c r="O33" i="160"/>
  <c r="N21" i="162"/>
  <c r="M21" i="162"/>
  <c r="O21" i="162"/>
  <c r="P13" i="157"/>
  <c r="P31" i="156"/>
  <c r="N30" i="159"/>
  <c r="O30" i="159"/>
  <c r="M30" i="159"/>
  <c r="O37" i="157"/>
  <c r="M37" i="157"/>
  <c r="N37" i="157"/>
  <c r="M13" i="156"/>
  <c r="N13" i="156"/>
  <c r="O13" i="156"/>
  <c r="P20" i="162"/>
  <c r="O13" i="159"/>
  <c r="N13" i="159"/>
  <c r="M13" i="159"/>
  <c r="N11" i="160"/>
  <c r="M11" i="160"/>
  <c r="O11" i="160"/>
  <c r="M10" i="159"/>
  <c r="N10" i="159"/>
  <c r="O10" i="159"/>
  <c r="P12" i="160"/>
  <c r="P24" i="157"/>
  <c r="L34" i="159" l="1"/>
  <c r="L11" i="160"/>
  <c r="L14" i="159"/>
  <c r="L15" i="161"/>
  <c r="L16" i="156"/>
  <c r="L20" i="162"/>
  <c r="L29" i="156"/>
  <c r="L13" i="155"/>
  <c r="L36" i="157"/>
  <c r="L21" i="159"/>
  <c r="L16" i="157"/>
  <c r="L33" i="159"/>
  <c r="L23" i="160"/>
  <c r="L28" i="157"/>
  <c r="L39" i="162"/>
  <c r="L34" i="160"/>
  <c r="L35" i="162"/>
  <c r="L31" i="155"/>
  <c r="L36" i="156"/>
  <c r="L14" i="162"/>
  <c r="L13" i="162"/>
  <c r="L7" i="160"/>
  <c r="L28" i="162"/>
  <c r="L28" i="161"/>
  <c r="L39" i="155"/>
  <c r="L15" i="162"/>
  <c r="L10" i="157"/>
  <c r="L39" i="161"/>
  <c r="L22" i="161"/>
  <c r="L23" i="162"/>
  <c r="L38" i="160"/>
  <c r="L7" i="161"/>
  <c r="L9" i="159"/>
  <c r="L23" i="156"/>
  <c r="L26" i="162"/>
  <c r="L29" i="157"/>
  <c r="L35" i="156"/>
  <c r="L10" i="159"/>
  <c r="L24" i="159"/>
  <c r="L7" i="162"/>
  <c r="L17" i="159"/>
  <c r="L25" i="161"/>
  <c r="L27" i="162"/>
  <c r="L15" i="155"/>
  <c r="L23" i="157"/>
  <c r="L18" i="160"/>
  <c r="L38" i="156"/>
  <c r="L26" i="160"/>
  <c r="L20" i="155"/>
  <c r="L30" i="159"/>
  <c r="L35" i="161"/>
  <c r="L36" i="162"/>
  <c r="L37" i="161"/>
  <c r="L25" i="159"/>
  <c r="L28" i="160"/>
  <c r="L8" i="160"/>
  <c r="L24" i="157"/>
  <c r="L8" i="161"/>
  <c r="L31" i="159"/>
  <c r="L24" i="162"/>
  <c r="L13" i="161"/>
  <c r="L36" i="160"/>
  <c r="L22" i="160"/>
  <c r="L38" i="162"/>
  <c r="P41" i="157"/>
  <c r="L37" i="162"/>
  <c r="L14" i="156"/>
  <c r="L22" i="159"/>
  <c r="L36" i="159"/>
  <c r="L25" i="155"/>
  <c r="L20" i="159"/>
  <c r="L7" i="159"/>
  <c r="L33" i="160"/>
  <c r="P41" i="159"/>
  <c r="P41" i="160"/>
  <c r="P44" i="160" s="1"/>
  <c r="L10" i="160"/>
  <c r="L9" i="160"/>
  <c r="L37" i="160"/>
  <c r="L22" i="162"/>
  <c r="L21" i="162"/>
  <c r="L31" i="162"/>
  <c r="L29" i="155"/>
  <c r="L14" i="157"/>
  <c r="L28" i="156"/>
  <c r="L30" i="160"/>
  <c r="L20" i="156"/>
  <c r="L22" i="155"/>
  <c r="L14" i="155"/>
  <c r="L17" i="160"/>
  <c r="L10" i="162"/>
  <c r="L38" i="161"/>
  <c r="L30" i="163"/>
  <c r="L16" i="160"/>
  <c r="L22" i="156"/>
  <c r="L12" i="160"/>
  <c r="L23" i="161"/>
  <c r="L20" i="161"/>
  <c r="L13" i="157"/>
  <c r="L39" i="156"/>
  <c r="P41" i="161"/>
  <c r="L9" i="156"/>
  <c r="L20" i="160"/>
  <c r="L15" i="157"/>
  <c r="L31" i="160"/>
  <c r="L25" i="162"/>
  <c r="L32" i="160"/>
  <c r="L24" i="160"/>
  <c r="L8" i="155"/>
  <c r="L17" i="156"/>
  <c r="L34" i="162"/>
  <c r="L27" i="156"/>
  <c r="L39" i="159"/>
  <c r="L23" i="159"/>
  <c r="L18" i="162"/>
  <c r="L23" i="155"/>
  <c r="L28" i="159"/>
  <c r="L38" i="155"/>
  <c r="L33" i="162"/>
  <c r="L17" i="155"/>
  <c r="L39" i="163"/>
  <c r="L39" i="160"/>
  <c r="L25" i="160"/>
  <c r="L16" i="155"/>
  <c r="L8" i="156"/>
  <c r="L9" i="162"/>
  <c r="L30" i="162"/>
  <c r="L29" i="160"/>
  <c r="L8" i="159"/>
  <c r="L27" i="160"/>
  <c r="L33" i="163"/>
  <c r="L15" i="159"/>
  <c r="L39" i="157"/>
  <c r="L12" i="162"/>
  <c r="L17" i="162"/>
  <c r="P41" i="155"/>
  <c r="L14" i="160"/>
  <c r="L20" i="157"/>
  <c r="L38" i="159"/>
  <c r="L28" i="155"/>
  <c r="L38" i="157"/>
  <c r="L35" i="157"/>
  <c r="L30" i="157"/>
  <c r="L21" i="160"/>
  <c r="L30" i="156"/>
  <c r="L32" i="156"/>
  <c r="L12" i="159"/>
  <c r="L31" i="156"/>
  <c r="L18" i="163"/>
  <c r="L18" i="159"/>
  <c r="L13" i="160"/>
  <c r="L14" i="161"/>
  <c r="L37" i="159"/>
  <c r="L36" i="161"/>
  <c r="L32" i="159"/>
  <c r="L11" i="159"/>
  <c r="P41" i="162"/>
  <c r="L29" i="163"/>
  <c r="L35" i="155"/>
  <c r="L32" i="162"/>
  <c r="L13" i="156"/>
  <c r="L35" i="160"/>
  <c r="L37" i="156"/>
  <c r="L29" i="162"/>
  <c r="L15" i="160"/>
  <c r="L7" i="155"/>
  <c r="L27" i="159"/>
  <c r="L37" i="155"/>
  <c r="L12" i="155"/>
  <c r="L13" i="159"/>
  <c r="L37" i="157"/>
  <c r="L29" i="159"/>
  <c r="P41" i="156"/>
  <c r="L17" i="163"/>
  <c r="L36" i="155"/>
  <c r="L16" i="162"/>
  <c r="L29" i="161"/>
  <c r="L7" i="156"/>
  <c r="L22" i="153"/>
  <c r="L30" i="161"/>
  <c r="L11" i="162"/>
  <c r="L15" i="156"/>
  <c r="L8" i="162"/>
  <c r="N41" i="156"/>
  <c r="O41" i="162"/>
  <c r="O14" i="163"/>
  <c r="M14" i="163"/>
  <c r="N14" i="163"/>
  <c r="N13" i="163"/>
  <c r="O13" i="163"/>
  <c r="M13" i="163"/>
  <c r="O41" i="155"/>
  <c r="O41" i="159"/>
  <c r="N41" i="162"/>
  <c r="M41" i="161"/>
  <c r="N32" i="163"/>
  <c r="O32" i="163"/>
  <c r="M32" i="163"/>
  <c r="O41" i="160"/>
  <c r="M41" i="155"/>
  <c r="O41" i="156"/>
  <c r="M41" i="162"/>
  <c r="N41" i="160"/>
  <c r="O26" i="163"/>
  <c r="N26" i="163"/>
  <c r="M26" i="163"/>
  <c r="M41" i="159"/>
  <c r="O36" i="163"/>
  <c r="M36" i="163"/>
  <c r="N36" i="163"/>
  <c r="O41" i="161"/>
  <c r="M41" i="160"/>
  <c r="N41" i="155"/>
  <c r="N41" i="159"/>
  <c r="N41" i="161"/>
  <c r="N23" i="163"/>
  <c r="M23" i="163"/>
  <c r="O23" i="163"/>
  <c r="N41" i="157"/>
  <c r="M41" i="157"/>
  <c r="N34" i="163"/>
  <c r="M34" i="163"/>
  <c r="O34" i="163"/>
  <c r="M41" i="156"/>
  <c r="O41" i="157"/>
  <c r="N28" i="163"/>
  <c r="M28" i="163"/>
  <c r="O28" i="163"/>
  <c r="AB8" i="154"/>
  <c r="AC8" i="154"/>
  <c r="K8" i="154"/>
  <c r="L41" i="155" l="1"/>
  <c r="L41" i="162"/>
  <c r="L41" i="159"/>
  <c r="L26" i="163"/>
  <c r="L41" i="160"/>
  <c r="L41" i="161"/>
  <c r="L41" i="157"/>
  <c r="L32" i="163"/>
  <c r="L34" i="163"/>
  <c r="L13" i="163"/>
  <c r="L28" i="163"/>
  <c r="L41" i="156"/>
  <c r="L23" i="163"/>
  <c r="L14" i="163"/>
  <c r="L36" i="163"/>
  <c r="P8" i="154"/>
  <c r="O8" i="154"/>
  <c r="M8" i="154"/>
  <c r="N8" i="154"/>
  <c r="AB26" i="154"/>
  <c r="K26" i="154"/>
  <c r="AC26" i="154"/>
  <c r="AC10" i="154"/>
  <c r="K10" i="154"/>
  <c r="AB10" i="154"/>
  <c r="AC30" i="154"/>
  <c r="K30" i="154"/>
  <c r="AB30" i="154"/>
  <c r="K18" i="154"/>
  <c r="AC18" i="154"/>
  <c r="AB18" i="154"/>
  <c r="K35" i="154"/>
  <c r="AC35" i="154"/>
  <c r="AB35" i="154"/>
  <c r="AC25" i="154"/>
  <c r="AB25" i="154"/>
  <c r="K25" i="154"/>
  <c r="AB12" i="154"/>
  <c r="AC12" i="154"/>
  <c r="K12" i="154"/>
  <c r="AC21" i="154"/>
  <c r="K21" i="154"/>
  <c r="AB21" i="154"/>
  <c r="L8" i="154" l="1"/>
  <c r="N18" i="154"/>
  <c r="O18" i="154"/>
  <c r="M18" i="154"/>
  <c r="O12" i="154"/>
  <c r="N12" i="154"/>
  <c r="M12" i="154"/>
  <c r="N25" i="154"/>
  <c r="O25" i="154"/>
  <c r="M25" i="154"/>
  <c r="M35" i="154"/>
  <c r="N35" i="154"/>
  <c r="O35" i="154"/>
  <c r="P18" i="154"/>
  <c r="P26" i="154"/>
  <c r="P12" i="154"/>
  <c r="P25" i="154"/>
  <c r="N30" i="154"/>
  <c r="O30" i="154"/>
  <c r="M30" i="154"/>
  <c r="O10" i="154"/>
  <c r="N10" i="154"/>
  <c r="M10" i="154"/>
  <c r="P10" i="154"/>
  <c r="P21" i="154"/>
  <c r="P30" i="154"/>
  <c r="M21" i="154"/>
  <c r="N21" i="154"/>
  <c r="O21" i="154"/>
  <c r="P35" i="154"/>
  <c r="N26" i="154"/>
  <c r="M26" i="154"/>
  <c r="O26" i="154"/>
  <c r="AB39" i="154"/>
  <c r="AC39" i="154"/>
  <c r="K39" i="154"/>
  <c r="K13" i="154"/>
  <c r="AC13" i="154"/>
  <c r="AB13" i="154"/>
  <c r="AC31" i="154"/>
  <c r="K31" i="154"/>
  <c r="AB31" i="154"/>
  <c r="K32" i="154"/>
  <c r="AB32" i="154"/>
  <c r="AC32" i="154"/>
  <c r="K33" i="154"/>
  <c r="AB33" i="154"/>
  <c r="AC33" i="154"/>
  <c r="K14" i="154"/>
  <c r="AC14" i="154"/>
  <c r="AB14" i="154"/>
  <c r="K38" i="154"/>
  <c r="AB38" i="154"/>
  <c r="AC38" i="154"/>
  <c r="AB29" i="154"/>
  <c r="K29" i="154"/>
  <c r="AC29" i="154"/>
  <c r="K34" i="154"/>
  <c r="AB34" i="154"/>
  <c r="AC34" i="154"/>
  <c r="AB23" i="154"/>
  <c r="AC23" i="154"/>
  <c r="K23" i="154"/>
  <c r="AB11" i="154"/>
  <c r="AC11" i="154"/>
  <c r="K11" i="154"/>
  <c r="K15" i="154"/>
  <c r="AC15" i="154"/>
  <c r="AB15" i="154"/>
  <c r="K17" i="154"/>
  <c r="AB17" i="154"/>
  <c r="AC17" i="154"/>
  <c r="AC20" i="154"/>
  <c r="K20" i="154"/>
  <c r="AB20" i="154"/>
  <c r="AB28" i="154"/>
  <c r="AC28" i="154"/>
  <c r="K28" i="154"/>
  <c r="AB36" i="154"/>
  <c r="AC36" i="154"/>
  <c r="K36" i="154"/>
  <c r="AC37" i="154"/>
  <c r="K37" i="154"/>
  <c r="AB37" i="154"/>
  <c r="AB24" i="154"/>
  <c r="K24" i="154"/>
  <c r="AC24" i="154"/>
  <c r="AC22" i="154"/>
  <c r="AB22" i="154"/>
  <c r="K22" i="154"/>
  <c r="AB27" i="154"/>
  <c r="AC27" i="154"/>
  <c r="K27" i="154"/>
  <c r="AC16" i="154"/>
  <c r="AB16" i="154"/>
  <c r="K16" i="154"/>
  <c r="AB9" i="154"/>
  <c r="AC9" i="154"/>
  <c r="K9" i="154"/>
  <c r="AB7" i="154"/>
  <c r="K7" i="154"/>
  <c r="AC7" i="154"/>
  <c r="L18" i="154" l="1"/>
  <c r="L35" i="154"/>
  <c r="L10" i="154"/>
  <c r="L12" i="154"/>
  <c r="L30" i="154"/>
  <c r="L25" i="154"/>
  <c r="L21" i="154"/>
  <c r="L26" i="154"/>
  <c r="P7" i="154"/>
  <c r="P8" i="164" s="1"/>
  <c r="M24" i="154"/>
  <c r="O24" i="154"/>
  <c r="N24" i="154"/>
  <c r="P36" i="154"/>
  <c r="N28" i="154"/>
  <c r="M28" i="154"/>
  <c r="O28" i="154"/>
  <c r="P23" i="154"/>
  <c r="P29" i="154"/>
  <c r="M15" i="154"/>
  <c r="O15" i="154"/>
  <c r="N15" i="154"/>
  <c r="O29" i="154"/>
  <c r="M29" i="154"/>
  <c r="N29" i="154"/>
  <c r="P32" i="154"/>
  <c r="P28" i="154"/>
  <c r="N11" i="154"/>
  <c r="M11" i="154"/>
  <c r="O11" i="154"/>
  <c r="M14" i="154"/>
  <c r="N14" i="154"/>
  <c r="O14" i="154"/>
  <c r="M13" i="154"/>
  <c r="O13" i="154"/>
  <c r="N13" i="154"/>
  <c r="O16" i="154"/>
  <c r="N16" i="154"/>
  <c r="M16" i="154"/>
  <c r="M17" i="154"/>
  <c r="O17" i="154"/>
  <c r="N17" i="154"/>
  <c r="P11" i="154"/>
  <c r="P14" i="154"/>
  <c r="N32" i="154"/>
  <c r="O32" i="154"/>
  <c r="M32" i="154"/>
  <c r="P13" i="154"/>
  <c r="N37" i="154"/>
  <c r="O37" i="154"/>
  <c r="M37" i="154"/>
  <c r="P9" i="154"/>
  <c r="P37" i="154"/>
  <c r="P17" i="154"/>
  <c r="P38" i="154"/>
  <c r="P31" i="154"/>
  <c r="P39" i="154"/>
  <c r="M22" i="154"/>
  <c r="O22" i="154"/>
  <c r="N22" i="154"/>
  <c r="M39" i="154"/>
  <c r="O39" i="154"/>
  <c r="N39" i="154"/>
  <c r="M7" i="154"/>
  <c r="O7" i="154"/>
  <c r="N7" i="154"/>
  <c r="K41" i="154"/>
  <c r="M34" i="154"/>
  <c r="N34" i="154"/>
  <c r="O34" i="154"/>
  <c r="O27" i="154"/>
  <c r="N27" i="154"/>
  <c r="M27" i="154"/>
  <c r="P24" i="154"/>
  <c r="N20" i="154"/>
  <c r="O20" i="154"/>
  <c r="M20" i="154"/>
  <c r="P34" i="154"/>
  <c r="M38" i="154"/>
  <c r="N38" i="154"/>
  <c r="O38" i="154"/>
  <c r="P33" i="154"/>
  <c r="O31" i="154"/>
  <c r="M31" i="154"/>
  <c r="N31" i="154"/>
  <c r="M9" i="154"/>
  <c r="N9" i="154"/>
  <c r="O9" i="154"/>
  <c r="P16" i="154"/>
  <c r="P22" i="154"/>
  <c r="P27" i="154"/>
  <c r="O36" i="154"/>
  <c r="N36" i="154"/>
  <c r="M36" i="154"/>
  <c r="P20" i="154"/>
  <c r="P15" i="154"/>
  <c r="M23" i="154"/>
  <c r="N23" i="154"/>
  <c r="O23" i="154"/>
  <c r="M33" i="154"/>
  <c r="O33" i="154"/>
  <c r="N33" i="154"/>
  <c r="P6" i="154"/>
  <c r="AB6" i="154"/>
  <c r="AB41" i="154" s="1"/>
  <c r="AC6" i="154"/>
  <c r="AC41" i="154" s="1"/>
  <c r="L33" i="154" l="1"/>
  <c r="L29" i="154"/>
  <c r="L37" i="154"/>
  <c r="L36" i="154"/>
  <c r="L24" i="154"/>
  <c r="L22" i="154"/>
  <c r="L7" i="154"/>
  <c r="L9" i="154"/>
  <c r="L15" i="154"/>
  <c r="L23" i="154"/>
  <c r="L20" i="154"/>
  <c r="L31" i="154"/>
  <c r="L34" i="154"/>
  <c r="L39" i="154"/>
  <c r="L38" i="154"/>
  <c r="L14" i="154"/>
  <c r="L27" i="154"/>
  <c r="L16" i="154"/>
  <c r="L11" i="154"/>
  <c r="L13" i="154"/>
  <c r="H7" i="165"/>
  <c r="L28" i="154"/>
  <c r="L17" i="154"/>
  <c r="L32" i="154"/>
  <c r="P41" i="154"/>
  <c r="N41" i="154"/>
  <c r="O41" i="154"/>
  <c r="M41" i="154"/>
  <c r="L41" i="154" l="1"/>
  <c r="K21" i="153"/>
  <c r="AB21" i="153"/>
  <c r="AC21" i="153"/>
  <c r="AB11" i="153"/>
  <c r="AC11" i="153"/>
  <c r="K11" i="153"/>
  <c r="M11" i="153" l="1"/>
  <c r="O11" i="153"/>
  <c r="N11" i="153"/>
  <c r="P21" i="153"/>
  <c r="P11" i="153"/>
  <c r="N21" i="153"/>
  <c r="M21" i="153"/>
  <c r="O21" i="153"/>
  <c r="K25" i="153"/>
  <c r="AB25" i="153"/>
  <c r="AC25" i="153"/>
  <c r="K8" i="153"/>
  <c r="AB8" i="153"/>
  <c r="AC8" i="153"/>
  <c r="AC26" i="153"/>
  <c r="K26" i="153"/>
  <c r="AB26" i="153"/>
  <c r="L11" i="153" l="1"/>
  <c r="L21" i="153"/>
  <c r="P26" i="153"/>
  <c r="P25" i="153"/>
  <c r="M26" i="153"/>
  <c r="O26" i="153"/>
  <c r="N26" i="153"/>
  <c r="O25" i="153"/>
  <c r="N25" i="153"/>
  <c r="M25" i="153"/>
  <c r="P8" i="153"/>
  <c r="O8" i="153"/>
  <c r="N8" i="153"/>
  <c r="M8" i="153"/>
  <c r="K34" i="153"/>
  <c r="AB34" i="153"/>
  <c r="AC34" i="153"/>
  <c r="K32" i="153"/>
  <c r="AC32" i="153"/>
  <c r="AB32" i="153"/>
  <c r="AC17" i="153"/>
  <c r="K17" i="153"/>
  <c r="AB17" i="153"/>
  <c r="AB18" i="153"/>
  <c r="K18" i="153"/>
  <c r="AC18" i="153"/>
  <c r="K34" i="150"/>
  <c r="AB34" i="150"/>
  <c r="AC34" i="150"/>
  <c r="K30" i="150"/>
  <c r="AB30" i="150"/>
  <c r="AC30" i="150"/>
  <c r="AC35" i="164" l="1"/>
  <c r="L25" i="153"/>
  <c r="L8" i="153"/>
  <c r="L26" i="153"/>
  <c r="P34" i="150"/>
  <c r="M32" i="153"/>
  <c r="N32" i="153"/>
  <c r="O32" i="153"/>
  <c r="M18" i="153"/>
  <c r="O18" i="153"/>
  <c r="N18" i="153"/>
  <c r="P17" i="153"/>
  <c r="O30" i="150"/>
  <c r="N30" i="150"/>
  <c r="M30" i="150"/>
  <c r="P30" i="150"/>
  <c r="P18" i="153"/>
  <c r="P34" i="153"/>
  <c r="M34" i="153"/>
  <c r="N34" i="153"/>
  <c r="O34" i="153"/>
  <c r="N17" i="153"/>
  <c r="O17" i="153"/>
  <c r="M17" i="153"/>
  <c r="AB35" i="164"/>
  <c r="M34" i="150"/>
  <c r="M35" i="164" s="1"/>
  <c r="N34" i="150"/>
  <c r="K35" i="164"/>
  <c r="O34" i="150"/>
  <c r="P32" i="153"/>
  <c r="AB30" i="153"/>
  <c r="AB31" i="164" s="1"/>
  <c r="K30" i="153"/>
  <c r="AC30" i="153"/>
  <c r="AC31" i="164" s="1"/>
  <c r="AB14" i="153"/>
  <c r="K14" i="153"/>
  <c r="AC14" i="153"/>
  <c r="AB16" i="153"/>
  <c r="K16" i="153"/>
  <c r="AC16" i="153"/>
  <c r="K20" i="153"/>
  <c r="AC20" i="153"/>
  <c r="AB20" i="153"/>
  <c r="AB39" i="153"/>
  <c r="AC39" i="153"/>
  <c r="K39" i="153"/>
  <c r="AC36" i="153"/>
  <c r="K36" i="153"/>
  <c r="AB36" i="153"/>
  <c r="AB31" i="153"/>
  <c r="K31" i="153"/>
  <c r="AC31" i="153"/>
  <c r="K27" i="153"/>
  <c r="AB27" i="153"/>
  <c r="AC27" i="153"/>
  <c r="P6" i="153"/>
  <c r="AB6" i="153"/>
  <c r="AC6" i="153"/>
  <c r="K28" i="153"/>
  <c r="AB28" i="153"/>
  <c r="AC28" i="153"/>
  <c r="K23" i="153"/>
  <c r="AC23" i="153"/>
  <c r="AB23" i="153"/>
  <c r="AC38" i="153"/>
  <c r="AB38" i="153"/>
  <c r="K38" i="153"/>
  <c r="K29" i="153"/>
  <c r="AC29" i="153"/>
  <c r="AB29" i="153"/>
  <c r="AB24" i="153"/>
  <c r="K24" i="153"/>
  <c r="AC24" i="153"/>
  <c r="K35" i="153"/>
  <c r="AC35" i="153"/>
  <c r="AB35" i="153"/>
  <c r="AC13" i="153"/>
  <c r="AB13" i="153"/>
  <c r="K13" i="153"/>
  <c r="K15" i="153"/>
  <c r="AC15" i="153"/>
  <c r="AB15" i="153"/>
  <c r="AB10" i="153"/>
  <c r="K10" i="153"/>
  <c r="AC10" i="153"/>
  <c r="AC9" i="153"/>
  <c r="K9" i="153"/>
  <c r="AB9" i="153"/>
  <c r="AB12" i="153"/>
  <c r="K12" i="153"/>
  <c r="AC12" i="153"/>
  <c r="AB37" i="153"/>
  <c r="AC37" i="153"/>
  <c r="K37" i="153"/>
  <c r="K33" i="153"/>
  <c r="AB33" i="153"/>
  <c r="AC33" i="153"/>
  <c r="L17" i="153" l="1"/>
  <c r="P35" i="164"/>
  <c r="H34" i="165" s="1"/>
  <c r="L32" i="153"/>
  <c r="L30" i="150"/>
  <c r="F30" i="150" s="1"/>
  <c r="N35" i="164"/>
  <c r="F34" i="165" s="1"/>
  <c r="L34" i="153"/>
  <c r="E34" i="165"/>
  <c r="L18" i="153"/>
  <c r="P9" i="153"/>
  <c r="M31" i="153"/>
  <c r="O31" i="153"/>
  <c r="N31" i="153"/>
  <c r="P16" i="153"/>
  <c r="M14" i="153"/>
  <c r="O14" i="153"/>
  <c r="N14" i="153"/>
  <c r="O13" i="153"/>
  <c r="M13" i="153"/>
  <c r="N13" i="153"/>
  <c r="M12" i="153"/>
  <c r="N12" i="153"/>
  <c r="O12" i="153"/>
  <c r="O10" i="153"/>
  <c r="M10" i="153"/>
  <c r="N10" i="153"/>
  <c r="P29" i="153"/>
  <c r="P31" i="153"/>
  <c r="N16" i="153"/>
  <c r="M16" i="153"/>
  <c r="O16" i="153"/>
  <c r="L34" i="150"/>
  <c r="N15" i="153"/>
  <c r="O15" i="153"/>
  <c r="M15" i="153"/>
  <c r="P35" i="153"/>
  <c r="M29" i="153"/>
  <c r="O29" i="153"/>
  <c r="N29" i="153"/>
  <c r="O28" i="153"/>
  <c r="M28" i="153"/>
  <c r="N28" i="153"/>
  <c r="O33" i="153"/>
  <c r="M33" i="153"/>
  <c r="N33" i="153"/>
  <c r="P12" i="153"/>
  <c r="P10" i="153"/>
  <c r="P13" i="153"/>
  <c r="P24" i="153"/>
  <c r="P23" i="153"/>
  <c r="AC41" i="153"/>
  <c r="O27" i="153"/>
  <c r="N27" i="153"/>
  <c r="M27" i="153"/>
  <c r="P39" i="153"/>
  <c r="O35" i="164"/>
  <c r="AB41" i="153"/>
  <c r="P36" i="153"/>
  <c r="P20" i="153"/>
  <c r="P30" i="153"/>
  <c r="P31" i="164" s="1"/>
  <c r="N23" i="153"/>
  <c r="M23" i="153"/>
  <c r="O23" i="153"/>
  <c r="K31" i="164"/>
  <c r="O30" i="153"/>
  <c r="O31" i="164" s="1"/>
  <c r="N30" i="153"/>
  <c r="N31" i="164" s="1"/>
  <c r="M30" i="153"/>
  <c r="M31" i="164" s="1"/>
  <c r="P33" i="153"/>
  <c r="P15" i="153"/>
  <c r="N24" i="153"/>
  <c r="M24" i="153"/>
  <c r="O24" i="153"/>
  <c r="P37" i="153"/>
  <c r="M9" i="153"/>
  <c r="N9" i="153"/>
  <c r="O9" i="153"/>
  <c r="K41" i="153"/>
  <c r="P38" i="153"/>
  <c r="P28" i="153"/>
  <c r="M36" i="153"/>
  <c r="O36" i="153"/>
  <c r="N36" i="153"/>
  <c r="O37" i="153"/>
  <c r="M37" i="153"/>
  <c r="N37" i="153"/>
  <c r="N35" i="153"/>
  <c r="O35" i="153"/>
  <c r="M35" i="153"/>
  <c r="M38" i="153"/>
  <c r="O38" i="153"/>
  <c r="N38" i="153"/>
  <c r="N20" i="153"/>
  <c r="M20" i="153"/>
  <c r="O20" i="153"/>
  <c r="P14" i="153"/>
  <c r="P27" i="153"/>
  <c r="M39" i="153"/>
  <c r="O39" i="153"/>
  <c r="N39" i="153"/>
  <c r="AC20" i="150"/>
  <c r="AB20" i="150"/>
  <c r="K20" i="150"/>
  <c r="L36" i="153" l="1"/>
  <c r="L28" i="153"/>
  <c r="L16" i="153"/>
  <c r="L12" i="153"/>
  <c r="L13" i="153"/>
  <c r="L29" i="153"/>
  <c r="L27" i="153"/>
  <c r="L10" i="153"/>
  <c r="L31" i="153"/>
  <c r="H30" i="165"/>
  <c r="L20" i="153"/>
  <c r="E30" i="165"/>
  <c r="L33" i="153"/>
  <c r="F30" i="165"/>
  <c r="L35" i="153"/>
  <c r="L39" i="153"/>
  <c r="L37" i="153"/>
  <c r="L24" i="153"/>
  <c r="G30" i="165"/>
  <c r="G34" i="165"/>
  <c r="L38" i="153"/>
  <c r="L23" i="153"/>
  <c r="L15" i="153"/>
  <c r="P41" i="153"/>
  <c r="N41" i="153"/>
  <c r="L14" i="153"/>
  <c r="L30" i="153"/>
  <c r="L31" i="164" s="1"/>
  <c r="M20" i="150"/>
  <c r="O20" i="150"/>
  <c r="N20" i="150"/>
  <c r="L9" i="153"/>
  <c r="P20" i="150"/>
  <c r="P21" i="164" s="1"/>
  <c r="O41" i="153"/>
  <c r="M41" i="153"/>
  <c r="L35" i="164"/>
  <c r="F34" i="150"/>
  <c r="AC38" i="150"/>
  <c r="AB38" i="150"/>
  <c r="K38" i="150"/>
  <c r="AB35" i="150"/>
  <c r="K35" i="150"/>
  <c r="AC35" i="150"/>
  <c r="AB32" i="150"/>
  <c r="AB33" i="164" s="1"/>
  <c r="K32" i="150"/>
  <c r="AC32" i="150"/>
  <c r="AC33" i="164" s="1"/>
  <c r="L20" i="150" l="1"/>
  <c r="F20" i="150" s="1"/>
  <c r="H20" i="165"/>
  <c r="D30" i="165"/>
  <c r="L41" i="153"/>
  <c r="P35" i="150"/>
  <c r="P36" i="164" s="1"/>
  <c r="O35" i="150"/>
  <c r="N35" i="150"/>
  <c r="M35" i="150"/>
  <c r="D34" i="165"/>
  <c r="K2" i="164"/>
  <c r="P38" i="150"/>
  <c r="P39" i="164" s="1"/>
  <c r="N32" i="150"/>
  <c r="N33" i="164" s="1"/>
  <c r="O32" i="150"/>
  <c r="O33" i="164" s="1"/>
  <c r="K33" i="164"/>
  <c r="M32" i="150"/>
  <c r="M33" i="164" s="1"/>
  <c r="O38" i="150"/>
  <c r="M38" i="150"/>
  <c r="N38" i="150"/>
  <c r="P32" i="150"/>
  <c r="P33" i="164" s="1"/>
  <c r="AC24" i="150"/>
  <c r="AB24" i="150"/>
  <c r="K24" i="150"/>
  <c r="AC22" i="150"/>
  <c r="K22" i="150"/>
  <c r="AB22" i="150"/>
  <c r="K21" i="150"/>
  <c r="AC21" i="150"/>
  <c r="AB21" i="150"/>
  <c r="K14" i="150"/>
  <c r="AB14" i="150"/>
  <c r="AB15" i="164" s="1"/>
  <c r="AC14" i="150"/>
  <c r="AC15" i="164" s="1"/>
  <c r="AC26" i="150"/>
  <c r="AC27" i="164" s="1"/>
  <c r="AB26" i="150"/>
  <c r="AB27" i="164" s="1"/>
  <c r="AB28" i="150"/>
  <c r="AB29" i="164" s="1"/>
  <c r="AC28" i="150"/>
  <c r="AC29" i="164" s="1"/>
  <c r="K28" i="150"/>
  <c r="AB23" i="150"/>
  <c r="AB24" i="164" s="1"/>
  <c r="AC23" i="150"/>
  <c r="AC24" i="164" s="1"/>
  <c r="K23" i="150"/>
  <c r="AC27" i="150"/>
  <c r="AB27" i="150"/>
  <c r="K27" i="150"/>
  <c r="K8" i="150"/>
  <c r="AB8" i="150"/>
  <c r="AC8" i="150"/>
  <c r="K39" i="150"/>
  <c r="AC39" i="150"/>
  <c r="AC40" i="164" s="1"/>
  <c r="AB39" i="150"/>
  <c r="AB40" i="164" s="1"/>
  <c r="AB13" i="150"/>
  <c r="AB14" i="164" s="1"/>
  <c r="AC13" i="150"/>
  <c r="AC14" i="164" s="1"/>
  <c r="K13" i="150"/>
  <c r="P6" i="150"/>
  <c r="AC6" i="150"/>
  <c r="AB6" i="150"/>
  <c r="AB36" i="150"/>
  <c r="AB37" i="164" s="1"/>
  <c r="K36" i="150"/>
  <c r="AC36" i="150"/>
  <c r="AC37" i="164" s="1"/>
  <c r="K11" i="150"/>
  <c r="AC11" i="150"/>
  <c r="AB11" i="150"/>
  <c r="K29" i="150"/>
  <c r="AB29" i="150"/>
  <c r="AB30" i="164" s="1"/>
  <c r="AC29" i="150"/>
  <c r="AC30" i="164" s="1"/>
  <c r="K10" i="150"/>
  <c r="AB10" i="150"/>
  <c r="AC10" i="150"/>
  <c r="K25" i="150"/>
  <c r="AB25" i="150"/>
  <c r="AC25" i="150"/>
  <c r="AC31" i="150"/>
  <c r="AB31" i="150"/>
  <c r="K31" i="150"/>
  <c r="AC12" i="150"/>
  <c r="K12" i="150"/>
  <c r="AB12" i="150"/>
  <c r="K18" i="150"/>
  <c r="AC18" i="150"/>
  <c r="AB18" i="150"/>
  <c r="K9" i="150"/>
  <c r="AC9" i="150"/>
  <c r="AB9" i="150"/>
  <c r="AB16" i="150"/>
  <c r="K16" i="150"/>
  <c r="AC16" i="150"/>
  <c r="K17" i="150"/>
  <c r="AC17" i="150"/>
  <c r="AC18" i="164" s="1"/>
  <c r="AB17" i="150"/>
  <c r="AB18" i="164" s="1"/>
  <c r="AB37" i="150"/>
  <c r="K37" i="150"/>
  <c r="AC37" i="150"/>
  <c r="K33" i="150"/>
  <c r="AC33" i="150"/>
  <c r="AC34" i="164" s="1"/>
  <c r="AB33" i="150"/>
  <c r="AB34" i="164" s="1"/>
  <c r="K15" i="150"/>
  <c r="AC15" i="150"/>
  <c r="AB15" i="150"/>
  <c r="L35" i="150" l="1"/>
  <c r="F35" i="150" s="1"/>
  <c r="L38" i="150"/>
  <c r="F38" i="150" s="1"/>
  <c r="F32" i="165"/>
  <c r="H38" i="165"/>
  <c r="H35" i="165"/>
  <c r="L32" i="150"/>
  <c r="F32" i="150" s="1"/>
  <c r="E32" i="165"/>
  <c r="H32" i="165"/>
  <c r="G32" i="165"/>
  <c r="P28" i="150"/>
  <c r="P29" i="164" s="1"/>
  <c r="K34" i="164"/>
  <c r="N33" i="150"/>
  <c r="N34" i="164" s="1"/>
  <c r="M33" i="150"/>
  <c r="M34" i="164" s="1"/>
  <c r="O33" i="150"/>
  <c r="O34" i="164" s="1"/>
  <c r="P9" i="150"/>
  <c r="P10" i="164" s="1"/>
  <c r="N9" i="150"/>
  <c r="M9" i="150"/>
  <c r="O9" i="150"/>
  <c r="O31" i="150"/>
  <c r="M31" i="150"/>
  <c r="N31" i="150"/>
  <c r="P36" i="150"/>
  <c r="P37" i="164" s="1"/>
  <c r="M13" i="150"/>
  <c r="M14" i="164" s="1"/>
  <c r="O13" i="150"/>
  <c r="O14" i="164" s="1"/>
  <c r="K14" i="164"/>
  <c r="N13" i="150"/>
  <c r="N14" i="164" s="1"/>
  <c r="P8" i="150"/>
  <c r="P9" i="164" s="1"/>
  <c r="K15" i="164"/>
  <c r="N14" i="150"/>
  <c r="N15" i="164" s="1"/>
  <c r="M14" i="150"/>
  <c r="M15" i="164" s="1"/>
  <c r="O14" i="150"/>
  <c r="O15" i="164" s="1"/>
  <c r="M12" i="150"/>
  <c r="O12" i="150"/>
  <c r="N12" i="150"/>
  <c r="P15" i="150"/>
  <c r="P16" i="164" s="1"/>
  <c r="M37" i="150"/>
  <c r="N37" i="150"/>
  <c r="O37" i="150"/>
  <c r="M16" i="150"/>
  <c r="O16" i="150"/>
  <c r="N16" i="150"/>
  <c r="N25" i="150"/>
  <c r="M25" i="150"/>
  <c r="O25" i="150"/>
  <c r="P29" i="150"/>
  <c r="P30" i="164" s="1"/>
  <c r="K37" i="164"/>
  <c r="N36" i="150"/>
  <c r="N37" i="164" s="1"/>
  <c r="M36" i="150"/>
  <c r="M37" i="164" s="1"/>
  <c r="O36" i="150"/>
  <c r="O37" i="164" s="1"/>
  <c r="P26" i="150"/>
  <c r="P27" i="164" s="1"/>
  <c r="P27" i="150"/>
  <c r="P28" i="164" s="1"/>
  <c r="P33" i="150"/>
  <c r="P34" i="164" s="1"/>
  <c r="P18" i="150"/>
  <c r="P25" i="150"/>
  <c r="P26" i="164" s="1"/>
  <c r="O29" i="150"/>
  <c r="O30" i="164" s="1"/>
  <c r="M29" i="150"/>
  <c r="M30" i="164" s="1"/>
  <c r="N29" i="150"/>
  <c r="N30" i="164" s="1"/>
  <c r="K30" i="164"/>
  <c r="M23" i="150"/>
  <c r="M24" i="164" s="1"/>
  <c r="O23" i="150"/>
  <c r="O24" i="164" s="1"/>
  <c r="K24" i="164"/>
  <c r="N23" i="150"/>
  <c r="N24" i="164" s="1"/>
  <c r="K26" i="150"/>
  <c r="K41" i="150" s="1"/>
  <c r="P21" i="150"/>
  <c r="P22" i="164" s="1"/>
  <c r="N17" i="150"/>
  <c r="N18" i="164" s="1"/>
  <c r="O17" i="150"/>
  <c r="O18" i="164" s="1"/>
  <c r="K18" i="164"/>
  <c r="M17" i="150"/>
  <c r="M18" i="164" s="1"/>
  <c r="P37" i="150"/>
  <c r="P38" i="164" s="1"/>
  <c r="P31" i="150"/>
  <c r="P32" i="164" s="1"/>
  <c r="O15" i="150"/>
  <c r="M15" i="150"/>
  <c r="N15" i="150"/>
  <c r="P16" i="150"/>
  <c r="P17" i="164" s="1"/>
  <c r="N18" i="150"/>
  <c r="M18" i="150"/>
  <c r="O18" i="150"/>
  <c r="P11" i="150"/>
  <c r="P12" i="164" s="1"/>
  <c r="AB7" i="164"/>
  <c r="AB41" i="150"/>
  <c r="N8" i="150"/>
  <c r="M8" i="150"/>
  <c r="O8" i="150"/>
  <c r="P23" i="150"/>
  <c r="P24" i="164" s="1"/>
  <c r="M10" i="150"/>
  <c r="N10" i="150"/>
  <c r="O10" i="150"/>
  <c r="P17" i="150"/>
  <c r="P18" i="164" s="1"/>
  <c r="P12" i="150"/>
  <c r="P13" i="164" s="1"/>
  <c r="P39" i="150"/>
  <c r="P40" i="164" s="1"/>
  <c r="O27" i="150"/>
  <c r="M27" i="150"/>
  <c r="N27" i="150"/>
  <c r="O21" i="150"/>
  <c r="N21" i="150"/>
  <c r="M21" i="150"/>
  <c r="AC7" i="164"/>
  <c r="AC41" i="150"/>
  <c r="O11" i="150"/>
  <c r="M11" i="150"/>
  <c r="N11" i="150"/>
  <c r="P7" i="164"/>
  <c r="N28" i="150"/>
  <c r="N29" i="164" s="1"/>
  <c r="M28" i="150"/>
  <c r="M29" i="164" s="1"/>
  <c r="K29" i="164"/>
  <c r="O28" i="150"/>
  <c r="O29" i="164" s="1"/>
  <c r="P14" i="150"/>
  <c r="P15" i="164" s="1"/>
  <c r="P22" i="150"/>
  <c r="P23" i="164" s="1"/>
  <c r="P24" i="150"/>
  <c r="P25" i="164" s="1"/>
  <c r="P10" i="150"/>
  <c r="P11" i="164" s="1"/>
  <c r="N24" i="150"/>
  <c r="M24" i="150"/>
  <c r="O24" i="150"/>
  <c r="P13" i="150"/>
  <c r="P14" i="164" s="1"/>
  <c r="M39" i="150"/>
  <c r="M40" i="164" s="1"/>
  <c r="N39" i="150"/>
  <c r="N40" i="164" s="1"/>
  <c r="K40" i="164"/>
  <c r="O39" i="150"/>
  <c r="O40" i="164" s="1"/>
  <c r="M22" i="150"/>
  <c r="O22" i="150"/>
  <c r="N22" i="150"/>
  <c r="L24" i="150" l="1"/>
  <c r="G32" i="150"/>
  <c r="L31" i="150"/>
  <c r="G31" i="150" s="1"/>
  <c r="L16" i="150"/>
  <c r="G16" i="150" s="1"/>
  <c r="L8" i="150"/>
  <c r="G8" i="150" s="1"/>
  <c r="L27" i="150"/>
  <c r="F27" i="150" s="1"/>
  <c r="L18" i="150"/>
  <c r="G18" i="150" s="1"/>
  <c r="L12" i="150"/>
  <c r="G12" i="150" s="1"/>
  <c r="F39" i="165"/>
  <c r="G14" i="165"/>
  <c r="G13" i="165"/>
  <c r="H28" i="165"/>
  <c r="L33" i="164"/>
  <c r="E39" i="165"/>
  <c r="G28" i="165"/>
  <c r="E17" i="165"/>
  <c r="F23" i="165"/>
  <c r="H25" i="165"/>
  <c r="H26" i="165"/>
  <c r="E14" i="165"/>
  <c r="E13" i="165"/>
  <c r="L9" i="150"/>
  <c r="F9" i="150" s="1"/>
  <c r="H16" i="165"/>
  <c r="H13" i="165"/>
  <c r="H39" i="165"/>
  <c r="L10" i="150"/>
  <c r="G10" i="150" s="1"/>
  <c r="H15" i="165"/>
  <c r="F14" i="165"/>
  <c r="H36" i="165"/>
  <c r="H9" i="165"/>
  <c r="H24" i="165"/>
  <c r="E28" i="165"/>
  <c r="L21" i="150"/>
  <c r="G21" i="150" s="1"/>
  <c r="H23" i="165"/>
  <c r="H11" i="165"/>
  <c r="G17" i="165"/>
  <c r="G23" i="165"/>
  <c r="G36" i="165"/>
  <c r="L25" i="150"/>
  <c r="G25" i="150" s="1"/>
  <c r="L22" i="150"/>
  <c r="G22" i="150" s="1"/>
  <c r="F28" i="165"/>
  <c r="H12" i="165"/>
  <c r="L15" i="150"/>
  <c r="F15" i="150" s="1"/>
  <c r="F17" i="165"/>
  <c r="E23" i="165"/>
  <c r="E36" i="165"/>
  <c r="H8" i="165"/>
  <c r="G33" i="165"/>
  <c r="L39" i="150"/>
  <c r="L40" i="164" s="1"/>
  <c r="H22" i="165"/>
  <c r="H31" i="165"/>
  <c r="H21" i="165"/>
  <c r="H33" i="165"/>
  <c r="F36" i="165"/>
  <c r="E33" i="165"/>
  <c r="G39" i="165"/>
  <c r="H17" i="165"/>
  <c r="F29" i="165"/>
  <c r="F13" i="165"/>
  <c r="F33" i="165"/>
  <c r="H10" i="165"/>
  <c r="G29" i="165"/>
  <c r="H14" i="165"/>
  <c r="L11" i="150"/>
  <c r="G11" i="150" s="1"/>
  <c r="H37" i="165"/>
  <c r="E29" i="165"/>
  <c r="H27" i="165"/>
  <c r="H29" i="165"/>
  <c r="L37" i="150"/>
  <c r="F37" i="150" s="1"/>
  <c r="L14" i="150"/>
  <c r="G14" i="150" s="1"/>
  <c r="F18" i="150"/>
  <c r="P41" i="150"/>
  <c r="L29" i="150"/>
  <c r="L33" i="150"/>
  <c r="H6" i="165"/>
  <c r="K27" i="164"/>
  <c r="M26" i="150"/>
  <c r="M27" i="164" s="1"/>
  <c r="N26" i="150"/>
  <c r="N27" i="164" s="1"/>
  <c r="O26" i="150"/>
  <c r="O27" i="164" s="1"/>
  <c r="L17" i="150"/>
  <c r="L28" i="150"/>
  <c r="L23" i="150"/>
  <c r="L13" i="150"/>
  <c r="F24" i="150"/>
  <c r="G24" i="150"/>
  <c r="L36" i="150"/>
  <c r="G39" i="150" l="1"/>
  <c r="F21" i="150"/>
  <c r="F39" i="150"/>
  <c r="F31" i="150"/>
  <c r="F8" i="150"/>
  <c r="F22" i="150"/>
  <c r="F11" i="150"/>
  <c r="F12" i="150"/>
  <c r="F16" i="150"/>
  <c r="G27" i="150"/>
  <c r="F14" i="150"/>
  <c r="G9" i="150"/>
  <c r="G37" i="150"/>
  <c r="F25" i="150"/>
  <c r="F10" i="150"/>
  <c r="G15" i="150"/>
  <c r="L15" i="164"/>
  <c r="N41" i="150"/>
  <c r="M41" i="150"/>
  <c r="F26" i="165"/>
  <c r="E26" i="165"/>
  <c r="G26" i="165"/>
  <c r="D32" i="165"/>
  <c r="D39" i="165"/>
  <c r="L29" i="164"/>
  <c r="F28" i="150"/>
  <c r="F13" i="150"/>
  <c r="L14" i="164"/>
  <c r="G13" i="150"/>
  <c r="L18" i="164"/>
  <c r="G17" i="150"/>
  <c r="F17" i="150"/>
  <c r="F33" i="150"/>
  <c r="G33" i="150"/>
  <c r="L34" i="164"/>
  <c r="L26" i="150"/>
  <c r="F29" i="150"/>
  <c r="L30" i="164"/>
  <c r="G29" i="150"/>
  <c r="G23" i="150"/>
  <c r="F23" i="150"/>
  <c r="L24" i="164"/>
  <c r="G36" i="150"/>
  <c r="L37" i="164"/>
  <c r="F36" i="150"/>
  <c r="O41" i="150"/>
  <c r="D28" i="165" l="1"/>
  <c r="D23" i="165"/>
  <c r="D29" i="165"/>
  <c r="D17" i="165"/>
  <c r="D36" i="165"/>
  <c r="D13" i="165"/>
  <c r="D33" i="165"/>
  <c r="D14" i="165"/>
  <c r="L27" i="164"/>
  <c r="G26" i="150"/>
  <c r="G41" i="150" s="1"/>
  <c r="F26" i="150"/>
  <c r="F41" i="150" s="1"/>
  <c r="L41" i="150"/>
  <c r="D26" i="165" l="1"/>
  <c r="H26" i="150"/>
  <c r="H38" i="150"/>
  <c r="H39" i="150"/>
  <c r="H23" i="150"/>
  <c r="H18" i="150"/>
  <c r="H13" i="150"/>
  <c r="H25" i="150"/>
  <c r="H33" i="150"/>
  <c r="H9" i="150"/>
  <c r="H8" i="150"/>
  <c r="H14" i="150"/>
  <c r="H11" i="150"/>
  <c r="H21" i="150"/>
  <c r="H20" i="150"/>
  <c r="H24" i="150"/>
  <c r="H29" i="150"/>
  <c r="H10" i="150"/>
  <c r="H34" i="150"/>
  <c r="H7" i="150"/>
  <c r="H15" i="150"/>
  <c r="H22" i="150"/>
  <c r="H17" i="150"/>
  <c r="H28" i="150"/>
  <c r="H35" i="150"/>
  <c r="H12" i="150"/>
  <c r="H37" i="150"/>
  <c r="H6" i="150"/>
  <c r="H19" i="150"/>
  <c r="H16" i="150"/>
  <c r="H32" i="150"/>
  <c r="H36" i="150"/>
  <c r="H27" i="150"/>
  <c r="H31" i="150"/>
  <c r="H30" i="150"/>
  <c r="K16" i="163"/>
  <c r="AB16" i="163"/>
  <c r="AB17" i="164" s="1"/>
  <c r="AC16" i="163"/>
  <c r="AC17" i="164" s="1"/>
  <c r="AB31" i="163"/>
  <c r="AB32" i="164" s="1"/>
  <c r="AC31" i="163"/>
  <c r="AC32" i="164" s="1"/>
  <c r="AB25" i="163"/>
  <c r="AB26" i="164" s="1"/>
  <c r="K25" i="163"/>
  <c r="AC25" i="163"/>
  <c r="AC26" i="164" s="1"/>
  <c r="K21" i="163"/>
  <c r="AB21" i="163"/>
  <c r="AB22" i="164" s="1"/>
  <c r="AC21" i="163"/>
  <c r="AC22" i="164" s="1"/>
  <c r="AB20" i="163"/>
  <c r="AB21" i="164" s="1"/>
  <c r="AC20" i="163"/>
  <c r="AC21" i="164" s="1"/>
  <c r="K24" i="163"/>
  <c r="AB24" i="163"/>
  <c r="AB25" i="164" s="1"/>
  <c r="AC24" i="163"/>
  <c r="AC25" i="164" s="1"/>
  <c r="AC12" i="163"/>
  <c r="AC13" i="164" s="1"/>
  <c r="K12" i="163"/>
  <c r="AB12" i="163"/>
  <c r="AB13" i="164" s="1"/>
  <c r="AB9" i="163"/>
  <c r="AB10" i="164" s="1"/>
  <c r="AC9" i="163"/>
  <c r="AC10" i="164" s="1"/>
  <c r="AB8" i="163"/>
  <c r="AB9" i="164" s="1"/>
  <c r="K8" i="163"/>
  <c r="AC8" i="163"/>
  <c r="AC9" i="164" s="1"/>
  <c r="O16" i="163" l="1"/>
  <c r="O17" i="164" s="1"/>
  <c r="M16" i="163"/>
  <c r="M17" i="164" s="1"/>
  <c r="N16" i="163"/>
  <c r="N17" i="164" s="1"/>
  <c r="K17" i="164"/>
  <c r="I27" i="150"/>
  <c r="I35" i="150"/>
  <c r="I29" i="150"/>
  <c r="I33" i="150"/>
  <c r="M24" i="163"/>
  <c r="M25" i="164" s="1"/>
  <c r="N24" i="163"/>
  <c r="N25" i="164" s="1"/>
  <c r="O24" i="163"/>
  <c r="O25" i="164" s="1"/>
  <c r="K25" i="164"/>
  <c r="I36" i="150"/>
  <c r="I28" i="150"/>
  <c r="I24" i="150"/>
  <c r="I25" i="150"/>
  <c r="M8" i="163"/>
  <c r="M9" i="164" s="1"/>
  <c r="N8" i="163"/>
  <c r="N9" i="164" s="1"/>
  <c r="O8" i="163"/>
  <c r="O9" i="164" s="1"/>
  <c r="K9" i="164"/>
  <c r="N25" i="163"/>
  <c r="N26" i="164" s="1"/>
  <c r="O25" i="163"/>
  <c r="O26" i="164" s="1"/>
  <c r="M25" i="163"/>
  <c r="M26" i="164" s="1"/>
  <c r="K26" i="164"/>
  <c r="I32" i="150"/>
  <c r="I17" i="150"/>
  <c r="I20" i="150"/>
  <c r="I13" i="150"/>
  <c r="I16" i="150"/>
  <c r="I22" i="150"/>
  <c r="I21" i="150"/>
  <c r="I18" i="150"/>
  <c r="N12" i="163"/>
  <c r="N13" i="164" s="1"/>
  <c r="O12" i="163"/>
  <c r="O13" i="164" s="1"/>
  <c r="M12" i="163"/>
  <c r="M13" i="164" s="1"/>
  <c r="K13" i="164"/>
  <c r="K9" i="163"/>
  <c r="I19" i="150"/>
  <c r="I15" i="150"/>
  <c r="I11" i="150"/>
  <c r="I23" i="150"/>
  <c r="O21" i="163"/>
  <c r="O22" i="164" s="1"/>
  <c r="N21" i="163"/>
  <c r="N22" i="164" s="1"/>
  <c r="M21" i="163"/>
  <c r="M22" i="164" s="1"/>
  <c r="K22" i="164"/>
  <c r="I6" i="150"/>
  <c r="H41" i="150"/>
  <c r="I7" i="150"/>
  <c r="I14" i="150"/>
  <c r="I39" i="150"/>
  <c r="I30" i="150"/>
  <c r="I37" i="150"/>
  <c r="I34" i="150"/>
  <c r="I8" i="150"/>
  <c r="I38" i="150"/>
  <c r="K20" i="163"/>
  <c r="K31" i="163"/>
  <c r="I31" i="150"/>
  <c r="I12" i="150"/>
  <c r="I10" i="150"/>
  <c r="I9" i="150"/>
  <c r="I26" i="150"/>
  <c r="L16" i="163" l="1"/>
  <c r="L17" i="164" s="1"/>
  <c r="D16" i="165" s="1"/>
  <c r="F21" i="165"/>
  <c r="F25" i="165"/>
  <c r="G21" i="165"/>
  <c r="E12" i="165"/>
  <c r="G12" i="165"/>
  <c r="L8" i="163"/>
  <c r="L9" i="164" s="1"/>
  <c r="F12" i="165"/>
  <c r="G8" i="165"/>
  <c r="G24" i="165"/>
  <c r="G25" i="165"/>
  <c r="F8" i="165"/>
  <c r="F24" i="165"/>
  <c r="F16" i="165"/>
  <c r="L25" i="163"/>
  <c r="L26" i="164" s="1"/>
  <c r="E8" i="165"/>
  <c r="E24" i="165"/>
  <c r="E16" i="165"/>
  <c r="E21" i="165"/>
  <c r="E25" i="165"/>
  <c r="G16" i="165"/>
  <c r="F31" i="153"/>
  <c r="G31" i="153"/>
  <c r="G8" i="153"/>
  <c r="F8" i="153"/>
  <c r="F39" i="153"/>
  <c r="G39" i="153"/>
  <c r="G11" i="153"/>
  <c r="F11" i="153"/>
  <c r="L12" i="163"/>
  <c r="L13" i="164" s="1"/>
  <c r="F35" i="153"/>
  <c r="G35" i="153"/>
  <c r="G9" i="153"/>
  <c r="F9" i="153"/>
  <c r="N31" i="163"/>
  <c r="N32" i="164" s="1"/>
  <c r="O31" i="163"/>
  <c r="O32" i="164" s="1"/>
  <c r="M31" i="163"/>
  <c r="M32" i="164" s="1"/>
  <c r="K32" i="164"/>
  <c r="G34" i="153"/>
  <c r="F34" i="153"/>
  <c r="L21" i="163"/>
  <c r="L22" i="164" s="1"/>
  <c r="G15" i="153"/>
  <c r="F15" i="153"/>
  <c r="G22" i="153"/>
  <c r="F22" i="153"/>
  <c r="G17" i="153"/>
  <c r="F17" i="153"/>
  <c r="G24" i="153"/>
  <c r="F24" i="153"/>
  <c r="G10" i="153"/>
  <c r="F10" i="153"/>
  <c r="G14" i="153"/>
  <c r="F14" i="153"/>
  <c r="F28" i="153"/>
  <c r="G28" i="153"/>
  <c r="F27" i="153"/>
  <c r="G27" i="153"/>
  <c r="O20" i="163"/>
  <c r="O21" i="164" s="1"/>
  <c r="N20" i="163"/>
  <c r="N21" i="164" s="1"/>
  <c r="M20" i="163"/>
  <c r="M21" i="164" s="1"/>
  <c r="K21" i="164"/>
  <c r="F16" i="153"/>
  <c r="G16" i="153"/>
  <c r="G32" i="153"/>
  <c r="F32" i="153"/>
  <c r="F33" i="153"/>
  <c r="G33" i="153"/>
  <c r="F37" i="153"/>
  <c r="G37" i="153"/>
  <c r="G7" i="153"/>
  <c r="F7" i="153"/>
  <c r="G19" i="153"/>
  <c r="F19" i="153"/>
  <c r="G36" i="153"/>
  <c r="F36" i="153"/>
  <c r="G38" i="153"/>
  <c r="F38" i="153"/>
  <c r="M9" i="163"/>
  <c r="M10" i="164" s="1"/>
  <c r="N9" i="163"/>
  <c r="N10" i="164" s="1"/>
  <c r="O9" i="163"/>
  <c r="O10" i="164" s="1"/>
  <c r="K10" i="164"/>
  <c r="F18" i="153"/>
  <c r="G18" i="153"/>
  <c r="F13" i="153"/>
  <c r="G13" i="153"/>
  <c r="F12" i="153"/>
  <c r="G12" i="153"/>
  <c r="F30" i="153"/>
  <c r="G30" i="153"/>
  <c r="F23" i="153"/>
  <c r="G23" i="153"/>
  <c r="F21" i="153"/>
  <c r="G21" i="153"/>
  <c r="F29" i="153"/>
  <c r="G29" i="153"/>
  <c r="G26" i="153"/>
  <c r="F26" i="153"/>
  <c r="I41" i="150"/>
  <c r="G6" i="153"/>
  <c r="F6" i="153"/>
  <c r="F20" i="153"/>
  <c r="G20" i="153"/>
  <c r="G25" i="153"/>
  <c r="F25" i="153"/>
  <c r="L24" i="163"/>
  <c r="L25" i="164" s="1"/>
  <c r="L9" i="163" l="1"/>
  <c r="L10" i="164" s="1"/>
  <c r="D9" i="165" s="1"/>
  <c r="E20" i="165"/>
  <c r="G31" i="165"/>
  <c r="F20" i="165"/>
  <c r="F31" i="165"/>
  <c r="E31" i="165"/>
  <c r="D24" i="165"/>
  <c r="G20" i="165"/>
  <c r="D21" i="165"/>
  <c r="D25" i="165"/>
  <c r="G9" i="165"/>
  <c r="D8" i="165"/>
  <c r="F9" i="165"/>
  <c r="E9" i="165"/>
  <c r="D12" i="165"/>
  <c r="F41" i="153"/>
  <c r="G41" i="153"/>
  <c r="L20" i="163"/>
  <c r="L21" i="164" s="1"/>
  <c r="L31" i="163"/>
  <c r="L32" i="164" s="1"/>
  <c r="D31" i="165" l="1"/>
  <c r="D20" i="165"/>
  <c r="H35" i="153"/>
  <c r="H34" i="153"/>
  <c r="H27" i="153"/>
  <c r="H33" i="153"/>
  <c r="H15" i="153"/>
  <c r="H11" i="153"/>
  <c r="H12" i="153"/>
  <c r="H37" i="153"/>
  <c r="H20" i="153"/>
  <c r="H29" i="153"/>
  <c r="H25" i="153"/>
  <c r="H16" i="153"/>
  <c r="H18" i="153"/>
  <c r="H19" i="153"/>
  <c r="H14" i="153"/>
  <c r="H30" i="153"/>
  <c r="H17" i="153"/>
  <c r="H24" i="153"/>
  <c r="H38" i="153"/>
  <c r="H36" i="153"/>
  <c r="H23" i="153"/>
  <c r="H6" i="153"/>
  <c r="H28" i="153"/>
  <c r="H26" i="153"/>
  <c r="H7" i="153"/>
  <c r="H21" i="153"/>
  <c r="H39" i="153"/>
  <c r="H32" i="153"/>
  <c r="H13" i="153"/>
  <c r="H8" i="153"/>
  <c r="H10" i="153"/>
  <c r="H31" i="153"/>
  <c r="H22" i="153"/>
  <c r="H9" i="153"/>
  <c r="I30" i="153" l="1"/>
  <c r="I10" i="153"/>
  <c r="I28" i="153"/>
  <c r="I14" i="153"/>
  <c r="I12" i="153"/>
  <c r="I31" i="153"/>
  <c r="I26" i="153"/>
  <c r="I37" i="153"/>
  <c r="I8" i="153"/>
  <c r="H41" i="153"/>
  <c r="I6" i="153"/>
  <c r="I19" i="153"/>
  <c r="I11" i="153"/>
  <c r="I13" i="153"/>
  <c r="I23" i="153"/>
  <c r="I18" i="153"/>
  <c r="I15" i="153"/>
  <c r="I32" i="153"/>
  <c r="I36" i="153"/>
  <c r="I16" i="153"/>
  <c r="I33" i="153"/>
  <c r="I39" i="153"/>
  <c r="I38" i="153"/>
  <c r="I25" i="153"/>
  <c r="I27" i="153"/>
  <c r="I9" i="153"/>
  <c r="I21" i="153"/>
  <c r="I24" i="153"/>
  <c r="I29" i="153"/>
  <c r="I34" i="153"/>
  <c r="I22" i="153"/>
  <c r="I7" i="153"/>
  <c r="I17" i="153"/>
  <c r="I20" i="153"/>
  <c r="I35" i="153"/>
  <c r="AB35" i="163"/>
  <c r="AB36" i="164" s="1"/>
  <c r="AC35" i="163"/>
  <c r="AC36" i="164" s="1"/>
  <c r="K7" i="163"/>
  <c r="AB7" i="163"/>
  <c r="AC7" i="163"/>
  <c r="AB38" i="163"/>
  <c r="AB39" i="164" s="1"/>
  <c r="K38" i="163"/>
  <c r="AC38" i="163"/>
  <c r="AC39" i="164" s="1"/>
  <c r="AC37" i="163"/>
  <c r="AC38" i="164" s="1"/>
  <c r="AB37" i="163"/>
  <c r="AB38" i="164" s="1"/>
  <c r="AC22" i="163"/>
  <c r="AC23" i="164" s="1"/>
  <c r="AB22" i="163"/>
  <c r="AB23" i="164" s="1"/>
  <c r="K15" i="163"/>
  <c r="AB15" i="163"/>
  <c r="AB16" i="164" s="1"/>
  <c r="AC15" i="163"/>
  <c r="AC16" i="164" s="1"/>
  <c r="AB10" i="163"/>
  <c r="AB11" i="164" s="1"/>
  <c r="AC10" i="163"/>
  <c r="AC11" i="164" s="1"/>
  <c r="K10" i="163"/>
  <c r="AC11" i="163"/>
  <c r="AC12" i="164" s="1"/>
  <c r="K11" i="163"/>
  <c r="AB11" i="163"/>
  <c r="AB12" i="164" s="1"/>
  <c r="AC27" i="163"/>
  <c r="AC28" i="164" s="1"/>
  <c r="AB27" i="163"/>
  <c r="AB28" i="164" s="1"/>
  <c r="F7" i="154" l="1"/>
  <c r="G7" i="154"/>
  <c r="F24" i="154"/>
  <c r="G24" i="154"/>
  <c r="G25" i="154"/>
  <c r="F25" i="154"/>
  <c r="F16" i="154"/>
  <c r="G16" i="154"/>
  <c r="F18" i="154"/>
  <c r="G18" i="154"/>
  <c r="G19" i="154"/>
  <c r="F19" i="154"/>
  <c r="F14" i="154"/>
  <c r="G14" i="154"/>
  <c r="F26" i="154"/>
  <c r="G26" i="154"/>
  <c r="N15" i="163"/>
  <c r="N16" i="164" s="1"/>
  <c r="O15" i="163"/>
  <c r="O16" i="164" s="1"/>
  <c r="M15" i="163"/>
  <c r="M16" i="164" s="1"/>
  <c r="K16" i="164"/>
  <c r="O11" i="163"/>
  <c r="O12" i="164" s="1"/>
  <c r="M11" i="163"/>
  <c r="M12" i="164" s="1"/>
  <c r="N11" i="163"/>
  <c r="N12" i="164" s="1"/>
  <c r="K12" i="164"/>
  <c r="K27" i="163"/>
  <c r="K37" i="163"/>
  <c r="F35" i="154"/>
  <c r="G35" i="154"/>
  <c r="F22" i="154"/>
  <c r="G22" i="154"/>
  <c r="F21" i="154"/>
  <c r="G21" i="154"/>
  <c r="F38" i="154"/>
  <c r="G38" i="154"/>
  <c r="F36" i="154"/>
  <c r="G36" i="154"/>
  <c r="G23" i="154"/>
  <c r="F23" i="154"/>
  <c r="I41" i="153"/>
  <c r="F6" i="154"/>
  <c r="G6" i="154"/>
  <c r="G28" i="154"/>
  <c r="F28" i="154"/>
  <c r="G31" i="154"/>
  <c r="F31" i="154"/>
  <c r="M10" i="163"/>
  <c r="M11" i="164" s="1"/>
  <c r="N10" i="163"/>
  <c r="N11" i="164" s="1"/>
  <c r="O10" i="163"/>
  <c r="O11" i="164" s="1"/>
  <c r="K11" i="164"/>
  <c r="K22" i="163"/>
  <c r="AC41" i="163"/>
  <c r="AC8" i="164"/>
  <c r="G20" i="154"/>
  <c r="F20" i="154"/>
  <c r="G34" i="154"/>
  <c r="F34" i="154"/>
  <c r="F9" i="154"/>
  <c r="G9" i="154"/>
  <c r="F39" i="154"/>
  <c r="G39" i="154"/>
  <c r="F32" i="154"/>
  <c r="G32" i="154"/>
  <c r="G13" i="154"/>
  <c r="F13" i="154"/>
  <c r="G10" i="154"/>
  <c r="F10" i="154"/>
  <c r="AB41" i="163"/>
  <c r="AB8" i="164"/>
  <c r="F8" i="154"/>
  <c r="G8" i="154"/>
  <c r="F12" i="154"/>
  <c r="G12" i="154"/>
  <c r="O7" i="163"/>
  <c r="N7" i="163"/>
  <c r="M7" i="163"/>
  <c r="K8" i="164"/>
  <c r="F17" i="154"/>
  <c r="G17" i="154"/>
  <c r="F29" i="154"/>
  <c r="G29" i="154"/>
  <c r="G27" i="154"/>
  <c r="F27" i="154"/>
  <c r="F33" i="154"/>
  <c r="G33" i="154"/>
  <c r="G15" i="154"/>
  <c r="F15" i="154"/>
  <c r="G11" i="154"/>
  <c r="F11" i="154"/>
  <c r="F30" i="154"/>
  <c r="G30" i="154"/>
  <c r="N38" i="163"/>
  <c r="N39" i="164" s="1"/>
  <c r="O38" i="163"/>
  <c r="O39" i="164" s="1"/>
  <c r="M38" i="163"/>
  <c r="M39" i="164" s="1"/>
  <c r="K39" i="164"/>
  <c r="K35" i="163"/>
  <c r="F37" i="154"/>
  <c r="G37" i="154"/>
  <c r="L15" i="163" l="1"/>
  <c r="L16" i="164" s="1"/>
  <c r="D15" i="165" s="1"/>
  <c r="K41" i="163"/>
  <c r="L7" i="163"/>
  <c r="G11" i="165"/>
  <c r="L10" i="163"/>
  <c r="L11" i="164" s="1"/>
  <c r="E38" i="165"/>
  <c r="G10" i="165"/>
  <c r="G38" i="165"/>
  <c r="F10" i="165"/>
  <c r="E15" i="165"/>
  <c r="F38" i="165"/>
  <c r="E10" i="165"/>
  <c r="G15" i="165"/>
  <c r="E11" i="165"/>
  <c r="L11" i="163"/>
  <c r="L12" i="164" s="1"/>
  <c r="F15" i="165"/>
  <c r="F11" i="165"/>
  <c r="N8" i="164"/>
  <c r="N22" i="163"/>
  <c r="N23" i="164" s="1"/>
  <c r="M22" i="163"/>
  <c r="M23" i="164" s="1"/>
  <c r="O22" i="163"/>
  <c r="O23" i="164" s="1"/>
  <c r="K23" i="164"/>
  <c r="O8" i="164"/>
  <c r="L38" i="163"/>
  <c r="L39" i="164" s="1"/>
  <c r="N37" i="163"/>
  <c r="N38" i="164" s="1"/>
  <c r="M37" i="163"/>
  <c r="M38" i="164" s="1"/>
  <c r="O37" i="163"/>
  <c r="O38" i="164" s="1"/>
  <c r="K38" i="164"/>
  <c r="G41" i="154"/>
  <c r="F41" i="154"/>
  <c r="O27" i="163"/>
  <c r="O28" i="164" s="1"/>
  <c r="N27" i="163"/>
  <c r="N28" i="164" s="1"/>
  <c r="M27" i="163"/>
  <c r="M28" i="164" s="1"/>
  <c r="K28" i="164"/>
  <c r="L8" i="164"/>
  <c r="O35" i="163"/>
  <c r="O36" i="164" s="1"/>
  <c r="N35" i="163"/>
  <c r="N36" i="164" s="1"/>
  <c r="M35" i="163"/>
  <c r="M36" i="164" s="1"/>
  <c r="K36" i="164"/>
  <c r="M8" i="164"/>
  <c r="G35" i="165" l="1"/>
  <c r="D11" i="165"/>
  <c r="G37" i="165"/>
  <c r="G22" i="165"/>
  <c r="E22" i="165"/>
  <c r="E37" i="165"/>
  <c r="F22" i="165"/>
  <c r="F37" i="165"/>
  <c r="E27" i="165"/>
  <c r="M41" i="163"/>
  <c r="F27" i="165"/>
  <c r="D38" i="165"/>
  <c r="G27" i="165"/>
  <c r="D10" i="165"/>
  <c r="E35" i="165"/>
  <c r="F35" i="165"/>
  <c r="L22" i="163"/>
  <c r="L23" i="164" s="1"/>
  <c r="E7" i="165"/>
  <c r="H30" i="154"/>
  <c r="H8" i="154"/>
  <c r="H10" i="154"/>
  <c r="H36" i="154"/>
  <c r="H23" i="154"/>
  <c r="H22" i="154"/>
  <c r="H31" i="154"/>
  <c r="H17" i="154"/>
  <c r="H24" i="154"/>
  <c r="H11" i="154"/>
  <c r="H21" i="154"/>
  <c r="H20" i="154"/>
  <c r="H25" i="154"/>
  <c r="H16" i="154"/>
  <c r="H18" i="154"/>
  <c r="H12" i="154"/>
  <c r="H37" i="154"/>
  <c r="H32" i="154"/>
  <c r="H33" i="154"/>
  <c r="H6" i="154"/>
  <c r="H29" i="154"/>
  <c r="H35" i="154"/>
  <c r="H13" i="154"/>
  <c r="H38" i="154"/>
  <c r="H19" i="154"/>
  <c r="H14" i="154"/>
  <c r="H15" i="154"/>
  <c r="H7" i="154"/>
  <c r="H26" i="154"/>
  <c r="H39" i="154"/>
  <c r="H28" i="154"/>
  <c r="H27" i="154"/>
  <c r="H34" i="154"/>
  <c r="H9" i="154"/>
  <c r="D7" i="165"/>
  <c r="G7" i="165"/>
  <c r="L35" i="163"/>
  <c r="L36" i="164" s="1"/>
  <c r="O41" i="163"/>
  <c r="F7" i="165"/>
  <c r="L37" i="163"/>
  <c r="L38" i="164" s="1"/>
  <c r="N41" i="163"/>
  <c r="L27" i="163"/>
  <c r="D22" i="165" l="1"/>
  <c r="D37" i="165"/>
  <c r="D35" i="165"/>
  <c r="I39" i="154"/>
  <c r="I35" i="154"/>
  <c r="I16" i="154"/>
  <c r="I22" i="154"/>
  <c r="L28" i="164"/>
  <c r="L41" i="163"/>
  <c r="I26" i="154"/>
  <c r="I29" i="154"/>
  <c r="I25" i="154"/>
  <c r="I23" i="154"/>
  <c r="I7" i="154"/>
  <c r="H41" i="154"/>
  <c r="I6" i="154"/>
  <c r="I20" i="154"/>
  <c r="I36" i="154"/>
  <c r="I15" i="154"/>
  <c r="I33" i="154"/>
  <c r="I21" i="154"/>
  <c r="I10" i="154"/>
  <c r="I9" i="154"/>
  <c r="I14" i="154"/>
  <c r="I32" i="154"/>
  <c r="I11" i="154"/>
  <c r="I8" i="154"/>
  <c r="I34" i="154"/>
  <c r="I19" i="154"/>
  <c r="I37" i="154"/>
  <c r="I24" i="154"/>
  <c r="I30" i="154"/>
  <c r="I27" i="154"/>
  <c r="I38" i="154"/>
  <c r="H4" i="147"/>
  <c r="I12" i="154"/>
  <c r="I17" i="154"/>
  <c r="I28" i="154"/>
  <c r="I13" i="154"/>
  <c r="I18" i="154"/>
  <c r="I31" i="154"/>
  <c r="D27" i="165" l="1"/>
  <c r="G24" i="155"/>
  <c r="F24" i="155"/>
  <c r="F8" i="155"/>
  <c r="G8" i="155"/>
  <c r="F9" i="155"/>
  <c r="G9" i="155"/>
  <c r="G13" i="155"/>
  <c r="F13" i="155"/>
  <c r="F15" i="155"/>
  <c r="G15" i="155"/>
  <c r="G29" i="155"/>
  <c r="F29" i="155"/>
  <c r="G16" i="155"/>
  <c r="F16" i="155"/>
  <c r="F38" i="155"/>
  <c r="G38" i="155"/>
  <c r="G37" i="155"/>
  <c r="F37" i="155"/>
  <c r="F11" i="155"/>
  <c r="G11" i="155"/>
  <c r="F7" i="155"/>
  <c r="G7" i="155"/>
  <c r="G10" i="155"/>
  <c r="F10" i="155"/>
  <c r="G36" i="155"/>
  <c r="F36" i="155"/>
  <c r="G26" i="155"/>
  <c r="F26" i="155"/>
  <c r="F35" i="155"/>
  <c r="G35" i="155"/>
  <c r="G27" i="155"/>
  <c r="F27" i="155"/>
  <c r="G19" i="155"/>
  <c r="F19" i="155"/>
  <c r="G32" i="155"/>
  <c r="F32" i="155"/>
  <c r="F31" i="155"/>
  <c r="G31" i="155"/>
  <c r="G17" i="155"/>
  <c r="F17" i="155"/>
  <c r="F21" i="155"/>
  <c r="G21" i="155"/>
  <c r="F20" i="155"/>
  <c r="G20" i="155"/>
  <c r="F23" i="155"/>
  <c r="G23" i="155"/>
  <c r="G39" i="155"/>
  <c r="F39" i="155"/>
  <c r="F30" i="155"/>
  <c r="G30" i="155"/>
  <c r="F14" i="155"/>
  <c r="G14" i="155"/>
  <c r="G28" i="155"/>
  <c r="F28" i="155"/>
  <c r="F34" i="155"/>
  <c r="G34" i="155"/>
  <c r="G18" i="155"/>
  <c r="F18" i="155"/>
  <c r="F12" i="155"/>
  <c r="G12" i="155"/>
  <c r="F33" i="155"/>
  <c r="G33" i="155"/>
  <c r="F6" i="155"/>
  <c r="G6" i="155"/>
  <c r="I41" i="154"/>
  <c r="G25" i="155"/>
  <c r="F25" i="155"/>
  <c r="G22" i="155"/>
  <c r="F22" i="155"/>
  <c r="G41" i="155" l="1"/>
  <c r="H33" i="155" s="1"/>
  <c r="I33" i="155" s="1"/>
  <c r="F41" i="155"/>
  <c r="H23" i="155" l="1"/>
  <c r="I23" i="155" s="1"/>
  <c r="F23" i="156" s="1"/>
  <c r="H8" i="155"/>
  <c r="I8" i="155" s="1"/>
  <c r="G8" i="156" s="1"/>
  <c r="H21" i="155"/>
  <c r="I21" i="155" s="1"/>
  <c r="F21" i="156" s="1"/>
  <c r="H9" i="155"/>
  <c r="I9" i="155" s="1"/>
  <c r="H11" i="155"/>
  <c r="I11" i="155" s="1"/>
  <c r="F11" i="156" s="1"/>
  <c r="H17" i="155"/>
  <c r="I17" i="155" s="1"/>
  <c r="G17" i="156" s="1"/>
  <c r="H38" i="155"/>
  <c r="I38" i="155" s="1"/>
  <c r="G38" i="156" s="1"/>
  <c r="H35" i="155"/>
  <c r="I35" i="155" s="1"/>
  <c r="F35" i="156" s="1"/>
  <c r="H18" i="155"/>
  <c r="I18" i="155" s="1"/>
  <c r="F18" i="156" s="1"/>
  <c r="H37" i="155"/>
  <c r="I37" i="155" s="1"/>
  <c r="G37" i="156" s="1"/>
  <c r="H12" i="155"/>
  <c r="I12" i="155" s="1"/>
  <c r="F12" i="156" s="1"/>
  <c r="H10" i="155"/>
  <c r="I10" i="155" s="1"/>
  <c r="F10" i="156" s="1"/>
  <c r="H31" i="155"/>
  <c r="I31" i="155" s="1"/>
  <c r="G31" i="156" s="1"/>
  <c r="H15" i="155"/>
  <c r="I15" i="155" s="1"/>
  <c r="F15" i="156" s="1"/>
  <c r="H36" i="155"/>
  <c r="I36" i="155" s="1"/>
  <c r="G36" i="156" s="1"/>
  <c r="H39" i="155"/>
  <c r="I39" i="155" s="1"/>
  <c r="F39" i="156" s="1"/>
  <c r="H28" i="155"/>
  <c r="I28" i="155" s="1"/>
  <c r="G28" i="156" s="1"/>
  <c r="H14" i="155"/>
  <c r="I14" i="155" s="1"/>
  <c r="G14" i="156" s="1"/>
  <c r="H7" i="155"/>
  <c r="I7" i="155" s="1"/>
  <c r="F7" i="156" s="1"/>
  <c r="H16" i="155"/>
  <c r="I16" i="155" s="1"/>
  <c r="F16" i="156" s="1"/>
  <c r="H13" i="155"/>
  <c r="I13" i="155" s="1"/>
  <c r="G13" i="156" s="1"/>
  <c r="H27" i="155"/>
  <c r="I27" i="155" s="1"/>
  <c r="G27" i="156" s="1"/>
  <c r="H34" i="155"/>
  <c r="I34" i="155" s="1"/>
  <c r="F34" i="156" s="1"/>
  <c r="H29" i="155"/>
  <c r="I29" i="155" s="1"/>
  <c r="G29" i="156" s="1"/>
  <c r="H6" i="155"/>
  <c r="I6" i="155" s="1"/>
  <c r="F6" i="156" s="1"/>
  <c r="H26" i="155"/>
  <c r="I26" i="155" s="1"/>
  <c r="G26" i="156" s="1"/>
  <c r="H20" i="155"/>
  <c r="I20" i="155" s="1"/>
  <c r="G20" i="156" s="1"/>
  <c r="H19" i="155"/>
  <c r="I19" i="155" s="1"/>
  <c r="G19" i="156" s="1"/>
  <c r="H22" i="155"/>
  <c r="I22" i="155" s="1"/>
  <c r="G22" i="156" s="1"/>
  <c r="H32" i="155"/>
  <c r="I32" i="155" s="1"/>
  <c r="F32" i="156" s="1"/>
  <c r="H30" i="155"/>
  <c r="I30" i="155" s="1"/>
  <c r="G30" i="156" s="1"/>
  <c r="H24" i="155"/>
  <c r="I24" i="155" s="1"/>
  <c r="G24" i="156" s="1"/>
  <c r="H25" i="155"/>
  <c r="I25" i="155" s="1"/>
  <c r="F25" i="156" s="1"/>
  <c r="F33" i="156"/>
  <c r="G33" i="156"/>
  <c r="F8" i="156"/>
  <c r="G21" i="156" l="1"/>
  <c r="G23" i="156"/>
  <c r="F17" i="156"/>
  <c r="F38" i="156"/>
  <c r="G11" i="156"/>
  <c r="F37" i="156"/>
  <c r="G18" i="156"/>
  <c r="G35" i="156"/>
  <c r="F14" i="156"/>
  <c r="G10" i="156"/>
  <c r="G12" i="156"/>
  <c r="F31" i="156"/>
  <c r="F27" i="156"/>
  <c r="G15" i="156"/>
  <c r="F28" i="156"/>
  <c r="F36" i="156"/>
  <c r="G39" i="156"/>
  <c r="G7" i="156"/>
  <c r="F20" i="156"/>
  <c r="F22" i="156"/>
  <c r="F13" i="156"/>
  <c r="F19" i="156"/>
  <c r="G16" i="156"/>
  <c r="F29" i="156"/>
  <c r="F30" i="156"/>
  <c r="G34" i="156"/>
  <c r="G6" i="156"/>
  <c r="F26" i="156"/>
  <c r="G32" i="156"/>
  <c r="F24" i="156"/>
  <c r="G25" i="156"/>
  <c r="H41" i="155"/>
  <c r="F9" i="156"/>
  <c r="G9" i="156"/>
  <c r="I41" i="155"/>
  <c r="F41" i="156" l="1"/>
  <c r="G41" i="156"/>
  <c r="H24" i="156" s="1"/>
  <c r="H36" i="156" l="1"/>
  <c r="I36" i="156" s="1"/>
  <c r="H39" i="156"/>
  <c r="I39" i="156" s="1"/>
  <c r="H29" i="156"/>
  <c r="H17" i="156"/>
  <c r="I17" i="156" s="1"/>
  <c r="H33" i="156"/>
  <c r="I33" i="156" s="1"/>
  <c r="H38" i="156"/>
  <c r="I38" i="156" s="1"/>
  <c r="H25" i="156"/>
  <c r="I25" i="156" s="1"/>
  <c r="H21" i="156"/>
  <c r="I21" i="156" s="1"/>
  <c r="H13" i="156"/>
  <c r="I13" i="156" s="1"/>
  <c r="H30" i="156"/>
  <c r="I30" i="156" s="1"/>
  <c r="H18" i="156"/>
  <c r="I18" i="156" s="1"/>
  <c r="H8" i="156"/>
  <c r="I8" i="156" s="1"/>
  <c r="H10" i="156"/>
  <c r="I10" i="156" s="1"/>
  <c r="H16" i="156"/>
  <c r="I16" i="156" s="1"/>
  <c r="H15" i="156"/>
  <c r="I15" i="156" s="1"/>
  <c r="H35" i="156"/>
  <c r="I35" i="156" s="1"/>
  <c r="H7" i="156"/>
  <c r="I7" i="156" s="1"/>
  <c r="H11" i="156"/>
  <c r="I11" i="156" s="1"/>
  <c r="H37" i="156"/>
  <c r="I37" i="156" s="1"/>
  <c r="H32" i="156"/>
  <c r="I32" i="156" s="1"/>
  <c r="H34" i="156"/>
  <c r="I34" i="156" s="1"/>
  <c r="H22" i="156"/>
  <c r="I22" i="156" s="1"/>
  <c r="H31" i="156"/>
  <c r="I31" i="156" s="1"/>
  <c r="H23" i="156"/>
  <c r="I23" i="156" s="1"/>
  <c r="H14" i="156"/>
  <c r="I14" i="156" s="1"/>
  <c r="H6" i="156"/>
  <c r="I6" i="156" s="1"/>
  <c r="H26" i="156"/>
  <c r="I26" i="156" s="1"/>
  <c r="H20" i="156"/>
  <c r="I20" i="156" s="1"/>
  <c r="H19" i="156"/>
  <c r="I19" i="156" s="1"/>
  <c r="H9" i="156"/>
  <c r="I9" i="156" s="1"/>
  <c r="H27" i="156"/>
  <c r="I27" i="156" s="1"/>
  <c r="H12" i="156"/>
  <c r="I12" i="156" s="1"/>
  <c r="H28" i="156"/>
  <c r="I28" i="156" s="1"/>
  <c r="I24" i="156"/>
  <c r="I29" i="156"/>
  <c r="H41" i="156" l="1"/>
  <c r="G6" i="157"/>
  <c r="I41" i="156"/>
  <c r="F6" i="157"/>
  <c r="G8" i="157"/>
  <c r="F8" i="157"/>
  <c r="F31" i="157"/>
  <c r="G31" i="157"/>
  <c r="F32" i="157"/>
  <c r="G32" i="157"/>
  <c r="F37" i="157"/>
  <c r="G37" i="157"/>
  <c r="G9" i="157"/>
  <c r="F9" i="157"/>
  <c r="G34" i="157"/>
  <c r="F34" i="157"/>
  <c r="F13" i="157"/>
  <c r="G13" i="157"/>
  <c r="G21" i="157"/>
  <c r="F21" i="157"/>
  <c r="F19" i="157"/>
  <c r="G19" i="157"/>
  <c r="F15" i="157"/>
  <c r="G15" i="157"/>
  <c r="F20" i="157"/>
  <c r="G20" i="157"/>
  <c r="G10" i="157"/>
  <c r="F10" i="157"/>
  <c r="G26" i="157"/>
  <c r="F26" i="157"/>
  <c r="F35" i="157"/>
  <c r="G35" i="157"/>
  <c r="F18" i="157"/>
  <c r="G18" i="157"/>
  <c r="F36" i="157"/>
  <c r="G36" i="157"/>
  <c r="F24" i="157"/>
  <c r="G24" i="157"/>
  <c r="F25" i="157"/>
  <c r="G25" i="157"/>
  <c r="F16" i="157"/>
  <c r="G16" i="157"/>
  <c r="F38" i="157"/>
  <c r="G38" i="157"/>
  <c r="F22" i="157"/>
  <c r="G22" i="157"/>
  <c r="F7" i="157"/>
  <c r="G7" i="157"/>
  <c r="G17" i="157"/>
  <c r="F17" i="157"/>
  <c r="G14" i="157"/>
  <c r="F14" i="157"/>
  <c r="G28" i="157"/>
  <c r="F28" i="157"/>
  <c r="F11" i="157"/>
  <c r="G11" i="157"/>
  <c r="G33" i="157"/>
  <c r="F33" i="157"/>
  <c r="F27" i="157"/>
  <c r="G27" i="157"/>
  <c r="G29" i="157"/>
  <c r="F29" i="157"/>
  <c r="F30" i="157"/>
  <c r="G30" i="157"/>
  <c r="G39" i="157"/>
  <c r="F39" i="157"/>
  <c r="G23" i="157"/>
  <c r="F23" i="157"/>
  <c r="F12" i="157"/>
  <c r="G12" i="157"/>
  <c r="F41" i="157" l="1"/>
  <c r="G41" i="157"/>
  <c r="H7" i="157" l="1"/>
  <c r="H18" i="157"/>
  <c r="H31" i="157"/>
  <c r="H39" i="157"/>
  <c r="H14" i="157"/>
  <c r="H12" i="157"/>
  <c r="H11" i="157"/>
  <c r="H37" i="157"/>
  <c r="H30" i="157"/>
  <c r="H17" i="157"/>
  <c r="H28" i="157"/>
  <c r="H27" i="157"/>
  <c r="H9" i="157"/>
  <c r="H15" i="157"/>
  <c r="H6" i="157"/>
  <c r="H25" i="157"/>
  <c r="H29" i="157"/>
  <c r="H38" i="157"/>
  <c r="H36" i="157"/>
  <c r="H33" i="157"/>
  <c r="H32" i="157"/>
  <c r="H34" i="157"/>
  <c r="H8" i="157"/>
  <c r="H26" i="157"/>
  <c r="H19" i="157"/>
  <c r="H20" i="157"/>
  <c r="H10" i="157"/>
  <c r="H13" i="157"/>
  <c r="H16" i="157"/>
  <c r="H35" i="157"/>
  <c r="H21" i="157"/>
  <c r="H23" i="157"/>
  <c r="H24" i="157"/>
  <c r="H22" i="157"/>
  <c r="I37" i="157" l="1"/>
  <c r="I11" i="157"/>
  <c r="I12" i="157"/>
  <c r="I23" i="157"/>
  <c r="I8" i="157"/>
  <c r="I14" i="157"/>
  <c r="H41" i="157"/>
  <c r="I6" i="157"/>
  <c r="I32" i="157"/>
  <c r="I33" i="157"/>
  <c r="I27" i="157"/>
  <c r="I39" i="157"/>
  <c r="I25" i="157"/>
  <c r="I34" i="157"/>
  <c r="I16" i="157"/>
  <c r="I36" i="157"/>
  <c r="I28" i="157"/>
  <c r="I31" i="157"/>
  <c r="I26" i="157"/>
  <c r="I35" i="157"/>
  <c r="I9" i="157"/>
  <c r="I20" i="157"/>
  <c r="I38" i="157"/>
  <c r="I17" i="157"/>
  <c r="I18" i="157"/>
  <c r="I21" i="157"/>
  <c r="I15" i="157"/>
  <c r="I13" i="157"/>
  <c r="I10" i="157"/>
  <c r="I22" i="157"/>
  <c r="I24" i="157"/>
  <c r="I19" i="157"/>
  <c r="I29" i="157"/>
  <c r="I30" i="157"/>
  <c r="I7" i="157"/>
  <c r="F23" i="158" l="1"/>
  <c r="G23" i="158"/>
  <c r="F19" i="158"/>
  <c r="G19" i="158"/>
  <c r="G13" i="158"/>
  <c r="F13" i="158"/>
  <c r="G17" i="158"/>
  <c r="F17" i="158"/>
  <c r="G35" i="158"/>
  <c r="F35" i="158"/>
  <c r="F36" i="158"/>
  <c r="G36" i="158"/>
  <c r="G39" i="158"/>
  <c r="F39" i="158"/>
  <c r="I41" i="157"/>
  <c r="G6" i="158"/>
  <c r="F6" i="158"/>
  <c r="F12" i="158"/>
  <c r="G12" i="158"/>
  <c r="G7" i="158"/>
  <c r="F7" i="158"/>
  <c r="F24" i="158"/>
  <c r="G24" i="158"/>
  <c r="G15" i="158"/>
  <c r="F15" i="158"/>
  <c r="G38" i="158"/>
  <c r="F38" i="158"/>
  <c r="F26" i="158"/>
  <c r="G26" i="158"/>
  <c r="G16" i="158"/>
  <c r="F16" i="158"/>
  <c r="G27" i="158"/>
  <c r="F27" i="158"/>
  <c r="F14" i="158"/>
  <c r="G14" i="158"/>
  <c r="G11" i="158"/>
  <c r="F11" i="158"/>
  <c r="G30" i="158"/>
  <c r="F30" i="158"/>
  <c r="G22" i="158"/>
  <c r="F22" i="158"/>
  <c r="G21" i="158"/>
  <c r="F21" i="158"/>
  <c r="F20" i="158"/>
  <c r="G20" i="158"/>
  <c r="F31" i="158"/>
  <c r="G31" i="158"/>
  <c r="F34" i="158"/>
  <c r="G34" i="158"/>
  <c r="F33" i="158"/>
  <c r="G33" i="158"/>
  <c r="F8" i="158"/>
  <c r="G8" i="158"/>
  <c r="F37" i="158"/>
  <c r="G37" i="158"/>
  <c r="F29" i="158"/>
  <c r="G29" i="158"/>
  <c r="F10" i="158"/>
  <c r="G10" i="158"/>
  <c r="G9" i="158"/>
  <c r="F9" i="158"/>
  <c r="G28" i="158"/>
  <c r="F28" i="158"/>
  <c r="G25" i="158"/>
  <c r="F25" i="158"/>
  <c r="F32" i="158"/>
  <c r="G32" i="158"/>
  <c r="AC18" i="158" l="1"/>
  <c r="K18" i="158"/>
  <c r="AB18" i="158"/>
  <c r="P18" i="158"/>
  <c r="P19" i="164" l="1"/>
  <c r="P41" i="158"/>
  <c r="AB41" i="158"/>
  <c r="AB19" i="164"/>
  <c r="AB42" i="164" s="1"/>
  <c r="M18" i="158"/>
  <c r="N18" i="158"/>
  <c r="O18" i="158"/>
  <c r="K41" i="158"/>
  <c r="K19" i="164"/>
  <c r="K42" i="164" s="1"/>
  <c r="AC41" i="158"/>
  <c r="AC19" i="164"/>
  <c r="AC42" i="164" s="1"/>
  <c r="L18" i="158" l="1"/>
  <c r="L41" i="158" s="1"/>
  <c r="O41" i="158"/>
  <c r="O19" i="164"/>
  <c r="N41" i="158"/>
  <c r="N19" i="164"/>
  <c r="M41" i="158"/>
  <c r="M19" i="164"/>
  <c r="H18" i="165"/>
  <c r="H41" i="165" s="1"/>
  <c r="P42" i="164"/>
  <c r="L19" i="164" l="1"/>
  <c r="D18" i="165" s="1"/>
  <c r="D41" i="165" s="1"/>
  <c r="G18" i="158"/>
  <c r="G41" i="158" s="1"/>
  <c r="H22" i="158" s="1"/>
  <c r="F18" i="158"/>
  <c r="F41" i="158" s="1"/>
  <c r="F18" i="165"/>
  <c r="F41" i="165" s="1"/>
  <c r="N42" i="164"/>
  <c r="G18" i="165"/>
  <c r="G41" i="165" s="1"/>
  <c r="O42" i="164"/>
  <c r="E18" i="165"/>
  <c r="E41" i="165" s="1"/>
  <c r="M42" i="164"/>
  <c r="H34" i="158" l="1"/>
  <c r="I34" i="158" s="1"/>
  <c r="H39" i="158"/>
  <c r="I39" i="158" s="1"/>
  <c r="H30" i="158"/>
  <c r="I30" i="158" s="1"/>
  <c r="H28" i="158"/>
  <c r="I28" i="158" s="1"/>
  <c r="L42" i="164"/>
  <c r="H13" i="158"/>
  <c r="I13" i="158" s="1"/>
  <c r="H38" i="158"/>
  <c r="I38" i="158" s="1"/>
  <c r="H19" i="158"/>
  <c r="I19" i="158" s="1"/>
  <c r="H17" i="158"/>
  <c r="I17" i="158" s="1"/>
  <c r="H23" i="158"/>
  <c r="I23" i="158" s="1"/>
  <c r="H35" i="158"/>
  <c r="I35" i="158" s="1"/>
  <c r="H15" i="158"/>
  <c r="I15" i="158" s="1"/>
  <c r="H16" i="158"/>
  <c r="I16" i="158" s="1"/>
  <c r="H25" i="158"/>
  <c r="I25" i="158" s="1"/>
  <c r="H20" i="158"/>
  <c r="I20" i="158" s="1"/>
  <c r="H10" i="158"/>
  <c r="I10" i="158" s="1"/>
  <c r="H24" i="158"/>
  <c r="I24" i="158" s="1"/>
  <c r="H9" i="158"/>
  <c r="I9" i="158" s="1"/>
  <c r="H8" i="158"/>
  <c r="I8" i="158" s="1"/>
  <c r="H37" i="158"/>
  <c r="I37" i="158" s="1"/>
  <c r="H36" i="158"/>
  <c r="I36" i="158" s="1"/>
  <c r="H29" i="158"/>
  <c r="I29" i="158" s="1"/>
  <c r="H31" i="158"/>
  <c r="I31" i="158" s="1"/>
  <c r="H26" i="158"/>
  <c r="I26" i="158" s="1"/>
  <c r="H7" i="158"/>
  <c r="I7" i="158" s="1"/>
  <c r="H32" i="158"/>
  <c r="I32" i="158" s="1"/>
  <c r="H18" i="158"/>
  <c r="I18" i="158" s="1"/>
  <c r="H11" i="158"/>
  <c r="I11" i="158" s="1"/>
  <c r="H6" i="158"/>
  <c r="H21" i="158"/>
  <c r="I21" i="158" s="1"/>
  <c r="H14" i="158"/>
  <c r="I14" i="158" s="1"/>
  <c r="H33" i="158"/>
  <c r="I33" i="158" s="1"/>
  <c r="H27" i="158"/>
  <c r="I27" i="158" s="1"/>
  <c r="H12" i="158"/>
  <c r="I12" i="158" s="1"/>
  <c r="I22" i="158"/>
  <c r="H41" i="158" l="1"/>
  <c r="I6" i="158"/>
  <c r="I41" i="158" s="1"/>
  <c r="F30" i="159"/>
  <c r="G30" i="159"/>
  <c r="G39" i="159"/>
  <c r="F39" i="159"/>
  <c r="G10" i="159"/>
  <c r="F10" i="159"/>
  <c r="G22" i="159"/>
  <c r="F22" i="159"/>
  <c r="F18" i="159"/>
  <c r="G18" i="159"/>
  <c r="F23" i="159"/>
  <c r="G23" i="159"/>
  <c r="G19" i="159"/>
  <c r="F19" i="159"/>
  <c r="F26" i="159"/>
  <c r="G26" i="159"/>
  <c r="F27" i="159"/>
  <c r="G27" i="159"/>
  <c r="F14" i="159"/>
  <c r="G14" i="159"/>
  <c r="F21" i="159"/>
  <c r="G21" i="159"/>
  <c r="G8" i="159"/>
  <c r="F8" i="159"/>
  <c r="F29" i="159"/>
  <c r="G29" i="159"/>
  <c r="G12" i="159"/>
  <c r="F12" i="159"/>
  <c r="G17" i="159"/>
  <c r="F17" i="159"/>
  <c r="G25" i="159"/>
  <c r="F25" i="159"/>
  <c r="G13" i="159"/>
  <c r="F13" i="159"/>
  <c r="F33" i="159"/>
  <c r="G33" i="159"/>
  <c r="G34" i="159"/>
  <c r="F34" i="159"/>
  <c r="G9" i="159"/>
  <c r="F9" i="159"/>
  <c r="F6" i="159"/>
  <c r="F32" i="159"/>
  <c r="G32" i="159"/>
  <c r="G31" i="159"/>
  <c r="F31" i="159"/>
  <c r="F36" i="159"/>
  <c r="G36" i="159"/>
  <c r="F15" i="159"/>
  <c r="G15" i="159"/>
  <c r="G38" i="159"/>
  <c r="F38" i="159"/>
  <c r="F16" i="159"/>
  <c r="G16" i="159"/>
  <c r="F28" i="159"/>
  <c r="G28" i="159"/>
  <c r="F24" i="159"/>
  <c r="G24" i="159"/>
  <c r="F7" i="159"/>
  <c r="G7" i="159"/>
  <c r="F37" i="159"/>
  <c r="G37" i="159"/>
  <c r="F35" i="159"/>
  <c r="G35" i="159"/>
  <c r="F11" i="159"/>
  <c r="G11" i="159"/>
  <c r="F20" i="159"/>
  <c r="G20" i="159"/>
  <c r="G6" i="159" l="1"/>
  <c r="G41" i="159" s="1"/>
  <c r="F41" i="159"/>
  <c r="H23" i="159" l="1"/>
  <c r="H13" i="159"/>
  <c r="H17" i="159"/>
  <c r="H19" i="159"/>
  <c r="H16" i="159"/>
  <c r="H21" i="159"/>
  <c r="H26" i="159"/>
  <c r="H36" i="159"/>
  <c r="H32" i="159"/>
  <c r="H14" i="159"/>
  <c r="H9" i="159"/>
  <c r="H6" i="159"/>
  <c r="H20" i="159"/>
  <c r="H7" i="159"/>
  <c r="H12" i="159"/>
  <c r="H33" i="159"/>
  <c r="H25" i="159"/>
  <c r="H18" i="159"/>
  <c r="H38" i="159"/>
  <c r="H11" i="159"/>
  <c r="H35" i="159"/>
  <c r="H30" i="159"/>
  <c r="H34" i="159"/>
  <c r="H28" i="159"/>
  <c r="H22" i="159"/>
  <c r="H29" i="159"/>
  <c r="H37" i="159"/>
  <c r="H8" i="159"/>
  <c r="H10" i="159"/>
  <c r="H31" i="159"/>
  <c r="H15" i="159"/>
  <c r="H24" i="159"/>
  <c r="H27" i="159"/>
  <c r="H39" i="159"/>
  <c r="I24" i="159" l="1"/>
  <c r="I28" i="159"/>
  <c r="I33" i="159"/>
  <c r="I36" i="159"/>
  <c r="I12" i="159"/>
  <c r="I26" i="159"/>
  <c r="I15" i="159"/>
  <c r="I31" i="159"/>
  <c r="I7" i="159"/>
  <c r="I21" i="159"/>
  <c r="I10" i="159"/>
  <c r="I35" i="159"/>
  <c r="I20" i="159"/>
  <c r="I16" i="159"/>
  <c r="I8" i="159"/>
  <c r="I11" i="159"/>
  <c r="H41" i="159"/>
  <c r="I6" i="159"/>
  <c r="I19" i="159"/>
  <c r="I37" i="159"/>
  <c r="I38" i="159"/>
  <c r="I9" i="159"/>
  <c r="I17" i="159"/>
  <c r="I34" i="159"/>
  <c r="I30" i="159"/>
  <c r="I39" i="159"/>
  <c r="I29" i="159"/>
  <c r="I18" i="159"/>
  <c r="I14" i="159"/>
  <c r="I13" i="159"/>
  <c r="I27" i="159"/>
  <c r="I22" i="159"/>
  <c r="I25" i="159"/>
  <c r="I32" i="159"/>
  <c r="I23" i="159"/>
  <c r="F11" i="160" l="1"/>
  <c r="G11" i="160"/>
  <c r="G35" i="160"/>
  <c r="F35" i="160"/>
  <c r="F31" i="160"/>
  <c r="G31" i="160"/>
  <c r="G36" i="160"/>
  <c r="F36" i="160"/>
  <c r="F23" i="160"/>
  <c r="G23" i="160"/>
  <c r="G27" i="160"/>
  <c r="F27" i="160"/>
  <c r="G29" i="160"/>
  <c r="F29" i="160"/>
  <c r="F17" i="160"/>
  <c r="G17" i="160"/>
  <c r="G8" i="160"/>
  <c r="F8" i="160"/>
  <c r="F10" i="160"/>
  <c r="G10" i="160"/>
  <c r="G15" i="160"/>
  <c r="F15" i="160"/>
  <c r="F33" i="160"/>
  <c r="G33" i="160"/>
  <c r="G32" i="160"/>
  <c r="F32" i="160"/>
  <c r="G13" i="160"/>
  <c r="F13" i="160"/>
  <c r="F39" i="160"/>
  <c r="G39" i="160"/>
  <c r="G9" i="160"/>
  <c r="F9" i="160"/>
  <c r="G19" i="160"/>
  <c r="F19" i="160"/>
  <c r="G16" i="160"/>
  <c r="F16" i="160"/>
  <c r="F21" i="160"/>
  <c r="G21" i="160"/>
  <c r="G26" i="160"/>
  <c r="F26" i="160"/>
  <c r="G28" i="160"/>
  <c r="F28" i="160"/>
  <c r="G25" i="160"/>
  <c r="F25" i="160"/>
  <c r="G14" i="160"/>
  <c r="F14" i="160"/>
  <c r="G30" i="160"/>
  <c r="F30" i="160"/>
  <c r="G38" i="160"/>
  <c r="F38" i="160"/>
  <c r="F6" i="160"/>
  <c r="I41" i="159"/>
  <c r="G6" i="160"/>
  <c r="F20" i="160"/>
  <c r="G20" i="160"/>
  <c r="F7" i="160"/>
  <c r="G7" i="160"/>
  <c r="G12" i="160"/>
  <c r="F12" i="160"/>
  <c r="G24" i="160"/>
  <c r="F24" i="160"/>
  <c r="G22" i="160"/>
  <c r="F22" i="160"/>
  <c r="G18" i="160"/>
  <c r="F18" i="160"/>
  <c r="F34" i="160"/>
  <c r="G34" i="160"/>
  <c r="F37" i="160"/>
  <c r="G37" i="160"/>
  <c r="G41" i="160" l="1"/>
  <c r="F41" i="160"/>
  <c r="H10" i="160" l="1"/>
  <c r="H9" i="160"/>
  <c r="H25" i="160"/>
  <c r="H23" i="160"/>
  <c r="H14" i="160"/>
  <c r="H13" i="160"/>
  <c r="H34" i="160"/>
  <c r="H19" i="160"/>
  <c r="H30" i="160"/>
  <c r="H33" i="160"/>
  <c r="H21" i="160"/>
  <c r="H28" i="160"/>
  <c r="H29" i="160"/>
  <c r="H18" i="160"/>
  <c r="H15" i="160"/>
  <c r="H6" i="160"/>
  <c r="H35" i="160"/>
  <c r="H37" i="160"/>
  <c r="H20" i="160"/>
  <c r="H31" i="160"/>
  <c r="H39" i="160"/>
  <c r="H26" i="160"/>
  <c r="H7" i="160"/>
  <c r="H38" i="160"/>
  <c r="H24" i="160"/>
  <c r="H16" i="160"/>
  <c r="H8" i="160"/>
  <c r="H27" i="160"/>
  <c r="H12" i="160"/>
  <c r="H32" i="160"/>
  <c r="H36" i="160"/>
  <c r="H17" i="160"/>
  <c r="H11" i="160"/>
  <c r="H22" i="160"/>
  <c r="I19" i="160" l="1"/>
  <c r="I36" i="160"/>
  <c r="I7" i="160"/>
  <c r="I15" i="160"/>
  <c r="I34" i="160"/>
  <c r="H41" i="160"/>
  <c r="I6" i="160"/>
  <c r="I12" i="160"/>
  <c r="I39" i="160"/>
  <c r="I29" i="160"/>
  <c r="I14" i="160"/>
  <c r="I32" i="160"/>
  <c r="I27" i="160"/>
  <c r="I31" i="160"/>
  <c r="I28" i="160"/>
  <c r="I23" i="160"/>
  <c r="I13" i="160"/>
  <c r="I8" i="160"/>
  <c r="I20" i="160"/>
  <c r="I21" i="160"/>
  <c r="I25" i="160"/>
  <c r="I38" i="160"/>
  <c r="I18" i="160"/>
  <c r="I22" i="160"/>
  <c r="I16" i="160"/>
  <c r="I37" i="160"/>
  <c r="I33" i="160"/>
  <c r="I9" i="160"/>
  <c r="I17" i="160"/>
  <c r="I26" i="160"/>
  <c r="I11" i="160"/>
  <c r="I24" i="160"/>
  <c r="I35" i="160"/>
  <c r="I30" i="160"/>
  <c r="I10" i="160"/>
  <c r="G15" i="161" l="1"/>
  <c r="F15" i="161"/>
  <c r="G24" i="161"/>
  <c r="F24" i="161"/>
  <c r="G9" i="161"/>
  <c r="F9" i="161"/>
  <c r="G22" i="161"/>
  <c r="F22" i="161"/>
  <c r="G21" i="161"/>
  <c r="F21" i="161"/>
  <c r="G23" i="161"/>
  <c r="F23" i="161"/>
  <c r="G32" i="161"/>
  <c r="F32" i="161"/>
  <c r="F12" i="161"/>
  <c r="G12" i="161"/>
  <c r="G7" i="161"/>
  <c r="F7" i="161"/>
  <c r="F10" i="161"/>
  <c r="G10" i="161"/>
  <c r="F11" i="161"/>
  <c r="G11" i="161"/>
  <c r="G33" i="161"/>
  <c r="F33" i="161"/>
  <c r="G18" i="161"/>
  <c r="F18" i="161"/>
  <c r="F20" i="161"/>
  <c r="G20" i="161"/>
  <c r="G28" i="161"/>
  <c r="F28" i="161"/>
  <c r="F14" i="161"/>
  <c r="G14" i="161"/>
  <c r="F6" i="161"/>
  <c r="G6" i="161"/>
  <c r="I41" i="160"/>
  <c r="G36" i="161"/>
  <c r="F36" i="161"/>
  <c r="F30" i="161"/>
  <c r="G30" i="161"/>
  <c r="F26" i="161"/>
  <c r="G26" i="161"/>
  <c r="G37" i="161"/>
  <c r="F37" i="161"/>
  <c r="F38" i="161"/>
  <c r="G38" i="161"/>
  <c r="F8" i="161"/>
  <c r="G8" i="161"/>
  <c r="F31" i="161"/>
  <c r="G31" i="161"/>
  <c r="G29" i="161"/>
  <c r="F29" i="161"/>
  <c r="F34" i="161"/>
  <c r="G34" i="161"/>
  <c r="F19" i="161"/>
  <c r="G19" i="161"/>
  <c r="G35" i="161"/>
  <c r="F35" i="161"/>
  <c r="F17" i="161"/>
  <c r="G17" i="161"/>
  <c r="G16" i="161"/>
  <c r="F16" i="161"/>
  <c r="G25" i="161"/>
  <c r="F25" i="161"/>
  <c r="G13" i="161"/>
  <c r="F13" i="161"/>
  <c r="F27" i="161"/>
  <c r="G27" i="161"/>
  <c r="G39" i="161"/>
  <c r="F39" i="161"/>
  <c r="G41" i="161" l="1"/>
  <c r="F41" i="161"/>
  <c r="H26" i="161" l="1"/>
  <c r="H15" i="161"/>
  <c r="H22" i="161"/>
  <c r="H20" i="161"/>
  <c r="H18" i="161"/>
  <c r="H39" i="161"/>
  <c r="H19" i="161"/>
  <c r="H29" i="161"/>
  <c r="H7" i="161"/>
  <c r="H35" i="161"/>
  <c r="H8" i="161"/>
  <c r="H6" i="161"/>
  <c r="H37" i="161"/>
  <c r="H23" i="161"/>
  <c r="H32" i="161"/>
  <c r="H9" i="161"/>
  <c r="H27" i="161"/>
  <c r="H11" i="161"/>
  <c r="H14" i="161"/>
  <c r="H16" i="161"/>
  <c r="H17" i="161"/>
  <c r="H25" i="161"/>
  <c r="H31" i="161"/>
  <c r="H34" i="161"/>
  <c r="H24" i="161"/>
  <c r="H10" i="161"/>
  <c r="H12" i="161"/>
  <c r="H28" i="161"/>
  <c r="H38" i="161"/>
  <c r="H30" i="161"/>
  <c r="H33" i="161"/>
  <c r="H13" i="161"/>
  <c r="H36" i="161"/>
  <c r="H21" i="161"/>
  <c r="I31" i="161" l="1"/>
  <c r="I19" i="161"/>
  <c r="I34" i="161"/>
  <c r="I39" i="161"/>
  <c r="I9" i="161"/>
  <c r="I38" i="161"/>
  <c r="I18" i="161"/>
  <c r="I32" i="161"/>
  <c r="I16" i="161"/>
  <c r="H41" i="161"/>
  <c r="I6" i="161"/>
  <c r="I20" i="161"/>
  <c r="I29" i="161"/>
  <c r="I25" i="161"/>
  <c r="I37" i="161"/>
  <c r="I12" i="161"/>
  <c r="I14" i="161"/>
  <c r="I8" i="161"/>
  <c r="I22" i="161"/>
  <c r="I13" i="161"/>
  <c r="I30" i="161"/>
  <c r="I17" i="161"/>
  <c r="I21" i="161"/>
  <c r="I10" i="161"/>
  <c r="I11" i="161"/>
  <c r="I35" i="161"/>
  <c r="I15" i="161"/>
  <c r="I33" i="161"/>
  <c r="I23" i="161"/>
  <c r="I28" i="161"/>
  <c r="I36" i="161"/>
  <c r="I24" i="161"/>
  <c r="I27" i="161"/>
  <c r="I7" i="161"/>
  <c r="I26" i="161"/>
  <c r="G32" i="162" l="1"/>
  <c r="F32" i="162"/>
  <c r="G39" i="162"/>
  <c r="F39" i="162"/>
  <c r="G24" i="162"/>
  <c r="F24" i="162"/>
  <c r="G33" i="162"/>
  <c r="F33" i="162"/>
  <c r="G10" i="162"/>
  <c r="F10" i="162"/>
  <c r="F13" i="162"/>
  <c r="G13" i="162"/>
  <c r="G12" i="162"/>
  <c r="F12" i="162"/>
  <c r="F20" i="162"/>
  <c r="G20" i="162"/>
  <c r="F18" i="162"/>
  <c r="G18" i="162"/>
  <c r="F34" i="162"/>
  <c r="G34" i="162"/>
  <c r="G26" i="162"/>
  <c r="F26" i="162"/>
  <c r="F36" i="162"/>
  <c r="G36" i="162"/>
  <c r="F15" i="162"/>
  <c r="G15" i="162"/>
  <c r="G21" i="162"/>
  <c r="F21" i="162"/>
  <c r="G22" i="162"/>
  <c r="F22" i="162"/>
  <c r="G37" i="162"/>
  <c r="F37" i="162"/>
  <c r="I41" i="161"/>
  <c r="G6" i="162"/>
  <c r="F6" i="162"/>
  <c r="G38" i="162"/>
  <c r="F38" i="162"/>
  <c r="G19" i="162"/>
  <c r="F19" i="162"/>
  <c r="G7" i="162"/>
  <c r="F7" i="162"/>
  <c r="G28" i="162"/>
  <c r="F28" i="162"/>
  <c r="F35" i="162"/>
  <c r="G35" i="162"/>
  <c r="F17" i="162"/>
  <c r="G17" i="162"/>
  <c r="F8" i="162"/>
  <c r="G8" i="162"/>
  <c r="F25" i="162"/>
  <c r="G25" i="162"/>
  <c r="F16" i="162"/>
  <c r="G16" i="162"/>
  <c r="G9" i="162"/>
  <c r="F9" i="162"/>
  <c r="G31" i="162"/>
  <c r="F31" i="162"/>
  <c r="G27" i="162"/>
  <c r="F27" i="162"/>
  <c r="F23" i="162"/>
  <c r="G23" i="162"/>
  <c r="G11" i="162"/>
  <c r="F11" i="162"/>
  <c r="F30" i="162"/>
  <c r="G30" i="162"/>
  <c r="G14" i="162"/>
  <c r="F14" i="162"/>
  <c r="G29" i="162"/>
  <c r="F29" i="162"/>
  <c r="F41" i="162" l="1"/>
  <c r="G41" i="162"/>
  <c r="H34" i="162" l="1"/>
  <c r="H21" i="162"/>
  <c r="H35" i="162"/>
  <c r="H33" i="162"/>
  <c r="H11" i="162"/>
  <c r="H12" i="162"/>
  <c r="H26" i="162"/>
  <c r="H28" i="162"/>
  <c r="H37" i="162"/>
  <c r="H6" i="162"/>
  <c r="H30" i="162"/>
  <c r="H32" i="162"/>
  <c r="H24" i="162"/>
  <c r="H17" i="162"/>
  <c r="H38" i="162"/>
  <c r="H20" i="162"/>
  <c r="H23" i="162"/>
  <c r="H16" i="162"/>
  <c r="H25" i="162"/>
  <c r="H31" i="162"/>
  <c r="H15" i="162"/>
  <c r="H13" i="162"/>
  <c r="H18" i="162"/>
  <c r="H19" i="162"/>
  <c r="H10" i="162"/>
  <c r="H27" i="162"/>
  <c r="H39" i="162"/>
  <c r="H7" i="162"/>
  <c r="H29" i="162"/>
  <c r="H36" i="162"/>
  <c r="H14" i="162"/>
  <c r="H22" i="162"/>
  <c r="H9" i="162"/>
  <c r="H8" i="162"/>
  <c r="I14" i="162" l="1"/>
  <c r="I18" i="162"/>
  <c r="I38" i="162"/>
  <c r="I26" i="162"/>
  <c r="I13" i="162"/>
  <c r="I17" i="162"/>
  <c r="I12" i="162"/>
  <c r="I22" i="162"/>
  <c r="I24" i="162"/>
  <c r="I11" i="162"/>
  <c r="I7" i="162"/>
  <c r="I31" i="162"/>
  <c r="I32" i="162"/>
  <c r="I33" i="162"/>
  <c r="I19" i="162"/>
  <c r="I15" i="162"/>
  <c r="I39" i="162"/>
  <c r="I25" i="162"/>
  <c r="I30" i="162"/>
  <c r="I35" i="162"/>
  <c r="I28" i="162"/>
  <c r="I36" i="162"/>
  <c r="I8" i="162"/>
  <c r="I27" i="162"/>
  <c r="I16" i="162"/>
  <c r="H41" i="162"/>
  <c r="I6" i="162"/>
  <c r="I21" i="162"/>
  <c r="I20" i="162"/>
  <c r="I29" i="162"/>
  <c r="I9" i="162"/>
  <c r="I10" i="162"/>
  <c r="I23" i="162"/>
  <c r="I37" i="162"/>
  <c r="I34" i="162"/>
  <c r="F10" i="163" l="1"/>
  <c r="G10" i="163"/>
  <c r="G11" i="164" s="1"/>
  <c r="G21" i="163"/>
  <c r="G22" i="164" s="1"/>
  <c r="F21" i="163"/>
  <c r="F27" i="163"/>
  <c r="G27" i="163"/>
  <c r="G28" i="164" s="1"/>
  <c r="G35" i="163"/>
  <c r="G36" i="164" s="1"/>
  <c r="F35" i="163"/>
  <c r="F15" i="163"/>
  <c r="G15" i="163"/>
  <c r="G16" i="164" s="1"/>
  <c r="F31" i="163"/>
  <c r="G31" i="163"/>
  <c r="G32" i="164" s="1"/>
  <c r="F22" i="163"/>
  <c r="G22" i="163"/>
  <c r="G23" i="164" s="1"/>
  <c r="G26" i="163"/>
  <c r="G27" i="164" s="1"/>
  <c r="F26" i="163"/>
  <c r="F8" i="163"/>
  <c r="G8" i="163"/>
  <c r="G9" i="164" s="1"/>
  <c r="F30" i="163"/>
  <c r="G30" i="163"/>
  <c r="G31" i="164" s="1"/>
  <c r="G19" i="163"/>
  <c r="G20" i="164" s="1"/>
  <c r="F19" i="163"/>
  <c r="G7" i="163"/>
  <c r="G8" i="164" s="1"/>
  <c r="F7" i="163"/>
  <c r="F12" i="163"/>
  <c r="G12" i="163"/>
  <c r="G13" i="164" s="1"/>
  <c r="F38" i="163"/>
  <c r="G38" i="163"/>
  <c r="G39" i="164" s="1"/>
  <c r="F34" i="163"/>
  <c r="G34" i="163"/>
  <c r="G35" i="164" s="1"/>
  <c r="F9" i="163"/>
  <c r="G9" i="163"/>
  <c r="G10" i="164" s="1"/>
  <c r="G6" i="163"/>
  <c r="I41" i="162"/>
  <c r="F6" i="163"/>
  <c r="G36" i="163"/>
  <c r="G37" i="164" s="1"/>
  <c r="F36" i="163"/>
  <c r="F25" i="163"/>
  <c r="G25" i="163"/>
  <c r="G26" i="164" s="1"/>
  <c r="F33" i="163"/>
  <c r="G33" i="163"/>
  <c r="G34" i="164" s="1"/>
  <c r="F11" i="163"/>
  <c r="G11" i="163"/>
  <c r="G12" i="164" s="1"/>
  <c r="F17" i="163"/>
  <c r="G17" i="163"/>
  <c r="G18" i="164" s="1"/>
  <c r="F18" i="163"/>
  <c r="G18" i="163"/>
  <c r="G19" i="164" s="1"/>
  <c r="G37" i="163"/>
  <c r="G38" i="164" s="1"/>
  <c r="F37" i="163"/>
  <c r="G29" i="163"/>
  <c r="G30" i="164" s="1"/>
  <c r="F29" i="163"/>
  <c r="F16" i="163"/>
  <c r="G16" i="163"/>
  <c r="G17" i="164" s="1"/>
  <c r="F28" i="163"/>
  <c r="G28" i="163"/>
  <c r="G29" i="164" s="1"/>
  <c r="G39" i="163"/>
  <c r="G40" i="164" s="1"/>
  <c r="F39" i="163"/>
  <c r="G32" i="163"/>
  <c r="G33" i="164" s="1"/>
  <c r="F32" i="163"/>
  <c r="F24" i="163"/>
  <c r="G24" i="163"/>
  <c r="G25" i="164" s="1"/>
  <c r="G13" i="163"/>
  <c r="G14" i="164" s="1"/>
  <c r="F13" i="163"/>
  <c r="G14" i="163"/>
  <c r="G15" i="164" s="1"/>
  <c r="F14" i="163"/>
  <c r="G23" i="163"/>
  <c r="G24" i="164" s="1"/>
  <c r="F23" i="163"/>
  <c r="G20" i="163"/>
  <c r="G21" i="164" s="1"/>
  <c r="F20" i="163"/>
  <c r="F10" i="164" l="1"/>
  <c r="F29" i="164"/>
  <c r="F19" i="164"/>
  <c r="F26" i="164"/>
  <c r="F20" i="164"/>
  <c r="F37" i="164"/>
  <c r="F35" i="164"/>
  <c r="F23" i="164"/>
  <c r="F28" i="164"/>
  <c r="F34" i="164"/>
  <c r="F25" i="164"/>
  <c r="F17" i="164"/>
  <c r="F18" i="164"/>
  <c r="F22" i="164"/>
  <c r="F8" i="164"/>
  <c r="F14" i="164"/>
  <c r="F24" i="164"/>
  <c r="F33" i="164"/>
  <c r="F30" i="164"/>
  <c r="F7" i="164"/>
  <c r="F41" i="163"/>
  <c r="F39" i="164"/>
  <c r="F31" i="164"/>
  <c r="F32" i="164"/>
  <c r="F27" i="164"/>
  <c r="F12" i="164"/>
  <c r="F36" i="164"/>
  <c r="F21" i="164"/>
  <c r="F15" i="164"/>
  <c r="F40" i="164"/>
  <c r="F38" i="164"/>
  <c r="G41" i="163"/>
  <c r="G7" i="164"/>
  <c r="G42" i="164" s="1"/>
  <c r="F13" i="164"/>
  <c r="F9" i="164"/>
  <c r="F16" i="164"/>
  <c r="F11" i="164"/>
  <c r="F42" i="164" l="1"/>
  <c r="H9" i="163"/>
  <c r="H21" i="163"/>
  <c r="H34" i="163"/>
  <c r="H13" i="163"/>
  <c r="H8" i="163"/>
  <c r="H16" i="163"/>
  <c r="H22" i="163"/>
  <c r="H11" i="163"/>
  <c r="H28" i="163"/>
  <c r="H32" i="163"/>
  <c r="H26" i="163"/>
  <c r="H15" i="163"/>
  <c r="H14" i="163"/>
  <c r="H36" i="163"/>
  <c r="H18" i="163"/>
  <c r="H10" i="163"/>
  <c r="H7" i="163"/>
  <c r="H20" i="163"/>
  <c r="H29" i="163"/>
  <c r="H17" i="163"/>
  <c r="H31" i="163"/>
  <c r="H33" i="163"/>
  <c r="H27" i="163"/>
  <c r="H6" i="163"/>
  <c r="H24" i="163"/>
  <c r="H30" i="163"/>
  <c r="H37" i="163"/>
  <c r="H39" i="163"/>
  <c r="H23" i="163"/>
  <c r="H35" i="163"/>
  <c r="H12" i="163"/>
  <c r="H38" i="163"/>
  <c r="H19" i="163"/>
  <c r="H25" i="163"/>
  <c r="H13" i="164" l="1"/>
  <c r="I12" i="163"/>
  <c r="H36" i="164"/>
  <c r="I35" i="163"/>
  <c r="H34" i="164"/>
  <c r="I33" i="163"/>
  <c r="H37" i="164"/>
  <c r="I36" i="163"/>
  <c r="H17" i="164"/>
  <c r="I16" i="163"/>
  <c r="H24" i="164"/>
  <c r="I23" i="163"/>
  <c r="H32" i="164"/>
  <c r="I31" i="163"/>
  <c r="H15" i="164"/>
  <c r="I14" i="163"/>
  <c r="H9" i="164"/>
  <c r="I8" i="163"/>
  <c r="H28" i="164"/>
  <c r="I27" i="163"/>
  <c r="H40" i="164"/>
  <c r="I39" i="163"/>
  <c r="H18" i="164"/>
  <c r="I17" i="163"/>
  <c r="H16" i="164"/>
  <c r="I15" i="163"/>
  <c r="H14" i="164"/>
  <c r="I13" i="163"/>
  <c r="H23" i="164"/>
  <c r="I22" i="163"/>
  <c r="H38" i="164"/>
  <c r="I37" i="163"/>
  <c r="H30" i="164"/>
  <c r="I29" i="163"/>
  <c r="H27" i="164"/>
  <c r="I26" i="163"/>
  <c r="H35" i="164"/>
  <c r="I34" i="163"/>
  <c r="H26" i="164"/>
  <c r="I25" i="163"/>
  <c r="H31" i="164"/>
  <c r="I30" i="163"/>
  <c r="H21" i="164"/>
  <c r="I20" i="163"/>
  <c r="H33" i="164"/>
  <c r="I32" i="163"/>
  <c r="H22" i="164"/>
  <c r="I21" i="163"/>
  <c r="H19" i="164"/>
  <c r="I18" i="163"/>
  <c r="H20" i="164"/>
  <c r="I19" i="163"/>
  <c r="H25" i="164"/>
  <c r="I24" i="163"/>
  <c r="H8" i="164"/>
  <c r="I7" i="163"/>
  <c r="H29" i="164"/>
  <c r="I28" i="163"/>
  <c r="H10" i="164"/>
  <c r="I9" i="163"/>
  <c r="H39" i="164"/>
  <c r="I38" i="163"/>
  <c r="H41" i="163"/>
  <c r="H7" i="164"/>
  <c r="I6" i="163"/>
  <c r="H11" i="164"/>
  <c r="I10" i="163"/>
  <c r="H12" i="164"/>
  <c r="I11" i="163"/>
  <c r="I41" i="163" l="1"/>
  <c r="I22" i="164"/>
  <c r="I26" i="164"/>
  <c r="I18" i="164"/>
  <c r="I37" i="164"/>
  <c r="I29" i="164"/>
  <c r="I8" i="164"/>
  <c r="I38" i="164"/>
  <c r="I15" i="164"/>
  <c r="I25" i="164"/>
  <c r="I35" i="164"/>
  <c r="I23" i="164"/>
  <c r="I32" i="164"/>
  <c r="I34" i="164"/>
  <c r="I39" i="164"/>
  <c r="I33" i="164"/>
  <c r="I40" i="164"/>
  <c r="I12" i="164"/>
  <c r="I10" i="164"/>
  <c r="I21" i="164"/>
  <c r="I14" i="164"/>
  <c r="I24" i="164"/>
  <c r="I36" i="164"/>
  <c r="I20" i="164"/>
  <c r="I27" i="164"/>
  <c r="I28" i="164"/>
  <c r="I11" i="164"/>
  <c r="I19" i="164"/>
  <c r="I31" i="164"/>
  <c r="I30" i="164"/>
  <c r="I16" i="164"/>
  <c r="I9" i="164"/>
  <c r="I17" i="164"/>
  <c r="I13" i="164"/>
  <c r="H42" i="164"/>
  <c r="I7" i="164"/>
  <c r="I42" i="164" l="1"/>
  <c r="C33" i="185" l="1"/>
  <c r="C38" i="185"/>
  <c r="C7" i="168"/>
  <c r="C7" i="186" s="1"/>
  <c r="C44" i="186" s="1"/>
  <c r="G42" i="168" l="1"/>
  <c r="C42" i="185"/>
  <c r="G29" i="168"/>
  <c r="C29" i="185"/>
  <c r="G37" i="168"/>
  <c r="C37" i="185"/>
  <c r="G36" i="168"/>
  <c r="C36" i="185"/>
  <c r="G41" i="168"/>
  <c r="C41" i="185"/>
  <c r="F7" i="168"/>
  <c r="G7" i="168" s="1"/>
  <c r="C7" i="185"/>
  <c r="G6" i="168" l="1"/>
  <c r="C34" i="185" l="1"/>
  <c r="C10" i="185"/>
  <c r="C19" i="185"/>
  <c r="C14" i="185"/>
  <c r="C23" i="185"/>
  <c r="G14" i="168" l="1"/>
  <c r="G40" i="168"/>
  <c r="C40" i="185" l="1"/>
  <c r="C24" i="185"/>
  <c r="G24" i="168"/>
  <c r="G21" i="168"/>
  <c r="C21" i="185"/>
  <c r="C28" i="185"/>
  <c r="C18" i="185"/>
  <c r="C39" i="185"/>
  <c r="C12" i="185"/>
  <c r="G19" i="168"/>
  <c r="C27" i="185"/>
  <c r="C31" i="185"/>
  <c r="C26" i="185"/>
  <c r="C13" i="185"/>
  <c r="C35" i="185"/>
  <c r="G34" i="168"/>
  <c r="C30" i="185"/>
  <c r="C32" i="185"/>
  <c r="C16" i="185"/>
  <c r="C25" i="185"/>
  <c r="C22" i="185"/>
  <c r="C9" i="185"/>
  <c r="C44" i="168"/>
  <c r="C8" i="185"/>
  <c r="G23" i="168"/>
  <c r="C11" i="185"/>
  <c r="C17" i="185"/>
  <c r="G10" i="168"/>
  <c r="G12" i="168" l="1"/>
  <c r="F44" i="168"/>
  <c r="G8" i="168"/>
  <c r="G31" i="168"/>
  <c r="G17" i="168"/>
  <c r="G16" i="168"/>
  <c r="G35" i="168"/>
  <c r="G27" i="168"/>
  <c r="G39" i="168"/>
  <c r="G11" i="168"/>
  <c r="G18" i="168"/>
  <c r="G32" i="168"/>
  <c r="G13" i="168"/>
  <c r="C44" i="185"/>
  <c r="G22" i="168"/>
  <c r="G30" i="168"/>
  <c r="G25" i="168"/>
  <c r="G9" i="168"/>
  <c r="G26" i="168"/>
  <c r="G28" i="168"/>
  <c r="G44" i="168" l="1"/>
  <c r="AF6" i="175" l="1"/>
  <c r="AF44" i="175" l="1"/>
  <c r="AH6" i="179" l="1"/>
  <c r="AH6" i="180"/>
  <c r="AH44" i="179" l="1"/>
  <c r="AH6" i="186"/>
  <c r="AH44" i="186" s="1"/>
  <c r="AH44" i="180"/>
  <c r="AH6" i="185"/>
  <c r="AH44" i="185" s="1"/>
  <c r="AF6" i="180" l="1"/>
  <c r="AF6" i="186" s="1"/>
  <c r="AF44" i="186" s="1"/>
  <c r="AF44" i="180" l="1"/>
  <c r="AF6" i="185"/>
  <c r="AF44" i="185" s="1"/>
  <c r="H10" i="168" l="1"/>
  <c r="H22" i="168"/>
  <c r="H9" i="168"/>
  <c r="H19" i="168"/>
  <c r="H32" i="168"/>
  <c r="H14" i="168"/>
  <c r="H27" i="168"/>
  <c r="H34" i="168"/>
  <c r="H17" i="168"/>
  <c r="H40" i="168"/>
  <c r="H28" i="168"/>
  <c r="H23" i="168"/>
  <c r="H39" i="168"/>
  <c r="H26" i="168"/>
  <c r="H18" i="168"/>
  <c r="H8" i="168"/>
  <c r="H35" i="168"/>
  <c r="H13" i="168"/>
  <c r="H31" i="168"/>
  <c r="H16" i="168"/>
  <c r="H21" i="168"/>
  <c r="H24" i="168"/>
  <c r="H12" i="168"/>
  <c r="H25" i="168"/>
  <c r="H30" i="168"/>
  <c r="H11" i="168"/>
  <c r="H7" i="168"/>
  <c r="H33" i="168"/>
  <c r="H29" i="168"/>
  <c r="H36" i="168"/>
  <c r="H37" i="168"/>
  <c r="H38" i="168"/>
  <c r="H42" i="168"/>
  <c r="H6" i="168"/>
  <c r="H41" i="168"/>
  <c r="I38" i="168" l="1"/>
  <c r="I25" i="168"/>
  <c r="I8" i="168"/>
  <c r="I34" i="168"/>
  <c r="I37" i="168"/>
  <c r="I12" i="168"/>
  <c r="I18" i="168"/>
  <c r="I27" i="168"/>
  <c r="I36" i="168"/>
  <c r="I24" i="168"/>
  <c r="I26" i="168"/>
  <c r="I14" i="168"/>
  <c r="I21" i="168"/>
  <c r="I39" i="168"/>
  <c r="I32" i="168"/>
  <c r="I29" i="168"/>
  <c r="I33" i="168"/>
  <c r="I16" i="168"/>
  <c r="I23" i="168"/>
  <c r="I19" i="168"/>
  <c r="I41" i="168"/>
  <c r="I7" i="168"/>
  <c r="I31" i="168"/>
  <c r="I28" i="168"/>
  <c r="I9" i="168"/>
  <c r="I11" i="168"/>
  <c r="I13" i="168"/>
  <c r="I40" i="168"/>
  <c r="I22" i="168"/>
  <c r="I42" i="168"/>
  <c r="I30" i="168"/>
  <c r="I35" i="168"/>
  <c r="I17" i="168"/>
  <c r="I10" i="168"/>
  <c r="H44" i="168"/>
  <c r="I6" i="168"/>
  <c r="F6" i="166"/>
  <c r="I44" i="168" l="1"/>
  <c r="G6" i="166"/>
  <c r="T12" i="181"/>
  <c r="T12" i="186" l="1"/>
  <c r="T44" i="186" s="1"/>
  <c r="T12" i="185"/>
  <c r="T44" i="181"/>
  <c r="T44" i="185" l="1"/>
  <c r="P7" i="182" l="1"/>
  <c r="P10" i="180"/>
  <c r="P8" i="178"/>
  <c r="P16" i="179"/>
  <c r="P12" i="181"/>
  <c r="P24" i="181"/>
  <c r="P24" i="178"/>
  <c r="P27" i="179"/>
  <c r="P23" i="181"/>
  <c r="P12" i="183"/>
  <c r="P16" i="178"/>
  <c r="P13" i="180"/>
  <c r="P8" i="181"/>
  <c r="P15" i="182"/>
  <c r="P11" i="182"/>
  <c r="P18" i="182"/>
  <c r="P40" i="182"/>
  <c r="P26" i="182"/>
  <c r="P14" i="182"/>
  <c r="P42" i="183"/>
  <c r="P39" i="179"/>
  <c r="P42" i="180"/>
  <c r="P29" i="180"/>
  <c r="P37" i="180"/>
  <c r="P23" i="178"/>
  <c r="P27" i="177"/>
  <c r="P30" i="177"/>
  <c r="P6" i="182" l="1"/>
  <c r="K12" i="181"/>
  <c r="K16" i="179"/>
  <c r="K12" i="183"/>
  <c r="K23" i="181"/>
  <c r="K40" i="182"/>
  <c r="K30" i="177"/>
  <c r="K8" i="178"/>
  <c r="AC30" i="177"/>
  <c r="K37" i="180"/>
  <c r="K24" i="181"/>
  <c r="K18" i="182"/>
  <c r="K14" i="182"/>
  <c r="K16" i="178"/>
  <c r="K27" i="179"/>
  <c r="K39" i="179"/>
  <c r="K24" i="178"/>
  <c r="K15" i="182"/>
  <c r="K10" i="180"/>
  <c r="K23" i="178"/>
  <c r="K42" i="183"/>
  <c r="K27" i="177"/>
  <c r="AB30" i="177"/>
  <c r="K7" i="182"/>
  <c r="K11" i="182"/>
  <c r="K29" i="180"/>
  <c r="K13" i="180"/>
  <c r="P7" i="183"/>
  <c r="P11" i="181"/>
  <c r="P32" i="181"/>
  <c r="P38" i="181"/>
  <c r="P14" i="181"/>
  <c r="P9" i="181"/>
  <c r="P34" i="181"/>
  <c r="P22" i="181"/>
  <c r="P7" i="181"/>
  <c r="P9" i="180"/>
  <c r="P26" i="180"/>
  <c r="P22" i="180"/>
  <c r="P7" i="180"/>
  <c r="P9" i="179"/>
  <c r="P7" i="179"/>
  <c r="P12" i="177"/>
  <c r="P9" i="178"/>
  <c r="P7" i="178"/>
  <c r="P9" i="177"/>
  <c r="P13" i="177"/>
  <c r="P7" i="177"/>
  <c r="P33" i="179"/>
  <c r="P29" i="181"/>
  <c r="P13" i="179"/>
  <c r="P33" i="182"/>
  <c r="P36" i="178"/>
  <c r="P34" i="179"/>
  <c r="P31" i="179"/>
  <c r="P21" i="178"/>
  <c r="P28" i="178"/>
  <c r="P13" i="183"/>
  <c r="P36" i="177"/>
  <c r="P28" i="182"/>
  <c r="P37" i="181"/>
  <c r="P27" i="180"/>
  <c r="P29" i="182"/>
  <c r="P15" i="183"/>
  <c r="P21" i="183"/>
  <c r="P38" i="180"/>
  <c r="P28" i="177"/>
  <c r="P14" i="179"/>
  <c r="P21" i="181"/>
  <c r="P13" i="182"/>
  <c r="P42" i="177"/>
  <c r="P40" i="179"/>
  <c r="P29" i="183"/>
  <c r="P17" i="182"/>
  <c r="P28" i="181"/>
  <c r="P24" i="180"/>
  <c r="P17" i="180"/>
  <c r="P25" i="179"/>
  <c r="P30" i="183"/>
  <c r="P23" i="177"/>
  <c r="P42" i="178"/>
  <c r="P15" i="178"/>
  <c r="P21" i="177"/>
  <c r="P24" i="179"/>
  <c r="P16" i="177"/>
  <c r="P19" i="177"/>
  <c r="P28" i="180"/>
  <c r="P30" i="180"/>
  <c r="P8" i="183"/>
  <c r="P23" i="183"/>
  <c r="P24" i="183"/>
  <c r="P28" i="183"/>
  <c r="P10" i="182"/>
  <c r="P21" i="182"/>
  <c r="P41" i="182"/>
  <c r="P39" i="181"/>
  <c r="P21" i="180"/>
  <c r="P32" i="179"/>
  <c r="P42" i="179"/>
  <c r="P30" i="178"/>
  <c r="P37" i="177"/>
  <c r="P29" i="177"/>
  <c r="P22" i="177"/>
  <c r="P26" i="179"/>
  <c r="P17" i="181"/>
  <c r="P34" i="182"/>
  <c r="P32" i="182"/>
  <c r="P42" i="182"/>
  <c r="P27" i="183"/>
  <c r="P36" i="183"/>
  <c r="P37" i="183"/>
  <c r="P15" i="180"/>
  <c r="P8" i="177"/>
  <c r="P17" i="179"/>
  <c r="P35" i="179"/>
  <c r="P24" i="177"/>
  <c r="P8" i="180"/>
  <c r="P22" i="178"/>
  <c r="P39" i="180"/>
  <c r="P22" i="183"/>
  <c r="P21" i="179"/>
  <c r="P16" i="183"/>
  <c r="P36" i="179"/>
  <c r="P35" i="182"/>
  <c r="P25" i="182"/>
  <c r="P23" i="180"/>
  <c r="P15" i="181"/>
  <c r="P14" i="183"/>
  <c r="P16" i="182"/>
  <c r="P8" i="182"/>
  <c r="P36" i="180"/>
  <c r="P30" i="181"/>
  <c r="P16" i="180"/>
  <c r="P41" i="179"/>
  <c r="P24" i="182"/>
  <c r="P31" i="181"/>
  <c r="P14" i="180"/>
  <c r="P29" i="178"/>
  <c r="P13" i="178"/>
  <c r="P37" i="178"/>
  <c r="P14" i="178"/>
  <c r="P15" i="177"/>
  <c r="P14" i="177"/>
  <c r="P27" i="181"/>
  <c r="P9" i="183"/>
  <c r="P19" i="183"/>
  <c r="P26" i="181"/>
  <c r="P33" i="183"/>
  <c r="P34" i="183"/>
  <c r="P31" i="182"/>
  <c r="P42" i="181"/>
  <c r="P18" i="181"/>
  <c r="P10" i="183"/>
  <c r="P16" i="181"/>
  <c r="P33" i="181"/>
  <c r="P32" i="183"/>
  <c r="P39" i="183"/>
  <c r="P11" i="183"/>
  <c r="P22" i="182"/>
  <c r="P23" i="182"/>
  <c r="P39" i="182"/>
  <c r="P10" i="181"/>
  <c r="P26" i="183"/>
  <c r="P38" i="182"/>
  <c r="P37" i="182"/>
  <c r="P27" i="182"/>
  <c r="P19" i="181"/>
  <c r="P25" i="181"/>
  <c r="P12" i="182"/>
  <c r="P13" i="181"/>
  <c r="P40" i="183"/>
  <c r="P25" i="183"/>
  <c r="P17" i="183"/>
  <c r="P9" i="182"/>
  <c r="P36" i="181"/>
  <c r="P41" i="181"/>
  <c r="P35" i="181"/>
  <c r="P35" i="183"/>
  <c r="P41" i="183"/>
  <c r="P31" i="183"/>
  <c r="P40" i="181"/>
  <c r="P18" i="183"/>
  <c r="P38" i="183"/>
  <c r="P36" i="182"/>
  <c r="P19" i="182"/>
  <c r="P30" i="182"/>
  <c r="P37" i="179"/>
  <c r="P30" i="179"/>
  <c r="P23" i="179"/>
  <c r="P10" i="179"/>
  <c r="P8" i="179"/>
  <c r="P12" i="180"/>
  <c r="P18" i="179"/>
  <c r="P18" i="180"/>
  <c r="P41" i="180"/>
  <c r="P11" i="179"/>
  <c r="P25" i="180"/>
  <c r="P28" i="179"/>
  <c r="P22" i="179"/>
  <c r="P31" i="180"/>
  <c r="P34" i="180"/>
  <c r="P15" i="179"/>
  <c r="P11" i="180"/>
  <c r="P29" i="179"/>
  <c r="P32" i="180"/>
  <c r="P35" i="180"/>
  <c r="P19" i="180"/>
  <c r="P33" i="180"/>
  <c r="P40" i="180"/>
  <c r="P38" i="179"/>
  <c r="P19" i="179"/>
  <c r="P12" i="179"/>
  <c r="P34" i="178"/>
  <c r="P41" i="178"/>
  <c r="P35" i="178"/>
  <c r="P18" i="178"/>
  <c r="P26" i="178"/>
  <c r="P40" i="178"/>
  <c r="P31" i="178"/>
  <c r="P39" i="178"/>
  <c r="P32" i="178"/>
  <c r="P38" i="178"/>
  <c r="P25" i="178"/>
  <c r="P11" i="178"/>
  <c r="P27" i="178"/>
  <c r="P10" i="178"/>
  <c r="P19" i="178"/>
  <c r="P12" i="178"/>
  <c r="P33" i="178"/>
  <c r="P17" i="178"/>
  <c r="P33" i="177"/>
  <c r="P25" i="177"/>
  <c r="P17" i="177"/>
  <c r="P11" i="177"/>
  <c r="P31" i="177"/>
  <c r="P26" i="177"/>
  <c r="P40" i="177"/>
  <c r="P39" i="177"/>
  <c r="P38" i="177"/>
  <c r="P41" i="177"/>
  <c r="P18" i="177"/>
  <c r="P34" i="177"/>
  <c r="P10" i="177"/>
  <c r="P35" i="177"/>
  <c r="P32" i="177"/>
  <c r="AB18" i="177" l="1"/>
  <c r="AC40" i="177"/>
  <c r="AC29" i="179"/>
  <c r="AC31" i="180"/>
  <c r="AC28" i="179"/>
  <c r="K41" i="180"/>
  <c r="AC18" i="179"/>
  <c r="AC10" i="179"/>
  <c r="K39" i="180"/>
  <c r="K26" i="182"/>
  <c r="AB17" i="177"/>
  <c r="AC11" i="178"/>
  <c r="AC32" i="178"/>
  <c r="K35" i="178"/>
  <c r="AC12" i="179"/>
  <c r="K33" i="180"/>
  <c r="AB29" i="179"/>
  <c r="K15" i="179"/>
  <c r="AB31" i="180"/>
  <c r="K9" i="179"/>
  <c r="AB7" i="179"/>
  <c r="AC35" i="177"/>
  <c r="AC10" i="177"/>
  <c r="P6" i="177"/>
  <c r="P44" i="177" s="1"/>
  <c r="K31" i="177"/>
  <c r="K17" i="177"/>
  <c r="AB33" i="177"/>
  <c r="K27" i="178"/>
  <c r="K38" i="178"/>
  <c r="K31" i="178"/>
  <c r="AC26" i="178"/>
  <c r="AB9" i="179"/>
  <c r="K41" i="183"/>
  <c r="K36" i="181"/>
  <c r="K19" i="181"/>
  <c r="K32" i="177"/>
  <c r="AC9" i="177"/>
  <c r="AB10" i="177"/>
  <c r="AC6" i="177"/>
  <c r="AB26" i="177"/>
  <c r="AB11" i="177"/>
  <c r="K33" i="177"/>
  <c r="AC33" i="178"/>
  <c r="AB27" i="178"/>
  <c r="K9" i="181"/>
  <c r="AC9" i="182"/>
  <c r="AB25" i="183"/>
  <c r="AB13" i="181"/>
  <c r="K14" i="181"/>
  <c r="K27" i="182"/>
  <c r="AC38" i="182"/>
  <c r="AB10" i="181"/>
  <c r="P6" i="181"/>
  <c r="P44" i="181" s="1"/>
  <c r="K23" i="182"/>
  <c r="AB11" i="183"/>
  <c r="K32" i="183"/>
  <c r="K10" i="183"/>
  <c r="AB42" i="181"/>
  <c r="K33" i="183"/>
  <c r="AB19" i="183"/>
  <c r="K27" i="181"/>
  <c r="AB36" i="177"/>
  <c r="K14" i="177"/>
  <c r="AC13" i="178"/>
  <c r="AB42" i="179"/>
  <c r="AB17" i="180"/>
  <c r="AC36" i="180"/>
  <c r="AC22" i="181"/>
  <c r="AC21" i="181"/>
  <c r="K22" i="181"/>
  <c r="AC17" i="182"/>
  <c r="AB17" i="182"/>
  <c r="AB11" i="182"/>
  <c r="AB7" i="182"/>
  <c r="AC14" i="182"/>
  <c r="AB26" i="182"/>
  <c r="AB15" i="180"/>
  <c r="AB27" i="179"/>
  <c r="K24" i="183"/>
  <c r="AB6" i="179"/>
  <c r="AC23" i="183"/>
  <c r="K37" i="178"/>
  <c r="AC31" i="179"/>
  <c r="AB39" i="179"/>
  <c r="AB24" i="182"/>
  <c r="AC15" i="180"/>
  <c r="AB8" i="180"/>
  <c r="AB37" i="177"/>
  <c r="AB25" i="179"/>
  <c r="K28" i="177"/>
  <c r="AC22" i="180"/>
  <c r="AC17" i="181"/>
  <c r="AB17" i="181"/>
  <c r="K15" i="183"/>
  <c r="K17" i="182"/>
  <c r="AC16" i="182"/>
  <c r="AB30" i="180"/>
  <c r="AC29" i="177"/>
  <c r="K30" i="178"/>
  <c r="K32" i="179"/>
  <c r="AB23" i="180"/>
  <c r="AC29" i="181"/>
  <c r="AC30" i="183"/>
  <c r="AC21" i="178"/>
  <c r="AB6" i="178"/>
  <c r="AB24" i="179"/>
  <c r="K29" i="181"/>
  <c r="AB30" i="183"/>
  <c r="AB21" i="177"/>
  <c r="AC30" i="180"/>
  <c r="AC22" i="177"/>
  <c r="AC13" i="180"/>
  <c r="K36" i="177"/>
  <c r="K29" i="183"/>
  <c r="K28" i="180"/>
  <c r="N23" i="178"/>
  <c r="M23" i="178"/>
  <c r="O23" i="178"/>
  <c r="N24" i="178"/>
  <c r="M24" i="178"/>
  <c r="O24" i="178"/>
  <c r="M27" i="179"/>
  <c r="O27" i="179"/>
  <c r="N27" i="179"/>
  <c r="O23" i="181"/>
  <c r="M23" i="181"/>
  <c r="N23" i="181"/>
  <c r="K12" i="178"/>
  <c r="AB19" i="178"/>
  <c r="AC38" i="178"/>
  <c r="K26" i="178"/>
  <c r="AB35" i="178"/>
  <c r="AB33" i="180"/>
  <c r="K37" i="182"/>
  <c r="AC26" i="183"/>
  <c r="AC39" i="182"/>
  <c r="AC39" i="183"/>
  <c r="AC33" i="181"/>
  <c r="AB16" i="181"/>
  <c r="AB8" i="177"/>
  <c r="K38" i="177"/>
  <c r="AB31" i="177"/>
  <c r="AC33" i="177"/>
  <c r="AB12" i="178"/>
  <c r="K25" i="178"/>
  <c r="AC38" i="179"/>
  <c r="AC7" i="180"/>
  <c r="K36" i="179"/>
  <c r="K35" i="180"/>
  <c r="K32" i="180"/>
  <c r="K17" i="180"/>
  <c r="K31" i="180"/>
  <c r="K28" i="179"/>
  <c r="AC41" i="180"/>
  <c r="AB18" i="179"/>
  <c r="AC8" i="179"/>
  <c r="AC23" i="179"/>
  <c r="AB14" i="179"/>
  <c r="AB37" i="179"/>
  <c r="K26" i="180"/>
  <c r="AC11" i="181"/>
  <c r="AB19" i="182"/>
  <c r="AC6" i="183"/>
  <c r="AC13" i="181"/>
  <c r="K40" i="178"/>
  <c r="AB18" i="178"/>
  <c r="AC35" i="178"/>
  <c r="AB34" i="178"/>
  <c r="K12" i="179"/>
  <c r="AB38" i="179"/>
  <c r="AC18" i="183"/>
  <c r="AC40" i="181"/>
  <c r="AC31" i="183"/>
  <c r="AC19" i="177"/>
  <c r="K26" i="177"/>
  <c r="K11" i="177"/>
  <c r="K25" i="177"/>
  <c r="AB33" i="178"/>
  <c r="K10" i="178"/>
  <c r="AC25" i="178"/>
  <c r="AC39" i="178"/>
  <c r="K18" i="178"/>
  <c r="AB41" i="178"/>
  <c r="AB12" i="179"/>
  <c r="AC35" i="180"/>
  <c r="AC32" i="180"/>
  <c r="AB11" i="180"/>
  <c r="AB15" i="179"/>
  <c r="AC22" i="179"/>
  <c r="AB11" i="179"/>
  <c r="AB18" i="180"/>
  <c r="AC12" i="180"/>
  <c r="K8" i="179"/>
  <c r="AB23" i="179"/>
  <c r="AB9" i="180"/>
  <c r="K27" i="180"/>
  <c r="P6" i="180"/>
  <c r="P44" i="180" s="1"/>
  <c r="K11" i="181"/>
  <c r="AC30" i="182"/>
  <c r="AC36" i="182"/>
  <c r="AB40" i="181"/>
  <c r="AB31" i="183"/>
  <c r="AC41" i="183"/>
  <c r="AC41" i="181"/>
  <c r="AC36" i="181"/>
  <c r="K13" i="181"/>
  <c r="AC38" i="181"/>
  <c r="AC19" i="181"/>
  <c r="AB38" i="182"/>
  <c r="K10" i="181"/>
  <c r="AC6" i="181"/>
  <c r="AC32" i="181"/>
  <c r="K11" i="183"/>
  <c r="AC34" i="181"/>
  <c r="K34" i="183"/>
  <c r="L34" i="183" s="1"/>
  <c r="K19" i="183"/>
  <c r="AB42" i="177"/>
  <c r="K7" i="177"/>
  <c r="K14" i="178"/>
  <c r="AC17" i="180"/>
  <c r="AC39" i="180"/>
  <c r="AB7" i="181"/>
  <c r="AC37" i="181"/>
  <c r="AB34" i="182"/>
  <c r="AC35" i="182"/>
  <c r="K14" i="183"/>
  <c r="AB12" i="181"/>
  <c r="AB12" i="183"/>
  <c r="AC35" i="179"/>
  <c r="K38" i="180"/>
  <c r="K25" i="182"/>
  <c r="K23" i="183"/>
  <c r="AC36" i="179"/>
  <c r="AB27" i="183"/>
  <c r="AB39" i="181"/>
  <c r="AB7" i="183"/>
  <c r="AB27" i="177"/>
  <c r="AC7" i="183"/>
  <c r="AC32" i="179"/>
  <c r="K29" i="182"/>
  <c r="AB8" i="178"/>
  <c r="K17" i="181"/>
  <c r="K16" i="183"/>
  <c r="AC16" i="183"/>
  <c r="K28" i="182"/>
  <c r="AC29" i="180"/>
  <c r="AC34" i="179"/>
  <c r="AB15" i="178"/>
  <c r="AB24" i="180"/>
  <c r="K7" i="181"/>
  <c r="AC24" i="183"/>
  <c r="K14" i="179"/>
  <c r="AB41" i="179"/>
  <c r="K42" i="182"/>
  <c r="K26" i="179"/>
  <c r="K42" i="178"/>
  <c r="AC21" i="177"/>
  <c r="K33" i="182"/>
  <c r="K7" i="179"/>
  <c r="AC33" i="179"/>
  <c r="K25" i="179"/>
  <c r="K13" i="179"/>
  <c r="M13" i="180"/>
  <c r="N13" i="180"/>
  <c r="O13" i="180"/>
  <c r="O27" i="177"/>
  <c r="N27" i="177"/>
  <c r="M27" i="177"/>
  <c r="M42" i="183"/>
  <c r="N42" i="183"/>
  <c r="O42" i="183"/>
  <c r="M24" i="181"/>
  <c r="O24" i="181"/>
  <c r="N24" i="181"/>
  <c r="AB18" i="183"/>
  <c r="AB6" i="182"/>
  <c r="K35" i="181"/>
  <c r="AB9" i="182"/>
  <c r="K25" i="183"/>
  <c r="AB40" i="183"/>
  <c r="AB12" i="182"/>
  <c r="K25" i="181"/>
  <c r="AC22" i="182"/>
  <c r="AB40" i="180"/>
  <c r="AC34" i="178"/>
  <c r="AB18" i="182"/>
  <c r="AC25" i="183"/>
  <c r="AB27" i="182"/>
  <c r="AC18" i="177"/>
  <c r="AC15" i="179"/>
  <c r="K34" i="180"/>
  <c r="AB22" i="179"/>
  <c r="AC11" i="179"/>
  <c r="K18" i="180"/>
  <c r="AB8" i="179"/>
  <c r="K23" i="179"/>
  <c r="AC26" i="180"/>
  <c r="AB11" i="181"/>
  <c r="AB9" i="177"/>
  <c r="K34" i="177"/>
  <c r="AB41" i="177"/>
  <c r="AC32" i="177"/>
  <c r="K9" i="177"/>
  <c r="K41" i="177"/>
  <c r="AC7" i="177"/>
  <c r="AC39" i="177"/>
  <c r="AC17" i="178"/>
  <c r="K33" i="178"/>
  <c r="AB9" i="178"/>
  <c r="AB25" i="178"/>
  <c r="AC9" i="178"/>
  <c r="AB39" i="178"/>
  <c r="AC40" i="178"/>
  <c r="K41" i="178"/>
  <c r="K19" i="179"/>
  <c r="AB7" i="180"/>
  <c r="K19" i="180"/>
  <c r="AB32" i="180"/>
  <c r="K11" i="180"/>
  <c r="K42" i="180"/>
  <c r="AC34" i="180"/>
  <c r="K22" i="179"/>
  <c r="K25" i="180"/>
  <c r="K11" i="179"/>
  <c r="AB12" i="180"/>
  <c r="AC6" i="180"/>
  <c r="AB30" i="182"/>
  <c r="AB36" i="182"/>
  <c r="AC38" i="183"/>
  <c r="K40" i="181"/>
  <c r="K31" i="183"/>
  <c r="AB35" i="183"/>
  <c r="AB41" i="181"/>
  <c r="AB36" i="181"/>
  <c r="AC17" i="183"/>
  <c r="K40" i="183"/>
  <c r="K12" i="182"/>
  <c r="AC18" i="182"/>
  <c r="AB26" i="183"/>
  <c r="AB39" i="182"/>
  <c r="AB6" i="181"/>
  <c r="AB32" i="181"/>
  <c r="AC32" i="183"/>
  <c r="AC10" i="183"/>
  <c r="AB34" i="181"/>
  <c r="K26" i="181"/>
  <c r="AC27" i="181"/>
  <c r="K15" i="177"/>
  <c r="AB22" i="178"/>
  <c r="AC26" i="179"/>
  <c r="K30" i="181"/>
  <c r="AB30" i="181"/>
  <c r="AC12" i="181"/>
  <c r="AC42" i="182"/>
  <c r="AC42" i="183"/>
  <c r="AB25" i="182"/>
  <c r="K39" i="181"/>
  <c r="AB23" i="181"/>
  <c r="K38" i="181"/>
  <c r="AB36" i="183"/>
  <c r="AC21" i="179"/>
  <c r="AB21" i="178"/>
  <c r="AB36" i="179"/>
  <c r="K24" i="177"/>
  <c r="AB37" i="178"/>
  <c r="AB15" i="182"/>
  <c r="AC27" i="183"/>
  <c r="AC27" i="177"/>
  <c r="AB32" i="179"/>
  <c r="AB16" i="180"/>
  <c r="AB28" i="178"/>
  <c r="AB28" i="183"/>
  <c r="AC28" i="183"/>
  <c r="AB21" i="183"/>
  <c r="K32" i="182"/>
  <c r="K30" i="180"/>
  <c r="AC6" i="179"/>
  <c r="AC24" i="178"/>
  <c r="AC17" i="179"/>
  <c r="AC24" i="180"/>
  <c r="K41" i="182"/>
  <c r="AB37" i="180"/>
  <c r="K16" i="180"/>
  <c r="K30" i="183"/>
  <c r="K13" i="182"/>
  <c r="K15" i="178"/>
  <c r="K29" i="177"/>
  <c r="M16" i="178"/>
  <c r="N16" i="178"/>
  <c r="O16" i="178"/>
  <c r="M30" i="177"/>
  <c r="N30" i="177"/>
  <c r="O30" i="177"/>
  <c r="N12" i="183"/>
  <c r="M12" i="183"/>
  <c r="O12" i="183"/>
  <c r="AB35" i="177"/>
  <c r="AC41" i="182"/>
  <c r="AC35" i="183"/>
  <c r="K31" i="182"/>
  <c r="AB12" i="177"/>
  <c r="AB38" i="178"/>
  <c r="AB31" i="178"/>
  <c r="K38" i="179"/>
  <c r="AB35" i="180"/>
  <c r="AB28" i="179"/>
  <c r="AB32" i="177"/>
  <c r="AB7" i="177"/>
  <c r="AC34" i="177"/>
  <c r="AB39" i="177"/>
  <c r="K40" i="177"/>
  <c r="AC26" i="177"/>
  <c r="AC11" i="177"/>
  <c r="AC25" i="177"/>
  <c r="AB17" i="178"/>
  <c r="AC6" i="178"/>
  <c r="K19" i="178"/>
  <c r="AC10" i="178"/>
  <c r="AB11" i="178"/>
  <c r="K39" i="178"/>
  <c r="AB40" i="178"/>
  <c r="AC18" i="178"/>
  <c r="K40" i="180"/>
  <c r="AB19" i="180"/>
  <c r="K29" i="179"/>
  <c r="AC11" i="180"/>
  <c r="AB34" i="180"/>
  <c r="AC18" i="180"/>
  <c r="K12" i="180"/>
  <c r="AB10" i="179"/>
  <c r="AB30" i="179"/>
  <c r="AB6" i="180"/>
  <c r="K30" i="182"/>
  <c r="K36" i="182"/>
  <c r="AB38" i="183"/>
  <c r="AB10" i="182"/>
  <c r="K35" i="183"/>
  <c r="AC35" i="181"/>
  <c r="K41" i="181"/>
  <c r="AB17" i="183"/>
  <c r="AC25" i="181"/>
  <c r="AC37" i="182"/>
  <c r="K26" i="183"/>
  <c r="K39" i="182"/>
  <c r="K32" i="181"/>
  <c r="AC11" i="183"/>
  <c r="AB32" i="183"/>
  <c r="AB10" i="183"/>
  <c r="AC34" i="183"/>
  <c r="AC8" i="177"/>
  <c r="AB14" i="177"/>
  <c r="AC14" i="178"/>
  <c r="AC29" i="178"/>
  <c r="AB36" i="178"/>
  <c r="AC27" i="180"/>
  <c r="AC7" i="181"/>
  <c r="AC31" i="181"/>
  <c r="AB35" i="182"/>
  <c r="AB42" i="182"/>
  <c r="AB42" i="183"/>
  <c r="AB31" i="179"/>
  <c r="AC24" i="177"/>
  <c r="AB15" i="177"/>
  <c r="AC24" i="182"/>
  <c r="AC10" i="180"/>
  <c r="AC39" i="181"/>
  <c r="K8" i="180"/>
  <c r="K35" i="179"/>
  <c r="AB22" i="181"/>
  <c r="AB21" i="182"/>
  <c r="AB24" i="177"/>
  <c r="AC23" i="181"/>
  <c r="AB21" i="179"/>
  <c r="AB8" i="182"/>
  <c r="AC28" i="177"/>
  <c r="AB24" i="183"/>
  <c r="AB29" i="182"/>
  <c r="AB22" i="183"/>
  <c r="K8" i="183"/>
  <c r="P6" i="179"/>
  <c r="P44" i="179" s="1"/>
  <c r="AC40" i="179"/>
  <c r="K15" i="181"/>
  <c r="AC13" i="177"/>
  <c r="K21" i="181"/>
  <c r="AC7" i="178"/>
  <c r="K22" i="180"/>
  <c r="K24" i="179"/>
  <c r="K16" i="182"/>
  <c r="K28" i="178"/>
  <c r="K37" i="181"/>
  <c r="K12" i="177"/>
  <c r="AB33" i="179"/>
  <c r="K23" i="177"/>
  <c r="K37" i="177"/>
  <c r="K7" i="183"/>
  <c r="K7" i="178"/>
  <c r="N29" i="180"/>
  <c r="O29" i="180"/>
  <c r="M29" i="180"/>
  <c r="O7" i="182"/>
  <c r="N7" i="182"/>
  <c r="M7" i="182"/>
  <c r="AC41" i="177"/>
  <c r="AC38" i="177"/>
  <c r="K39" i="177"/>
  <c r="AC17" i="177"/>
  <c r="AB25" i="177"/>
  <c r="K17" i="178"/>
  <c r="AC12" i="178"/>
  <c r="AC19" i="178"/>
  <c r="AB10" i="178"/>
  <c r="K11" i="178"/>
  <c r="K32" i="178"/>
  <c r="AB26" i="178"/>
  <c r="AC41" i="178"/>
  <c r="AC19" i="179"/>
  <c r="AC33" i="180"/>
  <c r="AC19" i="180"/>
  <c r="AC25" i="180"/>
  <c r="AB41" i="180"/>
  <c r="K30" i="179"/>
  <c r="K37" i="179"/>
  <c r="AB38" i="180"/>
  <c r="K19" i="182"/>
  <c r="AB6" i="183"/>
  <c r="K38" i="183"/>
  <c r="K8" i="182"/>
  <c r="AB35" i="181"/>
  <c r="K17" i="183"/>
  <c r="AC40" i="183"/>
  <c r="AC12" i="182"/>
  <c r="AB25" i="181"/>
  <c r="AB37" i="182"/>
  <c r="AC16" i="181"/>
  <c r="AC18" i="181"/>
  <c r="AB31" i="182"/>
  <c r="AB34" i="183"/>
  <c r="AC26" i="181"/>
  <c r="AC9" i="183"/>
  <c r="AB23" i="177"/>
  <c r="AC14" i="177"/>
  <c r="K13" i="178"/>
  <c r="AB29" i="178"/>
  <c r="AB42" i="178"/>
  <c r="AB21" i="181"/>
  <c r="AC10" i="182"/>
  <c r="AC26" i="182"/>
  <c r="AC8" i="183"/>
  <c r="AC25" i="182"/>
  <c r="AC13" i="182"/>
  <c r="AB37" i="183"/>
  <c r="AB41" i="182"/>
  <c r="AC8" i="181"/>
  <c r="K17" i="179"/>
  <c r="AC36" i="178"/>
  <c r="K21" i="179"/>
  <c r="AC16" i="180"/>
  <c r="AB8" i="181"/>
  <c r="AB14" i="182"/>
  <c r="AB27" i="180"/>
  <c r="AC40" i="182"/>
  <c r="AC23" i="178"/>
  <c r="AC21" i="182"/>
  <c r="AC15" i="177"/>
  <c r="AB19" i="177"/>
  <c r="AB13" i="179"/>
  <c r="AB29" i="177"/>
  <c r="K15" i="180"/>
  <c r="K22" i="178"/>
  <c r="AB22" i="177"/>
  <c r="AB40" i="179"/>
  <c r="AC29" i="183"/>
  <c r="AC16" i="177"/>
  <c r="AB38" i="181"/>
  <c r="AB16" i="178"/>
  <c r="K36" i="178"/>
  <c r="K24" i="180"/>
  <c r="K42" i="177"/>
  <c r="K21" i="182"/>
  <c r="K23" i="180"/>
  <c r="M8" i="178"/>
  <c r="O8" i="178"/>
  <c r="N8" i="178"/>
  <c r="P44" i="182"/>
  <c r="K35" i="177"/>
  <c r="AB38" i="177"/>
  <c r="AB6" i="177"/>
  <c r="AC31" i="177"/>
  <c r="AC31" i="178"/>
  <c r="K34" i="178"/>
  <c r="AB19" i="179"/>
  <c r="AC40" i="180"/>
  <c r="AC9" i="179"/>
  <c r="AB25" i="180"/>
  <c r="K29" i="178"/>
  <c r="AB23" i="178"/>
  <c r="AC14" i="180"/>
  <c r="AC30" i="181"/>
  <c r="AB32" i="182"/>
  <c r="AC34" i="182"/>
  <c r="AB14" i="183"/>
  <c r="AC41" i="179"/>
  <c r="K41" i="179"/>
  <c r="AC30" i="178"/>
  <c r="K40" i="179"/>
  <c r="AC15" i="182"/>
  <c r="AB15" i="181"/>
  <c r="AB13" i="183"/>
  <c r="AB28" i="177"/>
  <c r="AC13" i="183"/>
  <c r="AC8" i="182"/>
  <c r="AC23" i="180"/>
  <c r="AC28" i="182"/>
  <c r="AC15" i="178"/>
  <c r="AC29" i="182"/>
  <c r="AC8" i="178"/>
  <c r="AB16" i="183"/>
  <c r="K24" i="182"/>
  <c r="K34" i="182"/>
  <c r="AB17" i="179"/>
  <c r="K31" i="179"/>
  <c r="K21" i="180"/>
  <c r="AC28" i="181"/>
  <c r="K21" i="183"/>
  <c r="K42" i="179"/>
  <c r="K22" i="177"/>
  <c r="P6" i="178"/>
  <c r="P44" i="178" s="1"/>
  <c r="AC28" i="180"/>
  <c r="AB7" i="178"/>
  <c r="AB34" i="179"/>
  <c r="K9" i="180"/>
  <c r="K37" i="183"/>
  <c r="AC16" i="178"/>
  <c r="O11" i="182"/>
  <c r="N11" i="182"/>
  <c r="M11" i="182"/>
  <c r="N37" i="180"/>
  <c r="M37" i="180"/>
  <c r="O37" i="180"/>
  <c r="AB26" i="181"/>
  <c r="AB9" i="183"/>
  <c r="AB10" i="180"/>
  <c r="K18" i="177"/>
  <c r="AB40" i="177"/>
  <c r="AC27" i="178"/>
  <c r="K18" i="179"/>
  <c r="K10" i="179"/>
  <c r="AC30" i="179"/>
  <c r="AC37" i="179"/>
  <c r="AB26" i="180"/>
  <c r="K35" i="182"/>
  <c r="AC19" i="182"/>
  <c r="P6" i="183"/>
  <c r="P44" i="183" s="1"/>
  <c r="K18" i="183"/>
  <c r="AC6" i="182"/>
  <c r="AB41" i="183"/>
  <c r="AC9" i="181"/>
  <c r="AC14" i="181"/>
  <c r="AB19" i="181"/>
  <c r="AC27" i="182"/>
  <c r="K38" i="182"/>
  <c r="K8" i="181"/>
  <c r="AC23" i="182"/>
  <c r="AB22" i="182"/>
  <c r="AB39" i="183"/>
  <c r="AB33" i="181"/>
  <c r="K16" i="181"/>
  <c r="K18" i="181"/>
  <c r="AC33" i="183"/>
  <c r="K9" i="183"/>
  <c r="AC36" i="177"/>
  <c r="AC23" i="177"/>
  <c r="AC37" i="178"/>
  <c r="AC42" i="179"/>
  <c r="AB16" i="179"/>
  <c r="AB37" i="181"/>
  <c r="K31" i="181"/>
  <c r="AB40" i="182"/>
  <c r="AC14" i="183"/>
  <c r="AC37" i="183"/>
  <c r="AC7" i="179"/>
  <c r="K36" i="180"/>
  <c r="AB28" i="181"/>
  <c r="AC25" i="179"/>
  <c r="AB13" i="178"/>
  <c r="AC12" i="183"/>
  <c r="K27" i="183"/>
  <c r="K7" i="180"/>
  <c r="AC42" i="177"/>
  <c r="AC8" i="180"/>
  <c r="AB24" i="181"/>
  <c r="AC37" i="177"/>
  <c r="AC15" i="181"/>
  <c r="AC32" i="182"/>
  <c r="AC33" i="182"/>
  <c r="AC28" i="178"/>
  <c r="AC38" i="180"/>
  <c r="AB28" i="180"/>
  <c r="AC13" i="179"/>
  <c r="AC14" i="179"/>
  <c r="K8" i="177"/>
  <c r="K19" i="177"/>
  <c r="AC21" i="180"/>
  <c r="AB29" i="181"/>
  <c r="AB29" i="183"/>
  <c r="AB13" i="177"/>
  <c r="AB24" i="178"/>
  <c r="AB29" i="180"/>
  <c r="K21" i="178"/>
  <c r="AC37" i="180"/>
  <c r="AC15" i="183"/>
  <c r="AB23" i="183"/>
  <c r="K28" i="181"/>
  <c r="K9" i="178"/>
  <c r="K34" i="179"/>
  <c r="N15" i="182"/>
  <c r="M15" i="182"/>
  <c r="O15" i="182"/>
  <c r="N39" i="179"/>
  <c r="O39" i="179"/>
  <c r="M39" i="179"/>
  <c r="O14" i="182"/>
  <c r="N14" i="182"/>
  <c r="M14" i="182"/>
  <c r="M18" i="182"/>
  <c r="O18" i="182"/>
  <c r="N18" i="182"/>
  <c r="M40" i="182"/>
  <c r="N40" i="182"/>
  <c r="O40" i="182"/>
  <c r="O16" i="179"/>
  <c r="N16" i="179"/>
  <c r="M16" i="179"/>
  <c r="M12" i="181"/>
  <c r="N12" i="181"/>
  <c r="O12" i="181"/>
  <c r="AB34" i="177"/>
  <c r="K10" i="177"/>
  <c r="K42" i="181"/>
  <c r="AB32" i="178"/>
  <c r="AB9" i="181"/>
  <c r="K9" i="182"/>
  <c r="AB14" i="181"/>
  <c r="AC10" i="181"/>
  <c r="AB23" i="182"/>
  <c r="K22" i="182"/>
  <c r="K39" i="183"/>
  <c r="K33" i="181"/>
  <c r="AB18" i="181"/>
  <c r="AC42" i="181"/>
  <c r="AC31" i="182"/>
  <c r="AB33" i="183"/>
  <c r="AC19" i="183"/>
  <c r="AB27" i="181"/>
  <c r="AC42" i="178"/>
  <c r="AC16" i="179"/>
  <c r="AB14" i="180"/>
  <c r="AC42" i="180"/>
  <c r="K14" i="180"/>
  <c r="AC24" i="181"/>
  <c r="AB31" i="181"/>
  <c r="AB13" i="182"/>
  <c r="AC11" i="182"/>
  <c r="AC7" i="182"/>
  <c r="AB8" i="183"/>
  <c r="AB36" i="180"/>
  <c r="AC39" i="179"/>
  <c r="K33" i="179"/>
  <c r="AB14" i="178"/>
  <c r="K22" i="183"/>
  <c r="AC9" i="180"/>
  <c r="AB30" i="178"/>
  <c r="AC12" i="177"/>
  <c r="AB35" i="179"/>
  <c r="AC27" i="179"/>
  <c r="AC36" i="183"/>
  <c r="AC22" i="178"/>
  <c r="AB42" i="180"/>
  <c r="AB39" i="180"/>
  <c r="AC21" i="183"/>
  <c r="AB33" i="182"/>
  <c r="AB22" i="180"/>
  <c r="AC22" i="183"/>
  <c r="K36" i="183"/>
  <c r="AB28" i="182"/>
  <c r="AB13" i="180"/>
  <c r="K16" i="177"/>
  <c r="K10" i="182"/>
  <c r="AB15" i="183"/>
  <c r="AB26" i="179"/>
  <c r="AB16" i="177"/>
  <c r="AB16" i="182"/>
  <c r="AC24" i="179"/>
  <c r="AB21" i="180"/>
  <c r="K21" i="177"/>
  <c r="K13" i="183"/>
  <c r="K13" i="177"/>
  <c r="K28" i="183"/>
  <c r="N10" i="180"/>
  <c r="M10" i="180"/>
  <c r="O10" i="180"/>
  <c r="L42" i="183" l="1"/>
  <c r="L13" i="180"/>
  <c r="L23" i="181"/>
  <c r="L27" i="177"/>
  <c r="L8" i="178"/>
  <c r="L7" i="182"/>
  <c r="L16" i="178"/>
  <c r="L27" i="179"/>
  <c r="L10" i="180"/>
  <c r="L16" i="179"/>
  <c r="L37" i="180"/>
  <c r="L24" i="178"/>
  <c r="L39" i="179"/>
  <c r="L29" i="180"/>
  <c r="L23" i="178"/>
  <c r="L40" i="182"/>
  <c r="L30" i="177"/>
  <c r="L18" i="182"/>
  <c r="L12" i="181"/>
  <c r="L15" i="182"/>
  <c r="L14" i="182"/>
  <c r="K44" i="182"/>
  <c r="L12" i="183"/>
  <c r="L24" i="181"/>
  <c r="L11" i="182"/>
  <c r="O7" i="180"/>
  <c r="M7" i="180"/>
  <c r="N7" i="180"/>
  <c r="K44" i="180"/>
  <c r="O18" i="181"/>
  <c r="M18" i="181"/>
  <c r="N18" i="181"/>
  <c r="N37" i="183"/>
  <c r="O37" i="183"/>
  <c r="M37" i="183"/>
  <c r="M21" i="183"/>
  <c r="N21" i="183"/>
  <c r="O21" i="183"/>
  <c r="O42" i="177"/>
  <c r="M42" i="177"/>
  <c r="N42" i="177"/>
  <c r="M17" i="179"/>
  <c r="N17" i="179"/>
  <c r="O17" i="179"/>
  <c r="M13" i="178"/>
  <c r="N13" i="178"/>
  <c r="O13" i="178"/>
  <c r="O38" i="183"/>
  <c r="M38" i="183"/>
  <c r="N38" i="183"/>
  <c r="O37" i="179"/>
  <c r="N37" i="179"/>
  <c r="M37" i="179"/>
  <c r="M23" i="177"/>
  <c r="N23" i="177"/>
  <c r="O23" i="177"/>
  <c r="O28" i="178"/>
  <c r="M28" i="178"/>
  <c r="N28" i="178"/>
  <c r="N32" i="181"/>
  <c r="M32" i="181"/>
  <c r="O32" i="181"/>
  <c r="N35" i="183"/>
  <c r="M35" i="183"/>
  <c r="O35" i="183"/>
  <c r="M30" i="182"/>
  <c r="O30" i="182"/>
  <c r="N30" i="182"/>
  <c r="O12" i="180"/>
  <c r="N12" i="180"/>
  <c r="M12" i="180"/>
  <c r="M29" i="179"/>
  <c r="O29" i="179"/>
  <c r="N29" i="179"/>
  <c r="O19" i="178"/>
  <c r="N19" i="178"/>
  <c r="M19" i="178"/>
  <c r="N30" i="183"/>
  <c r="O30" i="183"/>
  <c r="M30" i="183"/>
  <c r="N30" i="180"/>
  <c r="M30" i="180"/>
  <c r="O30" i="180"/>
  <c r="O24" i="177"/>
  <c r="N24" i="177"/>
  <c r="M24" i="177"/>
  <c r="M15" i="177"/>
  <c r="O15" i="177"/>
  <c r="N15" i="177"/>
  <c r="M40" i="183"/>
  <c r="N40" i="183"/>
  <c r="O40" i="183"/>
  <c r="O11" i="179"/>
  <c r="M11" i="179"/>
  <c r="N11" i="179"/>
  <c r="O42" i="180"/>
  <c r="N42" i="180"/>
  <c r="M42" i="180"/>
  <c r="N33" i="178"/>
  <c r="M33" i="178"/>
  <c r="O33" i="178"/>
  <c r="N41" i="177"/>
  <c r="O41" i="177"/>
  <c r="M41" i="177"/>
  <c r="M34" i="177"/>
  <c r="N34" i="177"/>
  <c r="O34" i="177"/>
  <c r="M23" i="179"/>
  <c r="O23" i="179"/>
  <c r="N23" i="179"/>
  <c r="AB44" i="182"/>
  <c r="N32" i="179"/>
  <c r="M32" i="179"/>
  <c r="O32" i="179"/>
  <c r="AB44" i="179"/>
  <c r="M32" i="183"/>
  <c r="O32" i="183"/>
  <c r="N32" i="183"/>
  <c r="O32" i="177"/>
  <c r="N32" i="177"/>
  <c r="M32" i="177"/>
  <c r="O27" i="178"/>
  <c r="M27" i="178"/>
  <c r="N27" i="178"/>
  <c r="M9" i="179"/>
  <c r="O9" i="179"/>
  <c r="N9" i="179"/>
  <c r="M33" i="180"/>
  <c r="N33" i="180"/>
  <c r="O33" i="180"/>
  <c r="O13" i="177"/>
  <c r="M13" i="177"/>
  <c r="N13" i="177"/>
  <c r="N25" i="179"/>
  <c r="M25" i="179"/>
  <c r="O25" i="179"/>
  <c r="M28" i="182"/>
  <c r="N28" i="182"/>
  <c r="O28" i="182"/>
  <c r="M11" i="183"/>
  <c r="N11" i="183"/>
  <c r="O11" i="183"/>
  <c r="M8" i="179"/>
  <c r="N8" i="179"/>
  <c r="O8" i="179"/>
  <c r="M25" i="177"/>
  <c r="N25" i="177"/>
  <c r="O25" i="177"/>
  <c r="M12" i="179"/>
  <c r="N12" i="179"/>
  <c r="O12" i="179"/>
  <c r="O40" i="178"/>
  <c r="M40" i="178"/>
  <c r="N40" i="178"/>
  <c r="M28" i="179"/>
  <c r="O28" i="179"/>
  <c r="N28" i="179"/>
  <c r="N35" i="180"/>
  <c r="O35" i="180"/>
  <c r="M35" i="180"/>
  <c r="N25" i="178"/>
  <c r="M25" i="178"/>
  <c r="O25" i="178"/>
  <c r="M38" i="177"/>
  <c r="O38" i="177"/>
  <c r="N38" i="177"/>
  <c r="N34" i="179"/>
  <c r="O34" i="179"/>
  <c r="M34" i="179"/>
  <c r="O27" i="183"/>
  <c r="N27" i="183"/>
  <c r="M27" i="183"/>
  <c r="N16" i="181"/>
  <c r="M16" i="181"/>
  <c r="O16" i="181"/>
  <c r="AC44" i="182"/>
  <c r="O35" i="182"/>
  <c r="M35" i="182"/>
  <c r="N35" i="182"/>
  <c r="N10" i="179"/>
  <c r="M10" i="179"/>
  <c r="O10" i="179"/>
  <c r="O18" i="177"/>
  <c r="N18" i="177"/>
  <c r="M18" i="177"/>
  <c r="N9" i="180"/>
  <c r="O9" i="180"/>
  <c r="M9" i="180"/>
  <c r="M34" i="182"/>
  <c r="O34" i="182"/>
  <c r="N34" i="182"/>
  <c r="L34" i="182"/>
  <c r="N41" i="179"/>
  <c r="O41" i="179"/>
  <c r="M41" i="179"/>
  <c r="M29" i="178"/>
  <c r="O29" i="178"/>
  <c r="N29" i="178"/>
  <c r="AB44" i="177"/>
  <c r="M24" i="180"/>
  <c r="N24" i="180"/>
  <c r="O24" i="180"/>
  <c r="N22" i="178"/>
  <c r="M22" i="178"/>
  <c r="O22" i="178"/>
  <c r="N17" i="183"/>
  <c r="O17" i="183"/>
  <c r="M17" i="183"/>
  <c r="AB44" i="183"/>
  <c r="O30" i="179"/>
  <c r="N30" i="179"/>
  <c r="M30" i="179"/>
  <c r="N32" i="178"/>
  <c r="O32" i="178"/>
  <c r="M32" i="178"/>
  <c r="N39" i="177"/>
  <c r="O39" i="177"/>
  <c r="M39" i="177"/>
  <c r="M7" i="178"/>
  <c r="N7" i="178"/>
  <c r="O7" i="178"/>
  <c r="K44" i="178"/>
  <c r="M16" i="182"/>
  <c r="N16" i="182"/>
  <c r="O16" i="182"/>
  <c r="O21" i="181"/>
  <c r="M21" i="181"/>
  <c r="N21" i="181"/>
  <c r="M35" i="179"/>
  <c r="N35" i="179"/>
  <c r="O35" i="179"/>
  <c r="N39" i="182"/>
  <c r="M39" i="182"/>
  <c r="O39" i="182"/>
  <c r="AB44" i="180"/>
  <c r="N39" i="178"/>
  <c r="M39" i="178"/>
  <c r="O39" i="178"/>
  <c r="AC44" i="178"/>
  <c r="M38" i="179"/>
  <c r="N38" i="179"/>
  <c r="O38" i="179"/>
  <c r="O31" i="182"/>
  <c r="M31" i="182"/>
  <c r="N31" i="182"/>
  <c r="O29" i="177"/>
  <c r="M29" i="177"/>
  <c r="N29" i="177"/>
  <c r="M16" i="180"/>
  <c r="O16" i="180"/>
  <c r="N16" i="180"/>
  <c r="O32" i="182"/>
  <c r="M32" i="182"/>
  <c r="N32" i="182"/>
  <c r="N38" i="181"/>
  <c r="M38" i="181"/>
  <c r="O38" i="181"/>
  <c r="M30" i="181"/>
  <c r="O30" i="181"/>
  <c r="N30" i="181"/>
  <c r="O31" i="183"/>
  <c r="M31" i="183"/>
  <c r="N31" i="183"/>
  <c r="O25" i="180"/>
  <c r="N25" i="180"/>
  <c r="M25" i="180"/>
  <c r="N11" i="180"/>
  <c r="O11" i="180"/>
  <c r="M11" i="180"/>
  <c r="O19" i="179"/>
  <c r="N19" i="179"/>
  <c r="M19" i="179"/>
  <c r="N9" i="177"/>
  <c r="M9" i="177"/>
  <c r="O9" i="177"/>
  <c r="N34" i="180"/>
  <c r="M34" i="180"/>
  <c r="L34" i="180" s="1"/>
  <c r="O34" i="180"/>
  <c r="N25" i="183"/>
  <c r="M25" i="183"/>
  <c r="O25" i="183"/>
  <c r="M28" i="180"/>
  <c r="O28" i="180"/>
  <c r="N28" i="180"/>
  <c r="N29" i="181"/>
  <c r="M29" i="181"/>
  <c r="O29" i="181"/>
  <c r="M30" i="178"/>
  <c r="N30" i="178"/>
  <c r="O30" i="178"/>
  <c r="O17" i="182"/>
  <c r="N17" i="182"/>
  <c r="M17" i="182"/>
  <c r="N24" i="183"/>
  <c r="M24" i="183"/>
  <c r="O24" i="183"/>
  <c r="M14" i="177"/>
  <c r="N14" i="177"/>
  <c r="O14" i="177"/>
  <c r="N33" i="183"/>
  <c r="M33" i="183"/>
  <c r="O33" i="183"/>
  <c r="AC44" i="177"/>
  <c r="O19" i="181"/>
  <c r="N19" i="181"/>
  <c r="M19" i="181"/>
  <c r="M13" i="183"/>
  <c r="O13" i="183"/>
  <c r="N13" i="183"/>
  <c r="O10" i="182"/>
  <c r="N10" i="182"/>
  <c r="M10" i="182"/>
  <c r="N36" i="183"/>
  <c r="O36" i="183"/>
  <c r="M36" i="183"/>
  <c r="O33" i="179"/>
  <c r="N33" i="179"/>
  <c r="M33" i="179"/>
  <c r="O33" i="181"/>
  <c r="M33" i="181"/>
  <c r="N33" i="181"/>
  <c r="O42" i="178"/>
  <c r="N42" i="178"/>
  <c r="M42" i="178"/>
  <c r="M14" i="179"/>
  <c r="O14" i="179"/>
  <c r="N14" i="179"/>
  <c r="N29" i="182"/>
  <c r="O29" i="182"/>
  <c r="M29" i="182"/>
  <c r="O23" i="183"/>
  <c r="M23" i="183"/>
  <c r="N23" i="183"/>
  <c r="M19" i="183"/>
  <c r="N19" i="183"/>
  <c r="O19" i="183"/>
  <c r="N27" i="180"/>
  <c r="O27" i="180"/>
  <c r="M27" i="180"/>
  <c r="M11" i="177"/>
  <c r="O11" i="177"/>
  <c r="N11" i="177"/>
  <c r="O26" i="180"/>
  <c r="M26" i="180"/>
  <c r="N26" i="180"/>
  <c r="M31" i="180"/>
  <c r="O31" i="180"/>
  <c r="N31" i="180"/>
  <c r="M36" i="179"/>
  <c r="N36" i="179"/>
  <c r="O36" i="179"/>
  <c r="M12" i="178"/>
  <c r="O12" i="178"/>
  <c r="N12" i="178"/>
  <c r="N9" i="178"/>
  <c r="O9" i="178"/>
  <c r="M9" i="178"/>
  <c r="M19" i="177"/>
  <c r="O19" i="177"/>
  <c r="N19" i="177"/>
  <c r="N36" i="180"/>
  <c r="O36" i="180"/>
  <c r="M36" i="180"/>
  <c r="M9" i="183"/>
  <c r="O9" i="183"/>
  <c r="N9" i="183"/>
  <c r="O8" i="181"/>
  <c r="M8" i="181"/>
  <c r="N8" i="181"/>
  <c r="N18" i="183"/>
  <c r="M18" i="183"/>
  <c r="O18" i="183"/>
  <c r="M18" i="179"/>
  <c r="O18" i="179"/>
  <c r="N18" i="179"/>
  <c r="M22" i="177"/>
  <c r="N22" i="177"/>
  <c r="O22" i="177"/>
  <c r="N21" i="180"/>
  <c r="M21" i="180"/>
  <c r="O21" i="180"/>
  <c r="N24" i="182"/>
  <c r="M24" i="182"/>
  <c r="O24" i="182"/>
  <c r="M34" i="178"/>
  <c r="N34" i="178"/>
  <c r="O34" i="178"/>
  <c r="N23" i="180"/>
  <c r="M23" i="180"/>
  <c r="O23" i="180"/>
  <c r="M36" i="178"/>
  <c r="N36" i="178"/>
  <c r="O36" i="178"/>
  <c r="M15" i="180"/>
  <c r="O15" i="180"/>
  <c r="N15" i="180"/>
  <c r="N21" i="179"/>
  <c r="O21" i="179"/>
  <c r="M21" i="179"/>
  <c r="M19" i="182"/>
  <c r="O19" i="182"/>
  <c r="N19" i="182"/>
  <c r="M11" i="178"/>
  <c r="N11" i="178"/>
  <c r="O11" i="178"/>
  <c r="O17" i="178"/>
  <c r="N17" i="178"/>
  <c r="M17" i="178"/>
  <c r="O7" i="183"/>
  <c r="K44" i="183"/>
  <c r="M7" i="183"/>
  <c r="N7" i="183"/>
  <c r="N12" i="177"/>
  <c r="M12" i="177"/>
  <c r="O12" i="177"/>
  <c r="O24" i="179"/>
  <c r="N24" i="179"/>
  <c r="M24" i="179"/>
  <c r="O8" i="183"/>
  <c r="M8" i="183"/>
  <c r="N8" i="183"/>
  <c r="O8" i="180"/>
  <c r="N8" i="180"/>
  <c r="M8" i="180"/>
  <c r="O26" i="183"/>
  <c r="M26" i="183"/>
  <c r="N26" i="183"/>
  <c r="M41" i="181"/>
  <c r="O41" i="181"/>
  <c r="N41" i="181"/>
  <c r="O40" i="180"/>
  <c r="N40" i="180"/>
  <c r="M40" i="180"/>
  <c r="O40" i="177"/>
  <c r="M40" i="177"/>
  <c r="N40" i="177"/>
  <c r="N15" i="178"/>
  <c r="O15" i="178"/>
  <c r="M15" i="178"/>
  <c r="M26" i="181"/>
  <c r="O26" i="181"/>
  <c r="N26" i="181"/>
  <c r="M40" i="181"/>
  <c r="N40" i="181"/>
  <c r="O40" i="181"/>
  <c r="AC44" i="180"/>
  <c r="M22" i="179"/>
  <c r="O22" i="179"/>
  <c r="N22" i="179"/>
  <c r="O41" i="178"/>
  <c r="N41" i="178"/>
  <c r="M41" i="178"/>
  <c r="M18" i="180"/>
  <c r="O18" i="180"/>
  <c r="N18" i="180"/>
  <c r="N25" i="181"/>
  <c r="O25" i="181"/>
  <c r="M25" i="181"/>
  <c r="M29" i="183"/>
  <c r="O29" i="183"/>
  <c r="N29" i="183"/>
  <c r="O15" i="183"/>
  <c r="N15" i="183"/>
  <c r="M15" i="183"/>
  <c r="O28" i="177"/>
  <c r="M28" i="177"/>
  <c r="N28" i="177"/>
  <c r="N37" i="178"/>
  <c r="O37" i="178"/>
  <c r="M37" i="178"/>
  <c r="M22" i="181"/>
  <c r="N22" i="181"/>
  <c r="O22" i="181"/>
  <c r="O23" i="182"/>
  <c r="N23" i="182"/>
  <c r="M23" i="182"/>
  <c r="N27" i="182"/>
  <c r="O27" i="182"/>
  <c r="M27" i="182"/>
  <c r="N33" i="177"/>
  <c r="M33" i="177"/>
  <c r="O33" i="177"/>
  <c r="N36" i="181"/>
  <c r="M36" i="181"/>
  <c r="O36" i="181"/>
  <c r="O31" i="178"/>
  <c r="M31" i="178"/>
  <c r="N31" i="178"/>
  <c r="N17" i="177"/>
  <c r="M17" i="177"/>
  <c r="O17" i="177"/>
  <c r="N15" i="179"/>
  <c r="O15" i="179"/>
  <c r="M15" i="179"/>
  <c r="N35" i="178"/>
  <c r="M35" i="178"/>
  <c r="O35" i="178"/>
  <c r="N26" i="182"/>
  <c r="O26" i="182"/>
  <c r="M26" i="182"/>
  <c r="O41" i="180"/>
  <c r="M41" i="180"/>
  <c r="N41" i="180"/>
  <c r="O21" i="177"/>
  <c r="M21" i="177"/>
  <c r="N21" i="177"/>
  <c r="N16" i="177"/>
  <c r="O16" i="177"/>
  <c r="M16" i="177"/>
  <c r="N14" i="180"/>
  <c r="O14" i="180"/>
  <c r="M14" i="180"/>
  <c r="N39" i="183"/>
  <c r="O39" i="183"/>
  <c r="M39" i="183"/>
  <c r="N42" i="181"/>
  <c r="M42" i="181"/>
  <c r="O42" i="181"/>
  <c r="M7" i="179"/>
  <c r="O7" i="179"/>
  <c r="N7" i="179"/>
  <c r="K44" i="179"/>
  <c r="M26" i="179"/>
  <c r="N26" i="179"/>
  <c r="O26" i="179"/>
  <c r="M16" i="183"/>
  <c r="N16" i="183"/>
  <c r="O16" i="183"/>
  <c r="O25" i="182"/>
  <c r="N25" i="182"/>
  <c r="M25" i="182"/>
  <c r="N14" i="178"/>
  <c r="M14" i="178"/>
  <c r="O14" i="178"/>
  <c r="O34" i="183"/>
  <c r="N34" i="183"/>
  <c r="M34" i="183"/>
  <c r="AC44" i="181"/>
  <c r="M10" i="178"/>
  <c r="O10" i="178"/>
  <c r="N10" i="178"/>
  <c r="M26" i="177"/>
  <c r="O26" i="177"/>
  <c r="N26" i="177"/>
  <c r="AC44" i="183"/>
  <c r="O17" i="180"/>
  <c r="M17" i="180"/>
  <c r="N17" i="180"/>
  <c r="M26" i="178"/>
  <c r="O26" i="178"/>
  <c r="N26" i="178"/>
  <c r="N28" i="181"/>
  <c r="M28" i="181"/>
  <c r="O28" i="181"/>
  <c r="O21" i="178"/>
  <c r="N21" i="178"/>
  <c r="M21" i="178"/>
  <c r="N8" i="177"/>
  <c r="M8" i="177"/>
  <c r="O8" i="177"/>
  <c r="N31" i="181"/>
  <c r="O31" i="181"/>
  <c r="M31" i="181"/>
  <c r="N38" i="182"/>
  <c r="O38" i="182"/>
  <c r="M38" i="182"/>
  <c r="M42" i="179"/>
  <c r="O42" i="179"/>
  <c r="N42" i="179"/>
  <c r="O31" i="179"/>
  <c r="N31" i="179"/>
  <c r="M31" i="179"/>
  <c r="M40" i="179"/>
  <c r="O40" i="179"/>
  <c r="N40" i="179"/>
  <c r="N35" i="177"/>
  <c r="O35" i="177"/>
  <c r="M35" i="177"/>
  <c r="M21" i="182"/>
  <c r="O21" i="182"/>
  <c r="N21" i="182"/>
  <c r="M8" i="182"/>
  <c r="O8" i="182"/>
  <c r="N8" i="182"/>
  <c r="N37" i="177"/>
  <c r="O37" i="177"/>
  <c r="M37" i="177"/>
  <c r="O37" i="181"/>
  <c r="N37" i="181"/>
  <c r="M37" i="181"/>
  <c r="N22" i="180"/>
  <c r="O22" i="180"/>
  <c r="M22" i="180"/>
  <c r="N15" i="181"/>
  <c r="O15" i="181"/>
  <c r="M15" i="181"/>
  <c r="N36" i="182"/>
  <c r="M36" i="182"/>
  <c r="O36" i="182"/>
  <c r="N13" i="182"/>
  <c r="O13" i="182"/>
  <c r="M13" i="182"/>
  <c r="O41" i="182"/>
  <c r="N41" i="182"/>
  <c r="M41" i="182"/>
  <c r="AC44" i="179"/>
  <c r="N39" i="181"/>
  <c r="O39" i="181"/>
  <c r="M39" i="181"/>
  <c r="AB44" i="181"/>
  <c r="M12" i="182"/>
  <c r="O12" i="182"/>
  <c r="N12" i="182"/>
  <c r="N19" i="180"/>
  <c r="M19" i="180"/>
  <c r="O19" i="180"/>
  <c r="O35" i="181"/>
  <c r="M35" i="181"/>
  <c r="N35" i="181"/>
  <c r="N36" i="177"/>
  <c r="O36" i="177"/>
  <c r="M36" i="177"/>
  <c r="AB44" i="178"/>
  <c r="N27" i="181"/>
  <c r="M27" i="181"/>
  <c r="O27" i="181"/>
  <c r="N10" i="183"/>
  <c r="M10" i="183"/>
  <c r="O10" i="183"/>
  <c r="O14" i="181"/>
  <c r="M14" i="181"/>
  <c r="N14" i="181"/>
  <c r="M9" i="181"/>
  <c r="N9" i="181"/>
  <c r="O9" i="181"/>
  <c r="O41" i="183"/>
  <c r="N41" i="183"/>
  <c r="M41" i="183"/>
  <c r="O38" i="178"/>
  <c r="M38" i="178"/>
  <c r="N38" i="178"/>
  <c r="M31" i="177"/>
  <c r="N31" i="177"/>
  <c r="O31" i="177"/>
  <c r="N39" i="180"/>
  <c r="M39" i="180"/>
  <c r="O39" i="180"/>
  <c r="O28" i="183"/>
  <c r="M28" i="183"/>
  <c r="N28" i="183"/>
  <c r="N22" i="183"/>
  <c r="O22" i="183"/>
  <c r="M22" i="183"/>
  <c r="N22" i="182"/>
  <c r="M22" i="182"/>
  <c r="O22" i="182"/>
  <c r="N9" i="182"/>
  <c r="O9" i="182"/>
  <c r="M9" i="182"/>
  <c r="M10" i="177"/>
  <c r="N10" i="177"/>
  <c r="O10" i="177"/>
  <c r="O13" i="179"/>
  <c r="N13" i="179"/>
  <c r="M13" i="179"/>
  <c r="O33" i="182"/>
  <c r="M33" i="182"/>
  <c r="N33" i="182"/>
  <c r="M42" i="182"/>
  <c r="O42" i="182"/>
  <c r="N42" i="182"/>
  <c r="O7" i="181"/>
  <c r="K44" i="181"/>
  <c r="M7" i="181"/>
  <c r="N7" i="181"/>
  <c r="N17" i="181"/>
  <c r="M17" i="181"/>
  <c r="O17" i="181"/>
  <c r="N38" i="180"/>
  <c r="M38" i="180"/>
  <c r="O38" i="180"/>
  <c r="N14" i="183"/>
  <c r="O14" i="183"/>
  <c r="M14" i="183"/>
  <c r="N7" i="177"/>
  <c r="O7" i="177"/>
  <c r="K44" i="177"/>
  <c r="M7" i="177"/>
  <c r="M10" i="181"/>
  <c r="O10" i="181"/>
  <c r="N10" i="181"/>
  <c r="M13" i="181"/>
  <c r="N13" i="181"/>
  <c r="O13" i="181"/>
  <c r="O11" i="181"/>
  <c r="M11" i="181"/>
  <c r="N11" i="181"/>
  <c r="N18" i="178"/>
  <c r="O18" i="178"/>
  <c r="M18" i="178"/>
  <c r="N32" i="180"/>
  <c r="M32" i="180"/>
  <c r="O32" i="180"/>
  <c r="O37" i="182"/>
  <c r="M37" i="182"/>
  <c r="N37" i="182"/>
  <c r="L37" i="183" l="1"/>
  <c r="L33" i="183"/>
  <c r="L16" i="183"/>
  <c r="L24" i="183"/>
  <c r="L38" i="183"/>
  <c r="L28" i="180"/>
  <c r="L12" i="177"/>
  <c r="L36" i="177"/>
  <c r="L42" i="177"/>
  <c r="L40" i="181"/>
  <c r="L7" i="180"/>
  <c r="L41" i="180"/>
  <c r="L31" i="178"/>
  <c r="L12" i="180"/>
  <c r="L11" i="179"/>
  <c r="L14" i="183"/>
  <c r="L31" i="177"/>
  <c r="L12" i="178"/>
  <c r="L39" i="178"/>
  <c r="L32" i="181"/>
  <c r="L31" i="179"/>
  <c r="L23" i="182"/>
  <c r="L19" i="181"/>
  <c r="L25" i="178"/>
  <c r="L25" i="177"/>
  <c r="L39" i="181"/>
  <c r="L22" i="180"/>
  <c r="L42" i="179"/>
  <c r="L15" i="179"/>
  <c r="L34" i="177"/>
  <c r="L30" i="180"/>
  <c r="L35" i="179"/>
  <c r="L32" i="178"/>
  <c r="L21" i="180"/>
  <c r="L26" i="180"/>
  <c r="L19" i="183"/>
  <c r="L9" i="181"/>
  <c r="L10" i="178"/>
  <c r="L26" i="179"/>
  <c r="L14" i="180"/>
  <c r="L17" i="177"/>
  <c r="L33" i="177"/>
  <c r="L13" i="178"/>
  <c r="L35" i="178"/>
  <c r="L15" i="183"/>
  <c r="L17" i="178"/>
  <c r="L33" i="178"/>
  <c r="L37" i="178"/>
  <c r="L33" i="179"/>
  <c r="L37" i="179"/>
  <c r="L35" i="177"/>
  <c r="L18" i="179"/>
  <c r="L27" i="180"/>
  <c r="L29" i="181"/>
  <c r="L32" i="179"/>
  <c r="L42" i="180"/>
  <c r="L19" i="178"/>
  <c r="L25" i="181"/>
  <c r="L11" i="180"/>
  <c r="L22" i="178"/>
  <c r="L28" i="178"/>
  <c r="L38" i="178"/>
  <c r="L28" i="177"/>
  <c r="L22" i="179"/>
  <c r="L29" i="178"/>
  <c r="L28" i="179"/>
  <c r="L14" i="181"/>
  <c r="L19" i="180"/>
  <c r="L18" i="180"/>
  <c r="L15" i="178"/>
  <c r="L34" i="178"/>
  <c r="L36" i="179"/>
  <c r="L14" i="179"/>
  <c r="L9" i="177"/>
  <c r="L15" i="177"/>
  <c r="L35" i="183"/>
  <c r="L11" i="181"/>
  <c r="L26" i="177"/>
  <c r="L41" i="178"/>
  <c r="L24" i="179"/>
  <c r="L11" i="177"/>
  <c r="L42" i="178"/>
  <c r="L10" i="182"/>
  <c r="L30" i="178"/>
  <c r="L16" i="180"/>
  <c r="L18" i="177"/>
  <c r="L13" i="177"/>
  <c r="L14" i="178"/>
  <c r="L26" i="182"/>
  <c r="L38" i="181"/>
  <c r="L24" i="177"/>
  <c r="O44" i="177"/>
  <c r="L26" i="178"/>
  <c r="L22" i="181"/>
  <c r="L19" i="177"/>
  <c r="L31" i="180"/>
  <c r="L32" i="182"/>
  <c r="L34" i="179"/>
  <c r="L35" i="180"/>
  <c r="L17" i="181"/>
  <c r="L22" i="183"/>
  <c r="L27" i="181"/>
  <c r="L35" i="181"/>
  <c r="L21" i="178"/>
  <c r="L17" i="180"/>
  <c r="L36" i="181"/>
  <c r="L27" i="182"/>
  <c r="L23" i="180"/>
  <c r="L9" i="178"/>
  <c r="L30" i="181"/>
  <c r="L8" i="179"/>
  <c r="L25" i="179"/>
  <c r="L27" i="178"/>
  <c r="L23" i="179"/>
  <c r="L10" i="177"/>
  <c r="L7" i="179"/>
  <c r="L10" i="181"/>
  <c r="L39" i="180"/>
  <c r="L37" i="177"/>
  <c r="L40" i="177"/>
  <c r="L11" i="178"/>
  <c r="L15" i="180"/>
  <c r="L18" i="183"/>
  <c r="L36" i="180"/>
  <c r="L13" i="183"/>
  <c r="L25" i="180"/>
  <c r="L31" i="182"/>
  <c r="L30" i="179"/>
  <c r="L12" i="179"/>
  <c r="L33" i="180"/>
  <c r="L29" i="179"/>
  <c r="L18" i="178"/>
  <c r="L41" i="183"/>
  <c r="L28" i="181"/>
  <c r="L21" i="177"/>
  <c r="L40" i="180"/>
  <c r="L36" i="183"/>
  <c r="L25" i="183"/>
  <c r="L19" i="179"/>
  <c r="L9" i="180"/>
  <c r="L10" i="179"/>
  <c r="L38" i="177"/>
  <c r="L17" i="179"/>
  <c r="L25" i="182"/>
  <c r="L19" i="182"/>
  <c r="L22" i="177"/>
  <c r="L38" i="179"/>
  <c r="L39" i="177"/>
  <c r="L41" i="179"/>
  <c r="L27" i="183"/>
  <c r="L32" i="177"/>
  <c r="L38" i="180"/>
  <c r="L13" i="179"/>
  <c r="L8" i="177"/>
  <c r="L41" i="177"/>
  <c r="L32" i="180"/>
  <c r="L36" i="182"/>
  <c r="L40" i="179"/>
  <c r="L16" i="177"/>
  <c r="L29" i="183"/>
  <c r="L8" i="180"/>
  <c r="L21" i="179"/>
  <c r="L36" i="178"/>
  <c r="L24" i="182"/>
  <c r="L14" i="177"/>
  <c r="L31" i="183"/>
  <c r="L29" i="177"/>
  <c r="L24" i="180"/>
  <c r="L35" i="182"/>
  <c r="L40" i="178"/>
  <c r="L9" i="179"/>
  <c r="L23" i="177"/>
  <c r="L33" i="182"/>
  <c r="L15" i="181"/>
  <c r="L8" i="183"/>
  <c r="L29" i="182"/>
  <c r="L17" i="182"/>
  <c r="L21" i="181"/>
  <c r="L16" i="181"/>
  <c r="L41" i="181"/>
  <c r="L37" i="182"/>
  <c r="L7" i="181"/>
  <c r="L9" i="182"/>
  <c r="L28" i="183"/>
  <c r="L13" i="182"/>
  <c r="L26" i="183"/>
  <c r="L9" i="183"/>
  <c r="L39" i="182"/>
  <c r="L30" i="182"/>
  <c r="L21" i="183"/>
  <c r="L31" i="181"/>
  <c r="L42" i="181"/>
  <c r="L17" i="183"/>
  <c r="L11" i="183"/>
  <c r="L30" i="183"/>
  <c r="L26" i="181"/>
  <c r="O44" i="181"/>
  <c r="N44" i="182"/>
  <c r="L39" i="183"/>
  <c r="L7" i="183"/>
  <c r="L16" i="182"/>
  <c r="L41" i="182"/>
  <c r="L21" i="182"/>
  <c r="L42" i="182"/>
  <c r="O44" i="182"/>
  <c r="L33" i="181"/>
  <c r="L40" i="183"/>
  <c r="L13" i="181"/>
  <c r="L22" i="182"/>
  <c r="L10" i="183"/>
  <c r="L12" i="182"/>
  <c r="L37" i="181"/>
  <c r="M44" i="182"/>
  <c r="L38" i="182"/>
  <c r="L8" i="181"/>
  <c r="L23" i="183"/>
  <c r="L28" i="182"/>
  <c r="L32" i="183"/>
  <c r="L18" i="181"/>
  <c r="L7" i="177"/>
  <c r="O44" i="178"/>
  <c r="M44" i="177"/>
  <c r="N44" i="179"/>
  <c r="N44" i="183"/>
  <c r="N44" i="178"/>
  <c r="N44" i="181"/>
  <c r="O44" i="179"/>
  <c r="M44" i="183"/>
  <c r="M44" i="178"/>
  <c r="N44" i="180"/>
  <c r="N44" i="177"/>
  <c r="L8" i="182"/>
  <c r="O44" i="183"/>
  <c r="M44" i="180"/>
  <c r="M44" i="181"/>
  <c r="M44" i="179"/>
  <c r="O44" i="180"/>
  <c r="L7" i="178"/>
  <c r="L44" i="177" l="1"/>
  <c r="L44" i="180"/>
  <c r="L44" i="178"/>
  <c r="L44" i="179"/>
  <c r="L44" i="183"/>
  <c r="L44" i="181"/>
  <c r="L44" i="182"/>
  <c r="P13" i="176"/>
  <c r="P7" i="176" l="1"/>
  <c r="P9" i="175"/>
  <c r="P19" i="176"/>
  <c r="P30" i="176"/>
  <c r="P42" i="176"/>
  <c r="K13" i="176"/>
  <c r="P21" i="176"/>
  <c r="P15" i="176"/>
  <c r="P12" i="176"/>
  <c r="P36" i="175"/>
  <c r="P8" i="175"/>
  <c r="P22" i="175"/>
  <c r="P17" i="175"/>
  <c r="P13" i="175"/>
  <c r="P23" i="176"/>
  <c r="P28" i="176"/>
  <c r="P29" i="176"/>
  <c r="P24" i="175"/>
  <c r="P16" i="175"/>
  <c r="P27" i="175"/>
  <c r="P41" i="175"/>
  <c r="P15" i="175"/>
  <c r="P40" i="175"/>
  <c r="P19" i="175"/>
  <c r="P34" i="175"/>
  <c r="P25" i="175"/>
  <c r="P37" i="175"/>
  <c r="P32" i="175"/>
  <c r="P29" i="175"/>
  <c r="P10" i="175"/>
  <c r="P7" i="175"/>
  <c r="P31" i="175"/>
  <c r="P39" i="175"/>
  <c r="P35" i="175"/>
  <c r="P12" i="175"/>
  <c r="P26" i="175"/>
  <c r="P21" i="175"/>
  <c r="P33" i="175"/>
  <c r="P38" i="175"/>
  <c r="P18" i="175"/>
  <c r="P27" i="176"/>
  <c r="P22" i="176"/>
  <c r="P23" i="175"/>
  <c r="P36" i="176"/>
  <c r="P11" i="175"/>
  <c r="P28" i="175"/>
  <c r="P42" i="175"/>
  <c r="P30" i="175"/>
  <c r="P14" i="175"/>
  <c r="P37" i="176"/>
  <c r="P14" i="176"/>
  <c r="P10" i="176"/>
  <c r="P39" i="176"/>
  <c r="P33" i="176"/>
  <c r="P11" i="176"/>
  <c r="P40" i="176"/>
  <c r="P17" i="176"/>
  <c r="P34" i="176"/>
  <c r="P31" i="176"/>
  <c r="P41" i="176"/>
  <c r="P32" i="176"/>
  <c r="P9" i="176"/>
  <c r="P38" i="176"/>
  <c r="P24" i="176"/>
  <c r="P16" i="176"/>
  <c r="P35" i="176"/>
  <c r="P26" i="176"/>
  <c r="P8" i="176"/>
  <c r="P25" i="176"/>
  <c r="P18" i="176"/>
  <c r="K26" i="176" l="1"/>
  <c r="AC16" i="176"/>
  <c r="AC38" i="176"/>
  <c r="AC32" i="176"/>
  <c r="K34" i="176"/>
  <c r="K17" i="176"/>
  <c r="AB40" i="176"/>
  <c r="AC36" i="176"/>
  <c r="AB39" i="176"/>
  <c r="K14" i="175"/>
  <c r="K28" i="175"/>
  <c r="AB27" i="176"/>
  <c r="AB15" i="175"/>
  <c r="AB24" i="175"/>
  <c r="AC10" i="175"/>
  <c r="AC13" i="175"/>
  <c r="AC27" i="176"/>
  <c r="AB42" i="176"/>
  <c r="K42" i="176"/>
  <c r="AB28" i="176"/>
  <c r="K12" i="176"/>
  <c r="AC25" i="175"/>
  <c r="AB19" i="175"/>
  <c r="AB28" i="175"/>
  <c r="AB36" i="175"/>
  <c r="K25" i="175"/>
  <c r="K34" i="175"/>
  <c r="K19" i="175"/>
  <c r="K39" i="176"/>
  <c r="AC15" i="175"/>
  <c r="AC9" i="175"/>
  <c r="AC40" i="175"/>
  <c r="AC34" i="175"/>
  <c r="K18" i="175"/>
  <c r="AC19" i="175"/>
  <c r="AC27" i="175"/>
  <c r="AC36" i="175"/>
  <c r="AB30" i="175"/>
  <c r="AB25" i="176"/>
  <c r="AC26" i="176"/>
  <c r="K16" i="176"/>
  <c r="K38" i="176"/>
  <c r="AC34" i="176"/>
  <c r="AB6" i="176"/>
  <c r="AB11" i="176"/>
  <c r="AB8" i="176"/>
  <c r="AB33" i="175"/>
  <c r="AC32" i="175"/>
  <c r="K35" i="175"/>
  <c r="AC41" i="175"/>
  <c r="AB21" i="175"/>
  <c r="AC23" i="175"/>
  <c r="K29" i="175"/>
  <c r="AB17" i="175"/>
  <c r="AB6" i="175"/>
  <c r="K25" i="176"/>
  <c r="AB26" i="176"/>
  <c r="AC40" i="176"/>
  <c r="AC39" i="176"/>
  <c r="K16" i="175"/>
  <c r="AB9" i="175"/>
  <c r="K21" i="175"/>
  <c r="AB14" i="176"/>
  <c r="O13" i="176"/>
  <c r="M13" i="176"/>
  <c r="N13" i="176"/>
  <c r="K21" i="176"/>
  <c r="AB7" i="176"/>
  <c r="AB9" i="176"/>
  <c r="K33" i="175"/>
  <c r="AB25" i="175"/>
  <c r="AB32" i="175"/>
  <c r="AB35" i="175"/>
  <c r="K7" i="175"/>
  <c r="K23" i="175"/>
  <c r="K40" i="175"/>
  <c r="AC38" i="175"/>
  <c r="AC35" i="175"/>
  <c r="AC7" i="175"/>
  <c r="AC21" i="175"/>
  <c r="AB13" i="175"/>
  <c r="AC22" i="175"/>
  <c r="AC25" i="176"/>
  <c r="AB16" i="176"/>
  <c r="AB38" i="176"/>
  <c r="AB32" i="176"/>
  <c r="AB36" i="176"/>
  <c r="AB8" i="175"/>
  <c r="AB38" i="175"/>
  <c r="K11" i="175"/>
  <c r="AC14" i="176"/>
  <c r="K30" i="175"/>
  <c r="AC11" i="175"/>
  <c r="AB21" i="176"/>
  <c r="AC29" i="176"/>
  <c r="AB10" i="175"/>
  <c r="AC8" i="175"/>
  <c r="K29" i="176"/>
  <c r="AB15" i="176"/>
  <c r="AC21" i="176"/>
  <c r="K23" i="176"/>
  <c r="AB40" i="175"/>
  <c r="K38" i="175"/>
  <c r="AB34" i="175"/>
  <c r="AC18" i="175"/>
  <c r="K26" i="175"/>
  <c r="AB27" i="175"/>
  <c r="AB11" i="175"/>
  <c r="AC17" i="175"/>
  <c r="AB18" i="176"/>
  <c r="AB35" i="176"/>
  <c r="AC9" i="176"/>
  <c r="AB41" i="176"/>
  <c r="AB34" i="176"/>
  <c r="P6" i="176"/>
  <c r="P44" i="176" s="1"/>
  <c r="K11" i="176"/>
  <c r="AC33" i="176"/>
  <c r="K10" i="176"/>
  <c r="K14" i="176"/>
  <c r="K27" i="176"/>
  <c r="AC24" i="175"/>
  <c r="AB29" i="176"/>
  <c r="AC23" i="176"/>
  <c r="K9" i="175"/>
  <c r="K22" i="175"/>
  <c r="K28" i="176"/>
  <c r="AC15" i="176"/>
  <c r="K30" i="176"/>
  <c r="K31" i="176"/>
  <c r="AB18" i="175"/>
  <c r="AC28" i="175"/>
  <c r="AB42" i="175"/>
  <c r="K41" i="176"/>
  <c r="AC6" i="176"/>
  <c r="K24" i="175"/>
  <c r="K15" i="176"/>
  <c r="AB22" i="176"/>
  <c r="K17" i="175"/>
  <c r="AC16" i="175"/>
  <c r="K13" i="175"/>
  <c r="K8" i="175"/>
  <c r="AB30" i="176"/>
  <c r="AC30" i="176"/>
  <c r="K22" i="176"/>
  <c r="AC37" i="176"/>
  <c r="AC12" i="176"/>
  <c r="AC31" i="175"/>
  <c r="AC39" i="175"/>
  <c r="AB12" i="175"/>
  <c r="AC26" i="175"/>
  <c r="K27" i="175"/>
  <c r="AB14" i="175"/>
  <c r="AC14" i="175"/>
  <c r="K18" i="176"/>
  <c r="AC8" i="176"/>
  <c r="K35" i="176"/>
  <c r="AC24" i="176"/>
  <c r="AB33" i="176"/>
  <c r="K36" i="176"/>
  <c r="AB19" i="176"/>
  <c r="AB13" i="176"/>
  <c r="K36" i="175"/>
  <c r="K7" i="176"/>
  <c r="AB31" i="175"/>
  <c r="AB39" i="175"/>
  <c r="K12" i="175"/>
  <c r="K41" i="175"/>
  <c r="AB26" i="175"/>
  <c r="AC29" i="175"/>
  <c r="AC6" i="175"/>
  <c r="AC30" i="175"/>
  <c r="AB37" i="176"/>
  <c r="K8" i="176"/>
  <c r="AB24" i="176"/>
  <c r="K9" i="176"/>
  <c r="AC31" i="176"/>
  <c r="AC17" i="176"/>
  <c r="K40" i="176"/>
  <c r="AC11" i="176"/>
  <c r="K33" i="176"/>
  <c r="AC10" i="176"/>
  <c r="K37" i="176"/>
  <c r="K42" i="175"/>
  <c r="AB23" i="176"/>
  <c r="P6" i="175"/>
  <c r="P44" i="175" s="1"/>
  <c r="K19" i="176"/>
  <c r="AC33" i="175"/>
  <c r="K31" i="175"/>
  <c r="K32" i="175"/>
  <c r="K39" i="175"/>
  <c r="AC12" i="175"/>
  <c r="AB41" i="175"/>
  <c r="AB7" i="175"/>
  <c r="K37" i="175"/>
  <c r="AB23" i="175"/>
  <c r="AB29" i="175"/>
  <c r="AC37" i="175"/>
  <c r="AC42" i="175"/>
  <c r="AB37" i="175"/>
  <c r="AC18" i="176"/>
  <c r="AC42" i="176"/>
  <c r="AC35" i="176"/>
  <c r="K24" i="176"/>
  <c r="K32" i="176"/>
  <c r="AC41" i="176"/>
  <c r="AB31" i="176"/>
  <c r="AB17" i="176"/>
  <c r="AB10" i="176"/>
  <c r="AC19" i="176"/>
  <c r="AB12" i="176"/>
  <c r="AC22" i="176"/>
  <c r="AC13" i="176"/>
  <c r="K10" i="175"/>
  <c r="AB22" i="175"/>
  <c r="AB16" i="175"/>
  <c r="AC28" i="176"/>
  <c r="AC7" i="176"/>
  <c r="K15" i="175"/>
  <c r="L13" i="176" l="1"/>
  <c r="O39" i="175"/>
  <c r="N39" i="175"/>
  <c r="M39" i="175"/>
  <c r="O21" i="176"/>
  <c r="N21" i="176"/>
  <c r="M21" i="176"/>
  <c r="N21" i="175"/>
  <c r="O21" i="175"/>
  <c r="M21" i="175"/>
  <c r="M38" i="176"/>
  <c r="N38" i="176"/>
  <c r="O38" i="176"/>
  <c r="O18" i="175"/>
  <c r="M18" i="175"/>
  <c r="N18" i="175"/>
  <c r="N25" i="175"/>
  <c r="M25" i="175"/>
  <c r="O25" i="175"/>
  <c r="AC44" i="175"/>
  <c r="O28" i="176"/>
  <c r="M28" i="176"/>
  <c r="N28" i="176"/>
  <c r="M10" i="176"/>
  <c r="O10" i="176"/>
  <c r="N10" i="176"/>
  <c r="N10" i="175"/>
  <c r="M10" i="175"/>
  <c r="O10" i="175"/>
  <c r="M32" i="175"/>
  <c r="N32" i="175"/>
  <c r="O32" i="175"/>
  <c r="N8" i="176"/>
  <c r="M8" i="176"/>
  <c r="O8" i="176"/>
  <c r="O8" i="175"/>
  <c r="M8" i="175"/>
  <c r="N8" i="175"/>
  <c r="O41" i="176"/>
  <c r="N41" i="176"/>
  <c r="M41" i="176"/>
  <c r="N31" i="176"/>
  <c r="M31" i="176"/>
  <c r="O31" i="176"/>
  <c r="M22" i="175"/>
  <c r="O22" i="175"/>
  <c r="N22" i="175"/>
  <c r="O23" i="176"/>
  <c r="N23" i="176"/>
  <c r="M23" i="176"/>
  <c r="M42" i="176"/>
  <c r="O42" i="176"/>
  <c r="N42" i="176"/>
  <c r="M28" i="175"/>
  <c r="N28" i="175"/>
  <c r="O28" i="175"/>
  <c r="O15" i="175"/>
  <c r="M15" i="175"/>
  <c r="N15" i="175"/>
  <c r="O37" i="175"/>
  <c r="N37" i="175"/>
  <c r="M37" i="175"/>
  <c r="N33" i="175"/>
  <c r="M33" i="175"/>
  <c r="O33" i="175"/>
  <c r="O29" i="175"/>
  <c r="M29" i="175"/>
  <c r="N29" i="175"/>
  <c r="N35" i="175"/>
  <c r="O35" i="175"/>
  <c r="M35" i="175"/>
  <c r="M16" i="176"/>
  <c r="O16" i="176"/>
  <c r="N16" i="176"/>
  <c r="M39" i="176"/>
  <c r="N39" i="176"/>
  <c r="O39" i="176"/>
  <c r="N37" i="176"/>
  <c r="O37" i="176"/>
  <c r="M37" i="176"/>
  <c r="N18" i="176"/>
  <c r="M18" i="176"/>
  <c r="O18" i="176"/>
  <c r="M32" i="176"/>
  <c r="N32" i="176"/>
  <c r="O32" i="176"/>
  <c r="N31" i="175"/>
  <c r="O31" i="175"/>
  <c r="M31" i="175"/>
  <c r="M33" i="176"/>
  <c r="N33" i="176"/>
  <c r="O33" i="176"/>
  <c r="M35" i="176"/>
  <c r="N35" i="176"/>
  <c r="O35" i="176"/>
  <c r="O22" i="176"/>
  <c r="M22" i="176"/>
  <c r="N22" i="176"/>
  <c r="N13" i="175"/>
  <c r="O13" i="175"/>
  <c r="M13" i="175"/>
  <c r="O15" i="176"/>
  <c r="M15" i="176"/>
  <c r="N15" i="176"/>
  <c r="N30" i="176"/>
  <c r="M30" i="176"/>
  <c r="O30" i="176"/>
  <c r="M9" i="175"/>
  <c r="O9" i="175"/>
  <c r="N9" i="175"/>
  <c r="O27" i="176"/>
  <c r="N27" i="176"/>
  <c r="M27" i="176"/>
  <c r="O11" i="176"/>
  <c r="N11" i="176"/>
  <c r="M11" i="176"/>
  <c r="M30" i="175"/>
  <c r="N30" i="175"/>
  <c r="O30" i="175"/>
  <c r="O40" i="175"/>
  <c r="N40" i="175"/>
  <c r="M40" i="175"/>
  <c r="N14" i="175"/>
  <c r="O14" i="175"/>
  <c r="M14" i="175"/>
  <c r="M17" i="176"/>
  <c r="N17" i="176"/>
  <c r="O17" i="176"/>
  <c r="M19" i="176"/>
  <c r="N19" i="176"/>
  <c r="O19" i="176"/>
  <c r="AC44" i="176"/>
  <c r="N26" i="175"/>
  <c r="O26" i="175"/>
  <c r="M26" i="175"/>
  <c r="N7" i="175"/>
  <c r="O7" i="175"/>
  <c r="K44" i="175"/>
  <c r="L7" i="175"/>
  <c r="M7" i="175"/>
  <c r="N16" i="175"/>
  <c r="M16" i="175"/>
  <c r="O16" i="175"/>
  <c r="M25" i="176"/>
  <c r="O25" i="176"/>
  <c r="N25" i="176"/>
  <c r="AB44" i="176"/>
  <c r="O19" i="175"/>
  <c r="M19" i="175"/>
  <c r="N19" i="175"/>
  <c r="N40" i="176"/>
  <c r="M40" i="176"/>
  <c r="O40" i="176"/>
  <c r="O12" i="175"/>
  <c r="M12" i="175"/>
  <c r="N12" i="175"/>
  <c r="N17" i="175"/>
  <c r="O17" i="175"/>
  <c r="M17" i="175"/>
  <c r="M29" i="176"/>
  <c r="N29" i="176"/>
  <c r="O29" i="176"/>
  <c r="M11" i="175"/>
  <c r="N11" i="175"/>
  <c r="O11" i="175"/>
  <c r="M24" i="176"/>
  <c r="O24" i="176"/>
  <c r="N24" i="176"/>
  <c r="O42" i="175"/>
  <c r="N42" i="175"/>
  <c r="M42" i="175"/>
  <c r="O9" i="176"/>
  <c r="M9" i="176"/>
  <c r="N9" i="176"/>
  <c r="M41" i="175"/>
  <c r="O41" i="175"/>
  <c r="N41" i="175"/>
  <c r="K44" i="176"/>
  <c r="N7" i="176"/>
  <c r="M7" i="176"/>
  <c r="O7" i="176"/>
  <c r="O36" i="176"/>
  <c r="M36" i="176"/>
  <c r="N36" i="176"/>
  <c r="M27" i="175"/>
  <c r="O27" i="175"/>
  <c r="N27" i="175"/>
  <c r="N24" i="175"/>
  <c r="M24" i="175"/>
  <c r="O24" i="175"/>
  <c r="O14" i="176"/>
  <c r="M14" i="176"/>
  <c r="N14" i="176"/>
  <c r="N38" i="175"/>
  <c r="O38" i="175"/>
  <c r="M38" i="175"/>
  <c r="O23" i="175"/>
  <c r="N23" i="175"/>
  <c r="M23" i="175"/>
  <c r="N12" i="176"/>
  <c r="O12" i="176"/>
  <c r="M12" i="176"/>
  <c r="M34" i="176"/>
  <c r="O34" i="176"/>
  <c r="N34" i="176"/>
  <c r="O26" i="176"/>
  <c r="N26" i="176"/>
  <c r="M26" i="176"/>
  <c r="M36" i="175"/>
  <c r="N36" i="175"/>
  <c r="O36" i="175"/>
  <c r="AB44" i="175"/>
  <c r="O34" i="175"/>
  <c r="M34" i="175"/>
  <c r="N34" i="175"/>
  <c r="L39" i="175" l="1"/>
  <c r="L25" i="175"/>
  <c r="L18" i="175"/>
  <c r="L38" i="176"/>
  <c r="L40" i="175"/>
  <c r="L26" i="175"/>
  <c r="L21" i="176"/>
  <c r="L9" i="176"/>
  <c r="L14" i="175"/>
  <c r="L26" i="176"/>
  <c r="L24" i="176"/>
  <c r="L21" i="175"/>
  <c r="L22" i="176"/>
  <c r="L39" i="176"/>
  <c r="L15" i="176"/>
  <c r="L37" i="175"/>
  <c r="L13" i="175"/>
  <c r="L23" i="176"/>
  <c r="L41" i="176"/>
  <c r="L14" i="176"/>
  <c r="L41" i="175"/>
  <c r="L28" i="175"/>
  <c r="L9" i="175"/>
  <c r="L32" i="175"/>
  <c r="L11" i="176"/>
  <c r="L16" i="176"/>
  <c r="L8" i="175"/>
  <c r="L38" i="175"/>
  <c r="L7" i="176"/>
  <c r="L16" i="175"/>
  <c r="L30" i="176"/>
  <c r="L32" i="176"/>
  <c r="L35" i="175"/>
  <c r="L42" i="175"/>
  <c r="L27" i="176"/>
  <c r="L33" i="176"/>
  <c r="L31" i="176"/>
  <c r="L28" i="176"/>
  <c r="L19" i="176"/>
  <c r="L29" i="175"/>
  <c r="L33" i="175"/>
  <c r="L24" i="175"/>
  <c r="O44" i="176"/>
  <c r="L11" i="175"/>
  <c r="L12" i="175"/>
  <c r="L35" i="176"/>
  <c r="L18" i="176"/>
  <c r="L10" i="175"/>
  <c r="L10" i="176"/>
  <c r="L34" i="176"/>
  <c r="L29" i="176"/>
  <c r="L17" i="176"/>
  <c r="L8" i="176"/>
  <c r="L12" i="176"/>
  <c r="L40" i="176"/>
  <c r="L25" i="176"/>
  <c r="L36" i="175"/>
  <c r="L27" i="175"/>
  <c r="L17" i="175"/>
  <c r="L30" i="175"/>
  <c r="L37" i="176"/>
  <c r="L31" i="175"/>
  <c r="L22" i="175"/>
  <c r="L34" i="175"/>
  <c r="L23" i="175"/>
  <c r="L36" i="176"/>
  <c r="L19" i="175"/>
  <c r="L15" i="175"/>
  <c r="L42" i="176"/>
  <c r="N44" i="175"/>
  <c r="M44" i="176"/>
  <c r="N44" i="176"/>
  <c r="M44" i="175"/>
  <c r="O44" i="175"/>
  <c r="L44" i="176" l="1"/>
  <c r="L44" i="175"/>
  <c r="K15" i="166" l="1"/>
  <c r="L15" i="166" l="1"/>
  <c r="O15" i="166"/>
  <c r="M15" i="166"/>
  <c r="N15" i="166"/>
  <c r="P23" i="171"/>
  <c r="P34" i="171"/>
  <c r="F15" i="166" l="1"/>
  <c r="AB23" i="171"/>
  <c r="K34" i="171"/>
  <c r="AC23" i="171"/>
  <c r="K23" i="171"/>
  <c r="P7" i="171"/>
  <c r="P24" i="171"/>
  <c r="P22" i="171"/>
  <c r="P26" i="171"/>
  <c r="P25" i="171"/>
  <c r="P14" i="171"/>
  <c r="P13" i="171"/>
  <c r="P15" i="171"/>
  <c r="P40" i="171"/>
  <c r="P19" i="171"/>
  <c r="P32" i="171"/>
  <c r="P16" i="171"/>
  <c r="P41" i="171"/>
  <c r="P29" i="171"/>
  <c r="P11" i="171"/>
  <c r="P35" i="171"/>
  <c r="P21" i="171"/>
  <c r="P39" i="171"/>
  <c r="P28" i="171"/>
  <c r="P38" i="171"/>
  <c r="P8" i="171"/>
  <c r="P33" i="171"/>
  <c r="P37" i="171"/>
  <c r="P27" i="171"/>
  <c r="P18" i="171"/>
  <c r="P31" i="171"/>
  <c r="P36" i="171"/>
  <c r="P17" i="171"/>
  <c r="P30" i="171"/>
  <c r="P42" i="171"/>
  <c r="P9" i="171"/>
  <c r="P10" i="171"/>
  <c r="P12" i="171"/>
  <c r="G15" i="166" l="1"/>
  <c r="AC39" i="171"/>
  <c r="AC35" i="171"/>
  <c r="AC19" i="171"/>
  <c r="AB31" i="171"/>
  <c r="AB10" i="171"/>
  <c r="AC11" i="171"/>
  <c r="AC26" i="171"/>
  <c r="AB39" i="171"/>
  <c r="AC18" i="171"/>
  <c r="AB17" i="171"/>
  <c r="K9" i="171"/>
  <c r="AB33" i="171"/>
  <c r="AC34" i="171"/>
  <c r="AC13" i="171"/>
  <c r="K21" i="171"/>
  <c r="K11" i="171"/>
  <c r="AB8" i="171"/>
  <c r="AC42" i="171"/>
  <c r="AB41" i="171"/>
  <c r="AB40" i="171"/>
  <c r="AC28" i="171"/>
  <c r="AC7" i="171"/>
  <c r="K17" i="171"/>
  <c r="K33" i="171"/>
  <c r="K7" i="171"/>
  <c r="AB14" i="171"/>
  <c r="K12" i="171"/>
  <c r="K14" i="171"/>
  <c r="AC22" i="171"/>
  <c r="K26" i="171"/>
  <c r="M23" i="171"/>
  <c r="N23" i="171"/>
  <c r="O23" i="171"/>
  <c r="N34" i="171"/>
  <c r="M34" i="171"/>
  <c r="O34" i="171"/>
  <c r="AB19" i="171"/>
  <c r="AC8" i="171"/>
  <c r="AB42" i="171"/>
  <c r="AC41" i="171"/>
  <c r="AC40" i="171"/>
  <c r="AB36" i="171"/>
  <c r="K31" i="171"/>
  <c r="K38" i="171"/>
  <c r="K35" i="171"/>
  <c r="AB22" i="171"/>
  <c r="K32" i="171"/>
  <c r="AC24" i="171"/>
  <c r="AB9" i="171"/>
  <c r="K28" i="171"/>
  <c r="AC21" i="171"/>
  <c r="AC32" i="171"/>
  <c r="AB27" i="171"/>
  <c r="AB28" i="171"/>
  <c r="AB7" i="171"/>
  <c r="AB6" i="171"/>
  <c r="AC10" i="171"/>
  <c r="AB34" i="171"/>
  <c r="K18" i="171"/>
  <c r="AB21" i="171"/>
  <c r="AB32" i="171"/>
  <c r="AC27" i="171"/>
  <c r="AC31" i="171"/>
  <c r="AC37" i="171"/>
  <c r="P6" i="171"/>
  <c r="P44" i="171" s="1"/>
  <c r="K36" i="171"/>
  <c r="AC33" i="171"/>
  <c r="K29" i="171"/>
  <c r="K15" i="171"/>
  <c r="AC15" i="171"/>
  <c r="AC14" i="171"/>
  <c r="AC30" i="171"/>
  <c r="AC16" i="171"/>
  <c r="K42" i="171"/>
  <c r="AC9" i="171"/>
  <c r="K41" i="171"/>
  <c r="K22" i="171"/>
  <c r="AB37" i="171"/>
  <c r="AC6" i="171"/>
  <c r="K27" i="171"/>
  <c r="AB13" i="171"/>
  <c r="K25" i="171"/>
  <c r="K10" i="171"/>
  <c r="K24" i="171"/>
  <c r="K19" i="171"/>
  <c r="K13" i="171"/>
  <c r="AB35" i="171"/>
  <c r="AC12" i="171"/>
  <c r="AC38" i="171"/>
  <c r="AC29" i="171"/>
  <c r="AB30" i="171"/>
  <c r="AB18" i="171"/>
  <c r="AB16" i="171"/>
  <c r="AB26" i="171"/>
  <c r="K39" i="171"/>
  <c r="AB11" i="171"/>
  <c r="AB38" i="171"/>
  <c r="AB29" i="171"/>
  <c r="AC17" i="171"/>
  <c r="AC36" i="171"/>
  <c r="AB12" i="171"/>
  <c r="K30" i="171"/>
  <c r="AB25" i="171"/>
  <c r="K37" i="171"/>
  <c r="K8" i="171"/>
  <c r="K16" i="171"/>
  <c r="K40" i="171"/>
  <c r="AC25" i="171"/>
  <c r="AB24" i="171"/>
  <c r="AB15" i="171"/>
  <c r="L23" i="171" l="1"/>
  <c r="L34" i="171"/>
  <c r="N25" i="171"/>
  <c r="O25" i="171"/>
  <c r="M25" i="171"/>
  <c r="N12" i="171"/>
  <c r="O12" i="171"/>
  <c r="M12" i="171"/>
  <c r="N17" i="171"/>
  <c r="O17" i="171"/>
  <c r="M17" i="171"/>
  <c r="M21" i="171"/>
  <c r="O21" i="171"/>
  <c r="N21" i="171"/>
  <c r="O8" i="171"/>
  <c r="N8" i="171"/>
  <c r="M8" i="171"/>
  <c r="N19" i="171"/>
  <c r="M19" i="171"/>
  <c r="O19" i="171"/>
  <c r="N35" i="171"/>
  <c r="M35" i="171"/>
  <c r="O35" i="171"/>
  <c r="O37" i="171"/>
  <c r="N37" i="171"/>
  <c r="M37" i="171"/>
  <c r="N29" i="171"/>
  <c r="M29" i="171"/>
  <c r="O29" i="171"/>
  <c r="AB44" i="171"/>
  <c r="N38" i="171"/>
  <c r="M38" i="171"/>
  <c r="O38" i="171"/>
  <c r="N9" i="171"/>
  <c r="M9" i="171"/>
  <c r="O9" i="171"/>
  <c r="N24" i="171"/>
  <c r="O24" i="171"/>
  <c r="M24" i="171"/>
  <c r="O27" i="171"/>
  <c r="N27" i="171"/>
  <c r="M27" i="171"/>
  <c r="O22" i="171"/>
  <c r="M22" i="171"/>
  <c r="N22" i="171"/>
  <c r="O7" i="171"/>
  <c r="K44" i="171"/>
  <c r="M7" i="171"/>
  <c r="N7" i="171"/>
  <c r="N40" i="171"/>
  <c r="O40" i="171"/>
  <c r="M40" i="171"/>
  <c r="O39" i="171"/>
  <c r="N39" i="171"/>
  <c r="M39" i="171"/>
  <c r="O18" i="171"/>
  <c r="N18" i="171"/>
  <c r="M18" i="171"/>
  <c r="N32" i="171"/>
  <c r="O32" i="171"/>
  <c r="M32" i="171"/>
  <c r="N31" i="171"/>
  <c r="M31" i="171"/>
  <c r="O31" i="171"/>
  <c r="O42" i="171"/>
  <c r="M42" i="171"/>
  <c r="N42" i="171"/>
  <c r="M10" i="171"/>
  <c r="N10" i="171"/>
  <c r="O10" i="171"/>
  <c r="AC44" i="171"/>
  <c r="M41" i="171"/>
  <c r="N41" i="171"/>
  <c r="O41" i="171"/>
  <c r="M14" i="171"/>
  <c r="N14" i="171"/>
  <c r="O14" i="171"/>
  <c r="M33" i="171"/>
  <c r="N33" i="171"/>
  <c r="O33" i="171"/>
  <c r="O11" i="171"/>
  <c r="M11" i="171"/>
  <c r="N11" i="171"/>
  <c r="M26" i="171"/>
  <c r="O26" i="171"/>
  <c r="N26" i="171"/>
  <c r="O16" i="171"/>
  <c r="N16" i="171"/>
  <c r="M16" i="171"/>
  <c r="N30" i="171"/>
  <c r="M30" i="171"/>
  <c r="O30" i="171"/>
  <c r="M13" i="171"/>
  <c r="O13" i="171"/>
  <c r="N13" i="171"/>
  <c r="M15" i="171"/>
  <c r="N15" i="171"/>
  <c r="O15" i="171"/>
  <c r="O36" i="171"/>
  <c r="M36" i="171"/>
  <c r="N36" i="171"/>
  <c r="O28" i="171"/>
  <c r="M28" i="171"/>
  <c r="N28" i="171"/>
  <c r="L17" i="171" l="1"/>
  <c r="L39" i="171"/>
  <c r="L35" i="171"/>
  <c r="L30" i="171"/>
  <c r="L40" i="171"/>
  <c r="L14" i="171"/>
  <c r="L16" i="171"/>
  <c r="L25" i="171"/>
  <c r="L11" i="171"/>
  <c r="L32" i="171"/>
  <c r="L37" i="171"/>
  <c r="L42" i="171"/>
  <c r="L18" i="171"/>
  <c r="L24" i="171"/>
  <c r="L8" i="171"/>
  <c r="L31" i="171"/>
  <c r="L33" i="171"/>
  <c r="L36" i="171"/>
  <c r="L12" i="171"/>
  <c r="L27" i="171"/>
  <c r="L38" i="171"/>
  <c r="L19" i="171"/>
  <c r="L13" i="171"/>
  <c r="L26" i="171"/>
  <c r="L10" i="171"/>
  <c r="L22" i="171"/>
  <c r="L21" i="171"/>
  <c r="L7" i="171"/>
  <c r="L9" i="171"/>
  <c r="L29" i="171"/>
  <c r="L15" i="171"/>
  <c r="L41" i="171"/>
  <c r="L28" i="171"/>
  <c r="N44" i="171"/>
  <c r="M44" i="171"/>
  <c r="O44" i="171"/>
  <c r="L44" i="171" l="1"/>
  <c r="P15" i="170" l="1"/>
  <c r="P15" i="185" l="1"/>
  <c r="P15" i="186"/>
  <c r="AB15" i="170"/>
  <c r="AC15" i="170"/>
  <c r="AC15" i="166"/>
  <c r="K15" i="170"/>
  <c r="K15" i="186" s="1"/>
  <c r="AB15" i="166"/>
  <c r="AB15" i="186" l="1"/>
  <c r="AC15" i="186"/>
  <c r="AB15" i="185"/>
  <c r="AC15" i="185"/>
  <c r="N15" i="170"/>
  <c r="M15" i="170"/>
  <c r="O15" i="170"/>
  <c r="K15" i="185"/>
  <c r="M15" i="185" l="1"/>
  <c r="M15" i="186"/>
  <c r="O15" i="185"/>
  <c r="O15" i="186"/>
  <c r="N15" i="185"/>
  <c r="N15" i="186"/>
  <c r="L15" i="170"/>
  <c r="P38" i="170"/>
  <c r="P7" i="170"/>
  <c r="P37" i="170"/>
  <c r="P35" i="170"/>
  <c r="P14" i="170"/>
  <c r="P27" i="170"/>
  <c r="P28" i="170"/>
  <c r="P10" i="170"/>
  <c r="P24" i="170"/>
  <c r="P40" i="170"/>
  <c r="P17" i="170"/>
  <c r="P11" i="170"/>
  <c r="P22" i="170"/>
  <c r="P13" i="170"/>
  <c r="P26" i="170"/>
  <c r="P25" i="170"/>
  <c r="P18" i="170"/>
  <c r="P21" i="170"/>
  <c r="P42" i="170"/>
  <c r="P16" i="170"/>
  <c r="P9" i="170"/>
  <c r="P8" i="170"/>
  <c r="P30" i="170"/>
  <c r="P41" i="170"/>
  <c r="P36" i="170"/>
  <c r="P29" i="170"/>
  <c r="P39" i="170"/>
  <c r="P23" i="170"/>
  <c r="P19" i="170"/>
  <c r="P32" i="170"/>
  <c r="P33" i="170"/>
  <c r="P31" i="170"/>
  <c r="P38" i="185" l="1"/>
  <c r="P38" i="186"/>
  <c r="P10" i="185"/>
  <c r="P10" i="186"/>
  <c r="L15" i="185"/>
  <c r="L15" i="186"/>
  <c r="P14" i="185"/>
  <c r="P14" i="186"/>
  <c r="P7" i="185"/>
  <c r="P7" i="186"/>
  <c r="AB24" i="170"/>
  <c r="AB36" i="170"/>
  <c r="AB40" i="170"/>
  <c r="AC23" i="170"/>
  <c r="AC11" i="170"/>
  <c r="AB23" i="170"/>
  <c r="AB30" i="170"/>
  <c r="AC29" i="170"/>
  <c r="AB39" i="170"/>
  <c r="P6" i="170"/>
  <c r="AC36" i="170"/>
  <c r="AB11" i="170"/>
  <c r="AB42" i="170"/>
  <c r="AB29" i="170"/>
  <c r="AC6" i="170"/>
  <c r="AB6" i="170"/>
  <c r="AB17" i="170"/>
  <c r="AB31" i="170"/>
  <c r="AC31" i="170"/>
  <c r="K14" i="170"/>
  <c r="K8" i="170"/>
  <c r="K25" i="170"/>
  <c r="K19" i="170"/>
  <c r="AB38" i="170"/>
  <c r="K17" i="170"/>
  <c r="K42" i="170"/>
  <c r="K28" i="170"/>
  <c r="K9" i="170"/>
  <c r="K24" i="170"/>
  <c r="K22" i="170"/>
  <c r="K33" i="170"/>
  <c r="AC19" i="170"/>
  <c r="AC42" i="170"/>
  <c r="AB7" i="170"/>
  <c r="AC9" i="170"/>
  <c r="AC18" i="170"/>
  <c r="AB35" i="170"/>
  <c r="AC26" i="170"/>
  <c r="AB19" i="170"/>
  <c r="AB32" i="170"/>
  <c r="AC13" i="170"/>
  <c r="AC7" i="170"/>
  <c r="AB25" i="170"/>
  <c r="AB16" i="170"/>
  <c r="AB9" i="170"/>
  <c r="AC27" i="170"/>
  <c r="AB8" i="170"/>
  <c r="AB37" i="170"/>
  <c r="K21" i="170"/>
  <c r="K16" i="170"/>
  <c r="K18" i="170"/>
  <c r="K23" i="170"/>
  <c r="AC40" i="170"/>
  <c r="AC38" i="170"/>
  <c r="AB26" i="170"/>
  <c r="AC32" i="170"/>
  <c r="AC10" i="170"/>
  <c r="AB13" i="170"/>
  <c r="AC21" i="170"/>
  <c r="AC41" i="170"/>
  <c r="AC25" i="170"/>
  <c r="AC28" i="170"/>
  <c r="AB28" i="170"/>
  <c r="K7" i="170"/>
  <c r="K41" i="170"/>
  <c r="K39" i="170"/>
  <c r="K36" i="170"/>
  <c r="AC24" i="170"/>
  <c r="AB10" i="170"/>
  <c r="AB21" i="170"/>
  <c r="AB41" i="170"/>
  <c r="AB14" i="170"/>
  <c r="AC35" i="170"/>
  <c r="AC8" i="170"/>
  <c r="AC17" i="170"/>
  <c r="AB27" i="170"/>
  <c r="K11" i="170"/>
  <c r="K40" i="170"/>
  <c r="K29" i="170"/>
  <c r="K35" i="170"/>
  <c r="AC22" i="170"/>
  <c r="K10" i="170"/>
  <c r="K13" i="170"/>
  <c r="K38" i="170"/>
  <c r="K30" i="170"/>
  <c r="AC30" i="170"/>
  <c r="AC39" i="170"/>
  <c r="AB22" i="170"/>
  <c r="AC16" i="170"/>
  <c r="AB18" i="170"/>
  <c r="AC14" i="170"/>
  <c r="AB33" i="170"/>
  <c r="AC33" i="170"/>
  <c r="AC37" i="170"/>
  <c r="K26" i="170"/>
  <c r="K27" i="170"/>
  <c r="K32" i="170"/>
  <c r="K31" i="170"/>
  <c r="K37" i="170"/>
  <c r="M7" i="170" l="1"/>
  <c r="N7" i="170"/>
  <c r="O7" i="170"/>
  <c r="O23" i="170"/>
  <c r="N23" i="170"/>
  <c r="M23" i="170"/>
  <c r="M9" i="170"/>
  <c r="N9" i="170"/>
  <c r="O9" i="170"/>
  <c r="N14" i="170"/>
  <c r="M14" i="170"/>
  <c r="O14" i="170"/>
  <c r="O31" i="170"/>
  <c r="N31" i="170"/>
  <c r="M31" i="170"/>
  <c r="N10" i="170"/>
  <c r="M10" i="170"/>
  <c r="O10" i="170"/>
  <c r="N40" i="170"/>
  <c r="O40" i="170"/>
  <c r="M40" i="170"/>
  <c r="O36" i="170"/>
  <c r="N36" i="170"/>
  <c r="M36" i="170"/>
  <c r="N18" i="170"/>
  <c r="M18" i="170"/>
  <c r="O18" i="170"/>
  <c r="N33" i="170"/>
  <c r="O33" i="170"/>
  <c r="M33" i="170"/>
  <c r="N28" i="170"/>
  <c r="M28" i="170"/>
  <c r="O28" i="170"/>
  <c r="M19" i="170"/>
  <c r="O19" i="170"/>
  <c r="N19" i="170"/>
  <c r="N32" i="170"/>
  <c r="M32" i="170"/>
  <c r="O32" i="170"/>
  <c r="O30" i="170"/>
  <c r="M30" i="170"/>
  <c r="N30" i="170"/>
  <c r="O11" i="170"/>
  <c r="M11" i="170"/>
  <c r="N11" i="170"/>
  <c r="N39" i="170"/>
  <c r="O39" i="170"/>
  <c r="M39" i="170"/>
  <c r="O16" i="170"/>
  <c r="M16" i="170"/>
  <c r="N16" i="170"/>
  <c r="M22" i="170"/>
  <c r="O22" i="170"/>
  <c r="N22" i="170"/>
  <c r="M42" i="170"/>
  <c r="N42" i="170"/>
  <c r="O42" i="170"/>
  <c r="N25" i="170"/>
  <c r="O25" i="170"/>
  <c r="M25" i="170"/>
  <c r="O27" i="170"/>
  <c r="N27" i="170"/>
  <c r="M27" i="170"/>
  <c r="N38" i="170"/>
  <c r="M38" i="170"/>
  <c r="O38" i="170"/>
  <c r="N35" i="170"/>
  <c r="M35" i="170"/>
  <c r="O35" i="170"/>
  <c r="N41" i="170"/>
  <c r="O41" i="170"/>
  <c r="M41" i="170"/>
  <c r="N21" i="170"/>
  <c r="O21" i="170"/>
  <c r="M21" i="170"/>
  <c r="O24" i="170"/>
  <c r="M24" i="170"/>
  <c r="N24" i="170"/>
  <c r="M17" i="170"/>
  <c r="N17" i="170"/>
  <c r="O17" i="170"/>
  <c r="M8" i="170"/>
  <c r="N8" i="170"/>
  <c r="O8" i="170"/>
  <c r="N37" i="170"/>
  <c r="M37" i="170"/>
  <c r="O37" i="170"/>
  <c r="M26" i="170"/>
  <c r="N26" i="170"/>
  <c r="O26" i="170"/>
  <c r="N13" i="170"/>
  <c r="M13" i="170"/>
  <c r="O13" i="170"/>
  <c r="N29" i="170"/>
  <c r="O29" i="170"/>
  <c r="M29" i="170"/>
  <c r="L10" i="170" l="1"/>
  <c r="L35" i="170"/>
  <c r="L22" i="170"/>
  <c r="L37" i="170"/>
  <c r="L41" i="170"/>
  <c r="L13" i="170"/>
  <c r="L21" i="170"/>
  <c r="L9" i="170"/>
  <c r="L17" i="170"/>
  <c r="L38" i="170"/>
  <c r="L7" i="170"/>
  <c r="L8" i="170"/>
  <c r="L11" i="170"/>
  <c r="L32" i="170"/>
  <c r="L40" i="170"/>
  <c r="L23" i="170"/>
  <c r="L26" i="170"/>
  <c r="L29" i="170"/>
  <c r="L16" i="170"/>
  <c r="L19" i="170"/>
  <c r="L30" i="170"/>
  <c r="L36" i="170"/>
  <c r="L24" i="170"/>
  <c r="L27" i="170"/>
  <c r="L42" i="170"/>
  <c r="L39" i="170"/>
  <c r="L14" i="170"/>
  <c r="L18" i="170"/>
  <c r="L25" i="170"/>
  <c r="L28" i="170"/>
  <c r="L33" i="170"/>
  <c r="L31" i="170"/>
  <c r="P33" i="166"/>
  <c r="P35" i="166"/>
  <c r="P42" i="166"/>
  <c r="P37" i="166"/>
  <c r="P39" i="166"/>
  <c r="P41" i="166"/>
  <c r="P36" i="166"/>
  <c r="P40" i="166"/>
  <c r="P33" i="185" l="1"/>
  <c r="P33" i="186"/>
  <c r="P40" i="185"/>
  <c r="P40" i="186"/>
  <c r="P36" i="185"/>
  <c r="P36" i="186"/>
  <c r="P41" i="185"/>
  <c r="P41" i="186"/>
  <c r="P39" i="185"/>
  <c r="P39" i="186"/>
  <c r="P37" i="185"/>
  <c r="P37" i="186"/>
  <c r="P42" i="185"/>
  <c r="P42" i="186"/>
  <c r="P35" i="185"/>
  <c r="P35" i="186"/>
  <c r="AC40" i="166"/>
  <c r="AB39" i="166"/>
  <c r="AC35" i="166"/>
  <c r="K35" i="166"/>
  <c r="K35" i="186" s="1"/>
  <c r="AB36" i="166"/>
  <c r="AB37" i="166"/>
  <c r="K39" i="166"/>
  <c r="K39" i="186" s="1"/>
  <c r="AC39" i="166"/>
  <c r="K41" i="166"/>
  <c r="K41" i="186" s="1"/>
  <c r="AC36" i="166"/>
  <c r="AC38" i="166"/>
  <c r="AC41" i="166"/>
  <c r="AC37" i="166"/>
  <c r="AB33" i="166"/>
  <c r="K42" i="166"/>
  <c r="K42" i="186" s="1"/>
  <c r="AC33" i="166"/>
  <c r="K40" i="166"/>
  <c r="K40" i="186" s="1"/>
  <c r="AB40" i="166"/>
  <c r="AB41" i="166"/>
  <c r="AC42" i="166"/>
  <c r="K36" i="166"/>
  <c r="K36" i="186" s="1"/>
  <c r="K38" i="166"/>
  <c r="K38" i="186" s="1"/>
  <c r="K37" i="166"/>
  <c r="K37" i="186" s="1"/>
  <c r="AB35" i="166"/>
  <c r="K33" i="166"/>
  <c r="K33" i="186" s="1"/>
  <c r="AB38" i="166"/>
  <c r="AB42" i="166"/>
  <c r="AB35" i="185" l="1"/>
  <c r="AB35" i="186"/>
  <c r="AC33" i="185"/>
  <c r="AC33" i="186"/>
  <c r="AC39" i="185"/>
  <c r="AC39" i="186"/>
  <c r="AB33" i="185"/>
  <c r="AB33" i="186"/>
  <c r="AB37" i="185"/>
  <c r="AB37" i="186"/>
  <c r="AB38" i="185"/>
  <c r="AB38" i="186"/>
  <c r="AC37" i="185"/>
  <c r="AC37" i="186"/>
  <c r="AB36" i="185"/>
  <c r="AB36" i="186"/>
  <c r="AC42" i="185"/>
  <c r="AC42" i="186"/>
  <c r="AC41" i="185"/>
  <c r="AC41" i="186"/>
  <c r="AB42" i="185"/>
  <c r="AB42" i="186"/>
  <c r="AB41" i="185"/>
  <c r="AB41" i="186"/>
  <c r="AC38" i="185"/>
  <c r="AC38" i="186"/>
  <c r="AC35" i="185"/>
  <c r="AC35" i="186"/>
  <c r="AB40" i="185"/>
  <c r="AB40" i="186"/>
  <c r="AC36" i="185"/>
  <c r="AC36" i="186"/>
  <c r="AB39" i="185"/>
  <c r="AB39" i="186"/>
  <c r="AC40" i="185"/>
  <c r="AC40" i="186"/>
  <c r="K40" i="185"/>
  <c r="O40" i="166"/>
  <c r="M40" i="166"/>
  <c r="N40" i="166"/>
  <c r="N37" i="166"/>
  <c r="O37" i="166"/>
  <c r="K37" i="185"/>
  <c r="M37" i="166"/>
  <c r="K36" i="185"/>
  <c r="O36" i="166"/>
  <c r="N36" i="166"/>
  <c r="M36" i="166"/>
  <c r="N35" i="166"/>
  <c r="M35" i="166"/>
  <c r="O35" i="166"/>
  <c r="K35" i="185"/>
  <c r="O33" i="166"/>
  <c r="K33" i="185"/>
  <c r="N33" i="166"/>
  <c r="M33" i="166"/>
  <c r="N38" i="166"/>
  <c r="M38" i="166"/>
  <c r="K38" i="185"/>
  <c r="O38" i="166"/>
  <c r="O41" i="166"/>
  <c r="N41" i="166"/>
  <c r="K41" i="185"/>
  <c r="M41" i="166"/>
  <c r="N39" i="166"/>
  <c r="M39" i="166"/>
  <c r="K39" i="185"/>
  <c r="O39" i="166"/>
  <c r="M42" i="166"/>
  <c r="K42" i="185"/>
  <c r="O42" i="166"/>
  <c r="N42" i="166"/>
  <c r="P25" i="166"/>
  <c r="P13" i="166"/>
  <c r="P24" i="166"/>
  <c r="O35" i="185" l="1"/>
  <c r="O35" i="186"/>
  <c r="N42" i="185"/>
  <c r="N42" i="186"/>
  <c r="M41" i="185"/>
  <c r="M41" i="186"/>
  <c r="M33" i="185"/>
  <c r="M33" i="186"/>
  <c r="M36" i="185"/>
  <c r="M36" i="186"/>
  <c r="N40" i="185"/>
  <c r="N40" i="186"/>
  <c r="N33" i="185"/>
  <c r="N33" i="186"/>
  <c r="N36" i="185"/>
  <c r="N36" i="186"/>
  <c r="M40" i="185"/>
  <c r="M40" i="186"/>
  <c r="N41" i="185"/>
  <c r="N41" i="186"/>
  <c r="O36" i="185"/>
  <c r="O36" i="186"/>
  <c r="O40" i="185"/>
  <c r="O40" i="186"/>
  <c r="O42" i="185"/>
  <c r="O42" i="186"/>
  <c r="M42" i="185"/>
  <c r="M42" i="186"/>
  <c r="O41" i="185"/>
  <c r="O41" i="186"/>
  <c r="O33" i="185"/>
  <c r="O33" i="186"/>
  <c r="O39" i="185"/>
  <c r="O39" i="186"/>
  <c r="O38" i="185"/>
  <c r="O38" i="186"/>
  <c r="M37" i="185"/>
  <c r="M37" i="186"/>
  <c r="P24" i="185"/>
  <c r="P24" i="186"/>
  <c r="P13" i="185"/>
  <c r="P13" i="186"/>
  <c r="M39" i="185"/>
  <c r="M39" i="186"/>
  <c r="M38" i="185"/>
  <c r="M38" i="186"/>
  <c r="M35" i="185"/>
  <c r="M35" i="186"/>
  <c r="O37" i="185"/>
  <c r="O37" i="186"/>
  <c r="P25" i="185"/>
  <c r="P25" i="186"/>
  <c r="N39" i="185"/>
  <c r="N39" i="186"/>
  <c r="N38" i="185"/>
  <c r="N38" i="186"/>
  <c r="N35" i="185"/>
  <c r="N35" i="186"/>
  <c r="N37" i="185"/>
  <c r="N37" i="186"/>
  <c r="L41" i="166"/>
  <c r="L41" i="186" s="1"/>
  <c r="AC13" i="166"/>
  <c r="L39" i="166"/>
  <c r="L39" i="186" s="1"/>
  <c r="L37" i="166"/>
  <c r="L37" i="186" s="1"/>
  <c r="L33" i="166"/>
  <c r="L33" i="186" s="1"/>
  <c r="L38" i="166"/>
  <c r="L38" i="186" s="1"/>
  <c r="L40" i="166"/>
  <c r="L40" i="186" s="1"/>
  <c r="AB13" i="166"/>
  <c r="L42" i="166"/>
  <c r="L42" i="186" s="1"/>
  <c r="L36" i="166"/>
  <c r="L36" i="186" s="1"/>
  <c r="L41" i="185"/>
  <c r="F41" i="166"/>
  <c r="L35" i="166"/>
  <c r="L35" i="186" s="1"/>
  <c r="K13" i="166"/>
  <c r="K13" i="186" s="1"/>
  <c r="K25" i="166"/>
  <c r="K25" i="186" s="1"/>
  <c r="P11" i="166"/>
  <c r="P12" i="166"/>
  <c r="P23" i="166"/>
  <c r="P30" i="166"/>
  <c r="P31" i="166"/>
  <c r="P8" i="166"/>
  <c r="P21" i="166"/>
  <c r="P22" i="166"/>
  <c r="P29" i="166"/>
  <c r="P19" i="166"/>
  <c r="P32" i="166"/>
  <c r="P9" i="166"/>
  <c r="P16" i="166"/>
  <c r="P28" i="166"/>
  <c r="P17" i="166"/>
  <c r="P18" i="166"/>
  <c r="P26" i="166"/>
  <c r="P27" i="166"/>
  <c r="P16" i="185" l="1"/>
  <c r="P16" i="186"/>
  <c r="P31" i="185"/>
  <c r="P31" i="186"/>
  <c r="P26" i="185"/>
  <c r="P26" i="186"/>
  <c r="P9" i="185"/>
  <c r="P9" i="186"/>
  <c r="P30" i="185"/>
  <c r="P30" i="186"/>
  <c r="P32" i="185"/>
  <c r="P32" i="186"/>
  <c r="P23" i="185"/>
  <c r="P23" i="186"/>
  <c r="AC13" i="185"/>
  <c r="AC13" i="186"/>
  <c r="P27" i="185"/>
  <c r="P27" i="186"/>
  <c r="P19" i="185"/>
  <c r="P19" i="186"/>
  <c r="P29" i="185"/>
  <c r="P29" i="186"/>
  <c r="P11" i="185"/>
  <c r="P11" i="186"/>
  <c r="AB13" i="185"/>
  <c r="AB13" i="186"/>
  <c r="P22" i="185"/>
  <c r="P22" i="186"/>
  <c r="P17" i="185"/>
  <c r="P17" i="186"/>
  <c r="P21" i="185"/>
  <c r="P21" i="186"/>
  <c r="P18" i="185"/>
  <c r="P18" i="186"/>
  <c r="P28" i="185"/>
  <c r="P28" i="186"/>
  <c r="P8" i="185"/>
  <c r="P8" i="186"/>
  <c r="AB28" i="166"/>
  <c r="K16" i="166"/>
  <c r="K16" i="186" s="1"/>
  <c r="F42" i="166"/>
  <c r="L42" i="185"/>
  <c r="AB9" i="166"/>
  <c r="AC21" i="166"/>
  <c r="AC29" i="166"/>
  <c r="AB8" i="166"/>
  <c r="AC8" i="166"/>
  <c r="K18" i="166"/>
  <c r="K18" i="186" s="1"/>
  <c r="K17" i="166"/>
  <c r="K17" i="186" s="1"/>
  <c r="AC27" i="166"/>
  <c r="AB18" i="166"/>
  <c r="AC16" i="166"/>
  <c r="AB32" i="166"/>
  <c r="AB29" i="166"/>
  <c r="AB31" i="166"/>
  <c r="AB25" i="166"/>
  <c r="AC19" i="166"/>
  <c r="AC10" i="166"/>
  <c r="K23" i="166"/>
  <c r="K23" i="186" s="1"/>
  <c r="K8" i="166"/>
  <c r="K8" i="186" s="1"/>
  <c r="K28" i="166"/>
  <c r="K28" i="186" s="1"/>
  <c r="M25" i="166"/>
  <c r="O25" i="166"/>
  <c r="N25" i="166"/>
  <c r="K25" i="185"/>
  <c r="K24" i="166"/>
  <c r="K24" i="186" s="1"/>
  <c r="AC32" i="166"/>
  <c r="K21" i="166"/>
  <c r="K21" i="186" s="1"/>
  <c r="L37" i="185"/>
  <c r="F37" i="166"/>
  <c r="AC12" i="166"/>
  <c r="K27" i="166"/>
  <c r="K27" i="186" s="1"/>
  <c r="K26" i="166"/>
  <c r="K26" i="186" s="1"/>
  <c r="AC14" i="166"/>
  <c r="AB16" i="166"/>
  <c r="AC31" i="166"/>
  <c r="AB24" i="166"/>
  <c r="K32" i="166"/>
  <c r="K32" i="186" s="1"/>
  <c r="K19" i="166"/>
  <c r="K19" i="186" s="1"/>
  <c r="K14" i="166"/>
  <c r="K14" i="186" s="1"/>
  <c r="AC25" i="166"/>
  <c r="L35" i="185"/>
  <c r="F35" i="166"/>
  <c r="L40" i="185"/>
  <c r="F40" i="166"/>
  <c r="L39" i="185"/>
  <c r="F39" i="166"/>
  <c r="AC30" i="166"/>
  <c r="AB14" i="166"/>
  <c r="AB17" i="166"/>
  <c r="AB6" i="166"/>
  <c r="AB19" i="166"/>
  <c r="AB22" i="166"/>
  <c r="K30" i="166"/>
  <c r="K30" i="186" s="1"/>
  <c r="K7" i="166"/>
  <c r="K7" i="186" s="1"/>
  <c r="G41" i="166"/>
  <c r="F38" i="166"/>
  <c r="L38" i="185"/>
  <c r="AB27" i="166"/>
  <c r="AC18" i="166"/>
  <c r="AC23" i="166"/>
  <c r="AC24" i="166"/>
  <c r="K29" i="166"/>
  <c r="K29" i="186" s="1"/>
  <c r="AC17" i="166"/>
  <c r="AC11" i="166"/>
  <c r="AC22" i="166"/>
  <c r="AB21" i="166"/>
  <c r="P6" i="166"/>
  <c r="AB12" i="166"/>
  <c r="K9" i="166"/>
  <c r="K9" i="186" s="1"/>
  <c r="K10" i="166"/>
  <c r="K10" i="186" s="1"/>
  <c r="O13" i="166"/>
  <c r="M13" i="166"/>
  <c r="N13" i="166"/>
  <c r="K13" i="185"/>
  <c r="L33" i="185"/>
  <c r="F33" i="166"/>
  <c r="AB10" i="166"/>
  <c r="AB30" i="166"/>
  <c r="K22" i="166"/>
  <c r="K22" i="186" s="1"/>
  <c r="AC26" i="166"/>
  <c r="AB11" i="166"/>
  <c r="AC6" i="166"/>
  <c r="K31" i="166"/>
  <c r="K31" i="186" s="1"/>
  <c r="AB26" i="166"/>
  <c r="AC28" i="166"/>
  <c r="AC9" i="166"/>
  <c r="AB7" i="166"/>
  <c r="AC7" i="166"/>
  <c r="AB23" i="166"/>
  <c r="K11" i="166"/>
  <c r="K11" i="186" s="1"/>
  <c r="K12" i="166"/>
  <c r="L36" i="185"/>
  <c r="F36" i="166"/>
  <c r="AC23" i="185" l="1"/>
  <c r="AC23" i="186"/>
  <c r="AB22" i="185"/>
  <c r="AB22" i="186"/>
  <c r="AB24" i="185"/>
  <c r="AB24" i="186"/>
  <c r="AB32" i="185"/>
  <c r="AB32" i="186"/>
  <c r="AC29" i="185"/>
  <c r="AC29" i="186"/>
  <c r="P6" i="185"/>
  <c r="P6" i="186"/>
  <c r="AC18" i="185"/>
  <c r="AC18" i="186"/>
  <c r="AB19" i="185"/>
  <c r="AB19" i="186"/>
  <c r="AC31" i="185"/>
  <c r="AC31" i="186"/>
  <c r="AC16" i="185"/>
  <c r="AC16" i="186"/>
  <c r="AC21" i="185"/>
  <c r="AC21" i="186"/>
  <c r="AC9" i="185"/>
  <c r="AC9" i="186"/>
  <c r="AC6" i="185"/>
  <c r="AC6" i="186"/>
  <c r="AB21" i="185"/>
  <c r="AB21" i="186"/>
  <c r="AB27" i="185"/>
  <c r="AB27" i="186"/>
  <c r="AB6" i="185"/>
  <c r="AB6" i="186"/>
  <c r="AB16" i="185"/>
  <c r="AB16" i="186"/>
  <c r="AC32" i="185"/>
  <c r="AC32" i="186"/>
  <c r="AB18" i="185"/>
  <c r="AB18" i="186"/>
  <c r="AB9" i="185"/>
  <c r="AB9" i="186"/>
  <c r="AB26" i="185"/>
  <c r="AB26" i="186"/>
  <c r="AB23" i="185"/>
  <c r="AB23" i="186"/>
  <c r="AB11" i="185"/>
  <c r="AB11" i="186"/>
  <c r="N13" i="185"/>
  <c r="N13" i="186"/>
  <c r="AC22" i="185"/>
  <c r="AC22" i="186"/>
  <c r="AB17" i="185"/>
  <c r="AB17" i="186"/>
  <c r="AC14" i="185"/>
  <c r="AC14" i="186"/>
  <c r="AC10" i="185"/>
  <c r="AC10" i="186"/>
  <c r="AC27" i="185"/>
  <c r="AC27" i="186"/>
  <c r="AB7" i="185"/>
  <c r="AB7" i="186"/>
  <c r="AC7" i="185"/>
  <c r="AC7" i="186"/>
  <c r="AC26" i="185"/>
  <c r="AC26" i="186"/>
  <c r="M13" i="185"/>
  <c r="M13" i="186"/>
  <c r="AC11" i="185"/>
  <c r="AC11" i="186"/>
  <c r="AB14" i="185"/>
  <c r="AB14" i="186"/>
  <c r="AC25" i="185"/>
  <c r="AC25" i="186"/>
  <c r="AC19" i="185"/>
  <c r="AC19" i="186"/>
  <c r="O13" i="185"/>
  <c r="O13" i="186"/>
  <c r="AC17" i="185"/>
  <c r="AC17" i="186"/>
  <c r="AC30" i="185"/>
  <c r="AC30" i="186"/>
  <c r="N25" i="185"/>
  <c r="N25" i="186"/>
  <c r="AB25" i="185"/>
  <c r="AB25" i="186"/>
  <c r="AB30" i="185"/>
  <c r="AB30" i="186"/>
  <c r="O25" i="185"/>
  <c r="O25" i="186"/>
  <c r="AB31" i="185"/>
  <c r="AB31" i="186"/>
  <c r="AC8" i="185"/>
  <c r="AC8" i="186"/>
  <c r="AB28" i="185"/>
  <c r="AB28" i="186"/>
  <c r="AC28" i="185"/>
  <c r="AC28" i="186"/>
  <c r="AB10" i="185"/>
  <c r="AB10" i="186"/>
  <c r="AC24" i="185"/>
  <c r="AC24" i="186"/>
  <c r="M25" i="185"/>
  <c r="M25" i="186"/>
  <c r="AB29" i="185"/>
  <c r="AB29" i="186"/>
  <c r="AB8" i="185"/>
  <c r="AB8" i="186"/>
  <c r="L25" i="166"/>
  <c r="G38" i="166"/>
  <c r="G36" i="166"/>
  <c r="M11" i="166"/>
  <c r="K11" i="185"/>
  <c r="N11" i="166"/>
  <c r="O11" i="166"/>
  <c r="G40" i="166"/>
  <c r="K24" i="185"/>
  <c r="M24" i="166"/>
  <c r="N24" i="166"/>
  <c r="O24" i="166"/>
  <c r="K9" i="185"/>
  <c r="O9" i="166"/>
  <c r="M9" i="166"/>
  <c r="N9" i="166"/>
  <c r="M8" i="166"/>
  <c r="N8" i="166"/>
  <c r="K8" i="185"/>
  <c r="O8" i="166"/>
  <c r="G42" i="166"/>
  <c r="N14" i="166"/>
  <c r="O14" i="166"/>
  <c r="M14" i="166"/>
  <c r="K14" i="185"/>
  <c r="N29" i="166"/>
  <c r="M29" i="166"/>
  <c r="O29" i="166"/>
  <c r="K29" i="185"/>
  <c r="G37" i="166"/>
  <c r="N23" i="166"/>
  <c r="M23" i="166"/>
  <c r="K23" i="185"/>
  <c r="O23" i="166"/>
  <c r="K17" i="185"/>
  <c r="O17" i="166"/>
  <c r="M17" i="166"/>
  <c r="N17" i="166"/>
  <c r="N22" i="166"/>
  <c r="M22" i="166"/>
  <c r="K22" i="185"/>
  <c r="O22" i="166"/>
  <c r="G33" i="166"/>
  <c r="M30" i="166"/>
  <c r="O30" i="166"/>
  <c r="K30" i="185"/>
  <c r="N30" i="166"/>
  <c r="N19" i="166"/>
  <c r="K19" i="185"/>
  <c r="O19" i="166"/>
  <c r="M19" i="166"/>
  <c r="K16" i="185"/>
  <c r="M16" i="166"/>
  <c r="N16" i="166"/>
  <c r="O16" i="166"/>
  <c r="N7" i="166"/>
  <c r="K7" i="185"/>
  <c r="O7" i="166"/>
  <c r="M7" i="166"/>
  <c r="N26" i="166"/>
  <c r="K26" i="185"/>
  <c r="M26" i="166"/>
  <c r="O26" i="166"/>
  <c r="O18" i="166"/>
  <c r="N18" i="166"/>
  <c r="K18" i="185"/>
  <c r="M18" i="166"/>
  <c r="M31" i="166"/>
  <c r="N31" i="166"/>
  <c r="O31" i="166"/>
  <c r="K31" i="185"/>
  <c r="M12" i="166"/>
  <c r="N12" i="166"/>
  <c r="O12" i="166"/>
  <c r="L13" i="166"/>
  <c r="L13" i="186" s="1"/>
  <c r="G39" i="166"/>
  <c r="G35" i="166"/>
  <c r="O32" i="166"/>
  <c r="M32" i="166"/>
  <c r="K32" i="185"/>
  <c r="N32" i="166"/>
  <c r="F25" i="166"/>
  <c r="M10" i="166"/>
  <c r="O10" i="166"/>
  <c r="N10" i="166"/>
  <c r="K10" i="185"/>
  <c r="M27" i="166"/>
  <c r="O27" i="166"/>
  <c r="N27" i="166"/>
  <c r="K27" i="185"/>
  <c r="M21" i="166"/>
  <c r="N21" i="166"/>
  <c r="K21" i="185"/>
  <c r="O21" i="166"/>
  <c r="N28" i="166"/>
  <c r="M28" i="166"/>
  <c r="O28" i="166"/>
  <c r="K28" i="185"/>
  <c r="M21" i="185" l="1"/>
  <c r="M21" i="186"/>
  <c r="M10" i="185"/>
  <c r="M10" i="186"/>
  <c r="M18" i="185"/>
  <c r="M18" i="186"/>
  <c r="M7" i="185"/>
  <c r="M7" i="186"/>
  <c r="M19" i="185"/>
  <c r="M19" i="186"/>
  <c r="M29" i="185"/>
  <c r="M29" i="186"/>
  <c r="N24" i="185"/>
  <c r="N24" i="186"/>
  <c r="O7" i="185"/>
  <c r="O7" i="186"/>
  <c r="O19" i="185"/>
  <c r="O19" i="186"/>
  <c r="O22" i="185"/>
  <c r="O22" i="186"/>
  <c r="O23" i="185"/>
  <c r="O23" i="186"/>
  <c r="N29" i="185"/>
  <c r="N29" i="186"/>
  <c r="N8" i="185"/>
  <c r="N8" i="186"/>
  <c r="M24" i="185"/>
  <c r="M24" i="186"/>
  <c r="N32" i="185"/>
  <c r="N32" i="186"/>
  <c r="M8" i="185"/>
  <c r="M8" i="186"/>
  <c r="L25" i="185"/>
  <c r="L25" i="186"/>
  <c r="M28" i="185"/>
  <c r="M28" i="186"/>
  <c r="O27" i="185"/>
  <c r="O27" i="186"/>
  <c r="O18" i="185"/>
  <c r="O18" i="186"/>
  <c r="N7" i="185"/>
  <c r="N7" i="186"/>
  <c r="N19" i="185"/>
  <c r="N19" i="186"/>
  <c r="M22" i="185"/>
  <c r="M22" i="186"/>
  <c r="M23" i="185"/>
  <c r="M23" i="186"/>
  <c r="M14" i="185"/>
  <c r="M14" i="186"/>
  <c r="N9" i="185"/>
  <c r="N9" i="186"/>
  <c r="N27" i="185"/>
  <c r="N27" i="186"/>
  <c r="N18" i="185"/>
  <c r="N18" i="186"/>
  <c r="N28" i="185"/>
  <c r="N28" i="186"/>
  <c r="M27" i="185"/>
  <c r="M27" i="186"/>
  <c r="M32" i="185"/>
  <c r="M32" i="186"/>
  <c r="O26" i="185"/>
  <c r="O26" i="186"/>
  <c r="O16" i="185"/>
  <c r="O16" i="186"/>
  <c r="N30" i="185"/>
  <c r="N30" i="186"/>
  <c r="N22" i="185"/>
  <c r="N22" i="186"/>
  <c r="N23" i="185"/>
  <c r="N23" i="186"/>
  <c r="O14" i="185"/>
  <c r="O14" i="186"/>
  <c r="M9" i="185"/>
  <c r="M9" i="186"/>
  <c r="O11" i="185"/>
  <c r="O11" i="186"/>
  <c r="O28" i="185"/>
  <c r="O28" i="186"/>
  <c r="O21" i="185"/>
  <c r="O21" i="186"/>
  <c r="O32" i="185"/>
  <c r="O32" i="186"/>
  <c r="O31" i="185"/>
  <c r="O31" i="186"/>
  <c r="M26" i="185"/>
  <c r="M26" i="186"/>
  <c r="N16" i="185"/>
  <c r="N16" i="186"/>
  <c r="N17" i="185"/>
  <c r="N17" i="186"/>
  <c r="N14" i="185"/>
  <c r="N14" i="186"/>
  <c r="O9" i="185"/>
  <c r="O9" i="186"/>
  <c r="N11" i="185"/>
  <c r="N11" i="186"/>
  <c r="N10" i="185"/>
  <c r="N10" i="186"/>
  <c r="N31" i="185"/>
  <c r="N31" i="186"/>
  <c r="M16" i="185"/>
  <c r="M16" i="186"/>
  <c r="O30" i="185"/>
  <c r="O30" i="186"/>
  <c r="M17" i="185"/>
  <c r="M17" i="186"/>
  <c r="N21" i="185"/>
  <c r="N21" i="186"/>
  <c r="O10" i="185"/>
  <c r="O10" i="186"/>
  <c r="M31" i="185"/>
  <c r="M31" i="186"/>
  <c r="N26" i="185"/>
  <c r="N26" i="186"/>
  <c r="M30" i="185"/>
  <c r="M30" i="186"/>
  <c r="O17" i="185"/>
  <c r="O17" i="186"/>
  <c r="O29" i="185"/>
  <c r="O29" i="186"/>
  <c r="O8" i="185"/>
  <c r="O8" i="186"/>
  <c r="O24" i="185"/>
  <c r="O24" i="186"/>
  <c r="M11" i="185"/>
  <c r="M11" i="186"/>
  <c r="L11" i="166"/>
  <c r="L11" i="186" s="1"/>
  <c r="L29" i="166"/>
  <c r="L19" i="166"/>
  <c r="L19" i="186" s="1"/>
  <c r="L12" i="166"/>
  <c r="L16" i="166"/>
  <c r="F12" i="166"/>
  <c r="L30" i="166"/>
  <c r="L30" i="186" s="1"/>
  <c r="L27" i="166"/>
  <c r="L27" i="186" s="1"/>
  <c r="G25" i="166"/>
  <c r="L26" i="166"/>
  <c r="L26" i="186" s="1"/>
  <c r="F29" i="166"/>
  <c r="L21" i="166"/>
  <c r="L21" i="186" s="1"/>
  <c r="L18" i="166"/>
  <c r="L18" i="186" s="1"/>
  <c r="L23" i="166"/>
  <c r="L23" i="186" s="1"/>
  <c r="L14" i="166"/>
  <c r="L14" i="186" s="1"/>
  <c r="L9" i="166"/>
  <c r="L9" i="186" s="1"/>
  <c r="F13" i="166"/>
  <c r="L13" i="185"/>
  <c r="L17" i="166"/>
  <c r="L17" i="186" s="1"/>
  <c r="L8" i="166"/>
  <c r="L8" i="186" s="1"/>
  <c r="L24" i="166"/>
  <c r="L31" i="166"/>
  <c r="L31" i="186" s="1"/>
  <c r="L7" i="166"/>
  <c r="L7" i="186" s="1"/>
  <c r="L22" i="166"/>
  <c r="L22" i="186" s="1"/>
  <c r="F11" i="166"/>
  <c r="L11" i="185"/>
  <c r="L28" i="166"/>
  <c r="L28" i="186" s="1"/>
  <c r="L10" i="166"/>
  <c r="L10" i="186" s="1"/>
  <c r="L32" i="166"/>
  <c r="L32" i="186" s="1"/>
  <c r="L19" i="185" l="1"/>
  <c r="L24" i="186"/>
  <c r="L24" i="185"/>
  <c r="F19" i="166"/>
  <c r="L16" i="185"/>
  <c r="L16" i="186"/>
  <c r="L29" i="185"/>
  <c r="L29" i="186"/>
  <c r="F16" i="166"/>
  <c r="F23" i="166"/>
  <c r="L23" i="185"/>
  <c r="L28" i="185"/>
  <c r="F28" i="166"/>
  <c r="F24" i="166"/>
  <c r="L18" i="185"/>
  <c r="F18" i="166"/>
  <c r="L26" i="185"/>
  <c r="F26" i="166"/>
  <c r="F8" i="166"/>
  <c r="L8" i="185"/>
  <c r="L21" i="185"/>
  <c r="F21" i="166"/>
  <c r="F30" i="166"/>
  <c r="L30" i="185"/>
  <c r="L10" i="185"/>
  <c r="F10" i="166"/>
  <c r="G11" i="166"/>
  <c r="L17" i="185"/>
  <c r="F17" i="166"/>
  <c r="G29" i="166"/>
  <c r="F22" i="166"/>
  <c r="L22" i="185"/>
  <c r="G13" i="166"/>
  <c r="L7" i="185"/>
  <c r="F7" i="166"/>
  <c r="L9" i="185"/>
  <c r="F9" i="166"/>
  <c r="G19" i="166"/>
  <c r="L32" i="185"/>
  <c r="F32" i="166"/>
  <c r="L31" i="185"/>
  <c r="F31" i="166"/>
  <c r="F14" i="166"/>
  <c r="L14" i="185"/>
  <c r="L27" i="185"/>
  <c r="F27" i="166"/>
  <c r="G12" i="166"/>
  <c r="G16" i="166" l="1"/>
  <c r="G18" i="166"/>
  <c r="G14" i="166"/>
  <c r="G31" i="166"/>
  <c r="G9" i="166"/>
  <c r="G21" i="166"/>
  <c r="G24" i="166"/>
  <c r="G32" i="166"/>
  <c r="G22" i="166"/>
  <c r="G10" i="166"/>
  <c r="G28" i="166"/>
  <c r="G7" i="166"/>
  <c r="G8" i="166"/>
  <c r="G27" i="166"/>
  <c r="G17" i="166"/>
  <c r="G26" i="166"/>
  <c r="G30" i="166"/>
  <c r="G23" i="166"/>
  <c r="P34" i="166" l="1"/>
  <c r="P44" i="166" l="1"/>
  <c r="K34" i="166"/>
  <c r="AC34" i="166"/>
  <c r="AB34" i="166"/>
  <c r="AC44" i="166" l="1"/>
  <c r="AB44" i="166"/>
  <c r="N34" i="166"/>
  <c r="M34" i="166"/>
  <c r="O34" i="166"/>
  <c r="K44" i="166"/>
  <c r="N44" i="166" l="1"/>
  <c r="M44" i="166"/>
  <c r="O44" i="166"/>
  <c r="L34" i="166"/>
  <c r="F34" i="166"/>
  <c r="L44" i="166" l="1"/>
  <c r="G34" i="166"/>
  <c r="F44" i="166"/>
  <c r="P12" i="170"/>
  <c r="P12" i="186" s="1"/>
  <c r="P34" i="170"/>
  <c r="P34" i="185" l="1"/>
  <c r="P34" i="186"/>
  <c r="P44" i="186" s="1"/>
  <c r="G44" i="166"/>
  <c r="AB12" i="170"/>
  <c r="AB12" i="186" s="1"/>
  <c r="AC34" i="170"/>
  <c r="K12" i="170"/>
  <c r="K12" i="186" s="1"/>
  <c r="AC12" i="170"/>
  <c r="AC12" i="186" s="1"/>
  <c r="AB34" i="170"/>
  <c r="K34" i="170"/>
  <c r="K34" i="186" s="1"/>
  <c r="P44" i="170"/>
  <c r="P12" i="185"/>
  <c r="AC34" i="185" l="1"/>
  <c r="AC34" i="186"/>
  <c r="AC44" i="186" s="1"/>
  <c r="AB34" i="185"/>
  <c r="AB34" i="186"/>
  <c r="AB44" i="186" s="1"/>
  <c r="K44" i="186"/>
  <c r="P44" i="185"/>
  <c r="F40" i="170"/>
  <c r="I40" i="166"/>
  <c r="F39" i="170"/>
  <c r="I39" i="166"/>
  <c r="I12" i="166"/>
  <c r="F25" i="170"/>
  <c r="I25" i="166"/>
  <c r="F10" i="170"/>
  <c r="I10" i="166"/>
  <c r="I11" i="166"/>
  <c r="F11" i="170"/>
  <c r="I8" i="166"/>
  <c r="F8" i="170"/>
  <c r="F21" i="170"/>
  <c r="I21" i="166"/>
  <c r="I27" i="166"/>
  <c r="F27" i="170"/>
  <c r="F37" i="170"/>
  <c r="I37" i="166"/>
  <c r="F22" i="170"/>
  <c r="I22" i="166"/>
  <c r="F30" i="170"/>
  <c r="I30" i="166"/>
  <c r="F14" i="170"/>
  <c r="I14" i="166"/>
  <c r="M34" i="170"/>
  <c r="N34" i="170"/>
  <c r="O34" i="170"/>
  <c r="K34" i="185"/>
  <c r="O12" i="170"/>
  <c r="O12" i="186" s="1"/>
  <c r="M12" i="170"/>
  <c r="M12" i="186" s="1"/>
  <c r="N12" i="170"/>
  <c r="N12" i="186" s="1"/>
  <c r="K44" i="170"/>
  <c r="K12" i="185"/>
  <c r="F42" i="170"/>
  <c r="I42" i="166"/>
  <c r="F16" i="170"/>
  <c r="I16" i="166"/>
  <c r="F41" i="170"/>
  <c r="I41" i="166"/>
  <c r="I33" i="166"/>
  <c r="F33" i="170"/>
  <c r="I34" i="166"/>
  <c r="I35" i="166"/>
  <c r="F35" i="170"/>
  <c r="I28" i="166"/>
  <c r="F28" i="170"/>
  <c r="F13" i="170"/>
  <c r="I13" i="166"/>
  <c r="F26" i="170"/>
  <c r="I26" i="166"/>
  <c r="I32" i="166"/>
  <c r="F32" i="170"/>
  <c r="F24" i="170"/>
  <c r="I24" i="166"/>
  <c r="I17" i="166"/>
  <c r="F17" i="170"/>
  <c r="F31" i="170"/>
  <c r="I31" i="166"/>
  <c r="AB44" i="170"/>
  <c r="AB12" i="185"/>
  <c r="AB44" i="185" s="1"/>
  <c r="F15" i="170"/>
  <c r="I15" i="166"/>
  <c r="F9" i="170"/>
  <c r="I9" i="166"/>
  <c r="I6" i="166"/>
  <c r="F6" i="170"/>
  <c r="H44" i="166"/>
  <c r="I36" i="166"/>
  <c r="F36" i="170"/>
  <c r="F18" i="170"/>
  <c r="I18" i="166"/>
  <c r="AC44" i="170"/>
  <c r="AC12" i="185"/>
  <c r="AC44" i="185" s="1"/>
  <c r="F19" i="170"/>
  <c r="I19" i="166"/>
  <c r="F29" i="170"/>
  <c r="I29" i="166"/>
  <c r="F38" i="170"/>
  <c r="I38" i="166"/>
  <c r="F7" i="170"/>
  <c r="I7" i="166"/>
  <c r="I23" i="166"/>
  <c r="F23" i="170"/>
  <c r="O34" i="185" l="1"/>
  <c r="O34" i="186"/>
  <c r="O44" i="186" s="1"/>
  <c r="N34" i="185"/>
  <c r="N34" i="186"/>
  <c r="N44" i="186" s="1"/>
  <c r="M34" i="185"/>
  <c r="M34" i="186"/>
  <c r="M44" i="186" s="1"/>
  <c r="L34" i="170"/>
  <c r="G7" i="170"/>
  <c r="G36" i="170"/>
  <c r="G9" i="170"/>
  <c r="G26" i="170"/>
  <c r="G28" i="170"/>
  <c r="G16" i="170"/>
  <c r="L12" i="170"/>
  <c r="L12" i="186" s="1"/>
  <c r="M44" i="170"/>
  <c r="M12" i="185"/>
  <c r="G14" i="170"/>
  <c r="G21" i="170"/>
  <c r="G15" i="170"/>
  <c r="G29" i="170"/>
  <c r="G33" i="170"/>
  <c r="O44" i="170"/>
  <c r="O12" i="185"/>
  <c r="G37" i="170"/>
  <c r="G10" i="170"/>
  <c r="G35" i="170"/>
  <c r="G42" i="170"/>
  <c r="G30" i="170"/>
  <c r="G39" i="170"/>
  <c r="G19" i="170"/>
  <c r="G31" i="170"/>
  <c r="G32" i="170"/>
  <c r="G27" i="170"/>
  <c r="G24" i="170"/>
  <c r="G6" i="170"/>
  <c r="G41" i="170"/>
  <c r="K44" i="185"/>
  <c r="G11" i="170"/>
  <c r="G8" i="170"/>
  <c r="G18" i="170"/>
  <c r="I44" i="166"/>
  <c r="G17" i="170"/>
  <c r="G13" i="170"/>
  <c r="G22" i="170"/>
  <c r="G25" i="170"/>
  <c r="G40" i="170"/>
  <c r="G38" i="170"/>
  <c r="G23" i="170"/>
  <c r="N44" i="170"/>
  <c r="N12" i="185"/>
  <c r="L34" i="185" l="1"/>
  <c r="L34" i="186"/>
  <c r="L44" i="186" s="1"/>
  <c r="F34" i="170"/>
  <c r="M44" i="185"/>
  <c r="O44" i="185"/>
  <c r="N44" i="185"/>
  <c r="F12" i="170"/>
  <c r="L44" i="170"/>
  <c r="L12" i="185"/>
  <c r="G34" i="170" l="1"/>
  <c r="L44" i="185"/>
  <c r="G12" i="170"/>
  <c r="F44" i="170"/>
  <c r="G44" i="170" l="1"/>
  <c r="F33" i="171"/>
  <c r="I33" i="170"/>
  <c r="I38" i="170"/>
  <c r="F38" i="171"/>
  <c r="I37" i="170"/>
  <c r="F37" i="171"/>
  <c r="G38" i="171" l="1"/>
  <c r="G33" i="171"/>
  <c r="G37" i="171"/>
  <c r="C44" i="183" l="1"/>
  <c r="H8" i="170" l="1"/>
  <c r="H35" i="170"/>
  <c r="H6" i="170"/>
  <c r="H25" i="170"/>
  <c r="H32" i="170"/>
  <c r="H9" i="170"/>
  <c r="H21" i="170" l="1"/>
  <c r="H41" i="170"/>
  <c r="H22" i="170"/>
  <c r="H40" i="170"/>
  <c r="H23" i="170"/>
  <c r="H30" i="170"/>
  <c r="H10" i="170"/>
  <c r="H17" i="170"/>
  <c r="H36" i="170"/>
  <c r="H19" i="170"/>
  <c r="H26" i="170"/>
  <c r="H15" i="170"/>
  <c r="F21" i="171"/>
  <c r="I9" i="170"/>
  <c r="F9" i="171"/>
  <c r="H18" i="170"/>
  <c r="I35" i="170"/>
  <c r="F35" i="171"/>
  <c r="I25" i="170"/>
  <c r="F25" i="171"/>
  <c r="H27" i="170"/>
  <c r="H34" i="170"/>
  <c r="H11" i="170"/>
  <c r="H7" i="170"/>
  <c r="H31" i="170"/>
  <c r="I32" i="170"/>
  <c r="F32" i="171"/>
  <c r="H16" i="170"/>
  <c r="H13" i="170"/>
  <c r="H29" i="170"/>
  <c r="I6" i="170"/>
  <c r="F6" i="171"/>
  <c r="H42" i="170"/>
  <c r="H12" i="170"/>
  <c r="H39" i="170"/>
  <c r="H28" i="170"/>
  <c r="H14" i="170"/>
  <c r="H24" i="170"/>
  <c r="I8" i="170"/>
  <c r="F8" i="171"/>
  <c r="F17" i="171" l="1"/>
  <c r="F41" i="171"/>
  <c r="F36" i="171"/>
  <c r="I21" i="170"/>
  <c r="G21" i="171" s="1"/>
  <c r="F19" i="171"/>
  <c r="I17" i="170"/>
  <c r="F30" i="171"/>
  <c r="I15" i="170"/>
  <c r="I40" i="170"/>
  <c r="I19" i="170"/>
  <c r="F15" i="171"/>
  <c r="I36" i="170"/>
  <c r="I41" i="170"/>
  <c r="I30" i="170"/>
  <c r="F23" i="171"/>
  <c r="I23" i="170"/>
  <c r="F40" i="171"/>
  <c r="F26" i="171"/>
  <c r="I26" i="170"/>
  <c r="F10" i="171"/>
  <c r="I10" i="170"/>
  <c r="I22" i="170"/>
  <c r="F22" i="171"/>
  <c r="H44" i="170"/>
  <c r="I24" i="170"/>
  <c r="F24" i="171"/>
  <c r="I12" i="170"/>
  <c r="F12" i="171"/>
  <c r="G6" i="171"/>
  <c r="I13" i="170"/>
  <c r="F13" i="171"/>
  <c r="G32" i="171"/>
  <c r="I39" i="170"/>
  <c r="F39" i="171"/>
  <c r="G8" i="171"/>
  <c r="I28" i="170"/>
  <c r="F28" i="171"/>
  <c r="I31" i="170"/>
  <c r="F31" i="171"/>
  <c r="I34" i="170"/>
  <c r="F34" i="171"/>
  <c r="G25" i="171"/>
  <c r="G9" i="171"/>
  <c r="I29" i="170"/>
  <c r="F29" i="171"/>
  <c r="I16" i="170"/>
  <c r="F16" i="171"/>
  <c r="I18" i="170"/>
  <c r="F18" i="171"/>
  <c r="I42" i="170"/>
  <c r="F42" i="171"/>
  <c r="G35" i="171"/>
  <c r="I14" i="170"/>
  <c r="F14" i="171"/>
  <c r="I7" i="170"/>
  <c r="F7" i="171"/>
  <c r="I11" i="170"/>
  <c r="F11" i="171"/>
  <c r="I27" i="170"/>
  <c r="F27" i="171"/>
  <c r="G17" i="171" l="1"/>
  <c r="G41" i="171"/>
  <c r="G15" i="171"/>
  <c r="G36" i="171"/>
  <c r="G30" i="171"/>
  <c r="G19" i="171"/>
  <c r="G26" i="171"/>
  <c r="G40" i="171"/>
  <c r="G22" i="171"/>
  <c r="G23" i="171"/>
  <c r="G10" i="171"/>
  <c r="I44" i="170"/>
  <c r="G42" i="171"/>
  <c r="G16" i="171"/>
  <c r="G28" i="171"/>
  <c r="G39" i="171"/>
  <c r="G31" i="171"/>
  <c r="G12" i="171"/>
  <c r="G27" i="171"/>
  <c r="G7" i="171"/>
  <c r="G18" i="171"/>
  <c r="G34" i="171"/>
  <c r="G29" i="171"/>
  <c r="G24" i="171"/>
  <c r="G11" i="171"/>
  <c r="G14" i="171"/>
  <c r="G13" i="171"/>
  <c r="F44" i="171"/>
  <c r="H32" i="171" l="1"/>
  <c r="H16" i="171"/>
  <c r="H21" i="171"/>
  <c r="H39" i="171"/>
  <c r="G44" i="171"/>
  <c r="H27" i="171"/>
  <c r="H18" i="171"/>
  <c r="H17" i="171"/>
  <c r="H13" i="171"/>
  <c r="H10" i="171"/>
  <c r="H24" i="171"/>
  <c r="H19" i="171"/>
  <c r="H9" i="171"/>
  <c r="H41" i="171"/>
  <c r="H28" i="171"/>
  <c r="H14" i="171"/>
  <c r="H12" i="171"/>
  <c r="H22" i="171"/>
  <c r="H42" i="171"/>
  <c r="H33" i="171"/>
  <c r="H15" i="171"/>
  <c r="H25" i="171"/>
  <c r="H30" i="171"/>
  <c r="H38" i="171"/>
  <c r="H6" i="171"/>
  <c r="H29" i="171"/>
  <c r="H40" i="171"/>
  <c r="H37" i="171"/>
  <c r="H7" i="171"/>
  <c r="H26" i="171"/>
  <c r="H11" i="171"/>
  <c r="H35" i="171"/>
  <c r="H34" i="171"/>
  <c r="H31" i="171"/>
  <c r="H23" i="171"/>
  <c r="H36" i="171"/>
  <c r="H8" i="171" l="1"/>
  <c r="F23" i="175"/>
  <c r="I23" i="171"/>
  <c r="F34" i="175"/>
  <c r="I34" i="171"/>
  <c r="I33" i="171"/>
  <c r="F33" i="175"/>
  <c r="I41" i="171"/>
  <c r="F41" i="175"/>
  <c r="F19" i="175"/>
  <c r="I19" i="171"/>
  <c r="I10" i="171"/>
  <c r="F10" i="175"/>
  <c r="F32" i="175"/>
  <c r="I32" i="171"/>
  <c r="F27" i="175"/>
  <c r="I27" i="171"/>
  <c r="I14" i="171"/>
  <c r="F14" i="175"/>
  <c r="I26" i="171"/>
  <c r="F26" i="175"/>
  <c r="I7" i="171"/>
  <c r="F7" i="175"/>
  <c r="I40" i="171"/>
  <c r="F40" i="175"/>
  <c r="I6" i="171"/>
  <c r="F6" i="175"/>
  <c r="I30" i="171"/>
  <c r="F30" i="175"/>
  <c r="F25" i="175"/>
  <c r="I25" i="171"/>
  <c r="I42" i="171"/>
  <c r="F42" i="175"/>
  <c r="F12" i="175"/>
  <c r="I12" i="171"/>
  <c r="I31" i="171"/>
  <c r="F31" i="175"/>
  <c r="I35" i="171"/>
  <c r="F35" i="175"/>
  <c r="I38" i="171"/>
  <c r="F38" i="175"/>
  <c r="I36" i="171"/>
  <c r="F36" i="175"/>
  <c r="I28" i="171"/>
  <c r="F28" i="175"/>
  <c r="I9" i="171"/>
  <c r="F9" i="175"/>
  <c r="I24" i="171"/>
  <c r="F24" i="175"/>
  <c r="I13" i="171"/>
  <c r="F13" i="175"/>
  <c r="I17" i="171"/>
  <c r="F17" i="175"/>
  <c r="I18" i="171"/>
  <c r="F18" i="175"/>
  <c r="I37" i="171"/>
  <c r="F37" i="175"/>
  <c r="I39" i="171"/>
  <c r="F39" i="175"/>
  <c r="I21" i="171"/>
  <c r="F21" i="175"/>
  <c r="I29" i="171"/>
  <c r="F29" i="175"/>
  <c r="F11" i="175"/>
  <c r="I11" i="171"/>
  <c r="I15" i="171"/>
  <c r="F15" i="175"/>
  <c r="I16" i="171"/>
  <c r="F16" i="175"/>
  <c r="I22" i="171"/>
  <c r="F22" i="175"/>
  <c r="H44" i="171" l="1"/>
  <c r="I8" i="171"/>
  <c r="F8" i="175"/>
  <c r="G30" i="175"/>
  <c r="G13" i="175"/>
  <c r="G42" i="175"/>
  <c r="G14" i="175"/>
  <c r="G41" i="175"/>
  <c r="G34" i="175"/>
  <c r="G9" i="175"/>
  <c r="G28" i="175"/>
  <c r="G31" i="175"/>
  <c r="G10" i="175"/>
  <c r="G15" i="175"/>
  <c r="G18" i="175"/>
  <c r="G7" i="175"/>
  <c r="G21" i="175"/>
  <c r="G12" i="175"/>
  <c r="G22" i="175"/>
  <c r="G29" i="175"/>
  <c r="G24" i="175"/>
  <c r="G38" i="175"/>
  <c r="G6" i="175"/>
  <c r="G33" i="175"/>
  <c r="G39" i="175"/>
  <c r="G25" i="175"/>
  <c r="I44" i="171"/>
  <c r="G27" i="175"/>
  <c r="G23" i="175"/>
  <c r="G35" i="175"/>
  <c r="G17" i="175"/>
  <c r="G26" i="175"/>
  <c r="G19" i="175"/>
  <c r="G16" i="175"/>
  <c r="G11" i="175"/>
  <c r="G37" i="175"/>
  <c r="G36" i="175"/>
  <c r="G40" i="175"/>
  <c r="G32" i="175"/>
  <c r="F44" i="175" l="1"/>
  <c r="G8" i="175"/>
  <c r="H17" i="175"/>
  <c r="H19" i="175"/>
  <c r="H29" i="175"/>
  <c r="H13" i="175"/>
  <c r="H6" i="175"/>
  <c r="H28" i="175"/>
  <c r="H21" i="175"/>
  <c r="H33" i="175"/>
  <c r="H37" i="175"/>
  <c r="H31" i="175"/>
  <c r="H10" i="175"/>
  <c r="H40" i="175"/>
  <c r="H11" i="175"/>
  <c r="H14" i="175"/>
  <c r="H12" i="175"/>
  <c r="H30" i="175"/>
  <c r="H7" i="175"/>
  <c r="H34" i="175"/>
  <c r="H39" i="175"/>
  <c r="H23" i="175"/>
  <c r="H16" i="175"/>
  <c r="H32" i="175"/>
  <c r="H8" i="175"/>
  <c r="H26" i="175"/>
  <c r="H35" i="175"/>
  <c r="H36" i="175"/>
  <c r="H15" i="175"/>
  <c r="H9" i="175"/>
  <c r="H25" i="175"/>
  <c r="H24" i="175"/>
  <c r="H41" i="175"/>
  <c r="H27" i="175"/>
  <c r="H18" i="175"/>
  <c r="H42" i="175"/>
  <c r="G44" i="175" l="1"/>
  <c r="H38" i="175"/>
  <c r="H22" i="175"/>
  <c r="I10" i="175"/>
  <c r="F10" i="176"/>
  <c r="I31" i="175"/>
  <c r="F31" i="176"/>
  <c r="I33" i="175"/>
  <c r="F33" i="176"/>
  <c r="I28" i="175"/>
  <c r="F28" i="176"/>
  <c r="I32" i="175"/>
  <c r="F32" i="176"/>
  <c r="I25" i="175"/>
  <c r="F25" i="176"/>
  <c r="F15" i="176"/>
  <c r="I15" i="175"/>
  <c r="I26" i="175"/>
  <c r="F26" i="176"/>
  <c r="F41" i="176"/>
  <c r="I41" i="175"/>
  <c r="I24" i="175"/>
  <c r="F24" i="176"/>
  <c r="I36" i="175"/>
  <c r="F36" i="176"/>
  <c r="I39" i="175"/>
  <c r="F39" i="176"/>
  <c r="I34" i="175"/>
  <c r="F34" i="176"/>
  <c r="I30" i="175"/>
  <c r="F30" i="176"/>
  <c r="F14" i="176"/>
  <c r="I14" i="175"/>
  <c r="I40" i="175"/>
  <c r="F40" i="176"/>
  <c r="F19" i="176"/>
  <c r="I19" i="175"/>
  <c r="I29" i="175"/>
  <c r="F29" i="176"/>
  <c r="I21" i="175"/>
  <c r="F21" i="176"/>
  <c r="I6" i="175"/>
  <c r="F6" i="176"/>
  <c r="I18" i="175"/>
  <c r="F18" i="176"/>
  <c r="F9" i="176"/>
  <c r="I9" i="175"/>
  <c r="I17" i="175"/>
  <c r="F17" i="176"/>
  <c r="I35" i="175"/>
  <c r="F35" i="176"/>
  <c r="F8" i="176"/>
  <c r="I8" i="175"/>
  <c r="F13" i="176"/>
  <c r="I13" i="175"/>
  <c r="I37" i="175"/>
  <c r="F37" i="176"/>
  <c r="I42" i="175"/>
  <c r="F42" i="176"/>
  <c r="I27" i="175"/>
  <c r="F27" i="176"/>
  <c r="I16" i="175"/>
  <c r="F16" i="176"/>
  <c r="F23" i="176"/>
  <c r="I23" i="175"/>
  <c r="I7" i="175"/>
  <c r="F7" i="176"/>
  <c r="I12" i="175"/>
  <c r="F12" i="176"/>
  <c r="I11" i="175"/>
  <c r="F11" i="176"/>
  <c r="I22" i="175" l="1"/>
  <c r="F38" i="176"/>
  <c r="F22" i="176"/>
  <c r="I38" i="175"/>
  <c r="H44" i="175"/>
  <c r="G23" i="176"/>
  <c r="G12" i="176"/>
  <c r="G37" i="176"/>
  <c r="G35" i="176"/>
  <c r="G24" i="176"/>
  <c r="G28" i="176"/>
  <c r="G29" i="176"/>
  <c r="G30" i="176"/>
  <c r="G10" i="176"/>
  <c r="G6" i="176"/>
  <c r="G15" i="176"/>
  <c r="G7" i="176"/>
  <c r="G17" i="176"/>
  <c r="G33" i="176"/>
  <c r="G16" i="176"/>
  <c r="G34" i="176"/>
  <c r="G25" i="176"/>
  <c r="G11" i="176"/>
  <c r="G42" i="176"/>
  <c r="G19" i="176"/>
  <c r="G36" i="176"/>
  <c r="G32" i="176"/>
  <c r="G27" i="176"/>
  <c r="G8" i="176"/>
  <c r="G21" i="176"/>
  <c r="G26" i="176"/>
  <c r="G31" i="176"/>
  <c r="G13" i="176"/>
  <c r="G9" i="176"/>
  <c r="G18" i="176"/>
  <c r="G40" i="176"/>
  <c r="G14" i="176"/>
  <c r="G39" i="176"/>
  <c r="G41" i="176"/>
  <c r="G38" i="176" l="1"/>
  <c r="I44" i="175"/>
  <c r="G22" i="176"/>
  <c r="F44" i="176"/>
  <c r="G44" i="176" l="1"/>
  <c r="H40" i="176"/>
  <c r="H7" i="176"/>
  <c r="H39" i="176"/>
  <c r="H35" i="176"/>
  <c r="H16" i="176"/>
  <c r="H11" i="176"/>
  <c r="H15" i="176"/>
  <c r="H41" i="176"/>
  <c r="H30" i="176"/>
  <c r="H6" i="176"/>
  <c r="H29" i="176"/>
  <c r="H33" i="176"/>
  <c r="H25" i="176"/>
  <c r="H27" i="176"/>
  <c r="H38" i="176"/>
  <c r="H10" i="176"/>
  <c r="H21" i="176"/>
  <c r="H42" i="176"/>
  <c r="H22" i="176"/>
  <c r="H34" i="176"/>
  <c r="H28" i="176"/>
  <c r="H32" i="176"/>
  <c r="H26" i="176"/>
  <c r="H37" i="176"/>
  <c r="H19" i="176"/>
  <c r="H18" i="176"/>
  <c r="H17" i="176"/>
  <c r="H13" i="176"/>
  <c r="H14" i="176"/>
  <c r="H9" i="176"/>
  <c r="H24" i="176"/>
  <c r="H23" i="176"/>
  <c r="H12" i="176"/>
  <c r="H36" i="176"/>
  <c r="H31" i="176" l="1"/>
  <c r="H8" i="176"/>
  <c r="F32" i="177"/>
  <c r="I32" i="176"/>
  <c r="I40" i="176"/>
  <c r="F40" i="177"/>
  <c r="I37" i="176"/>
  <c r="F37" i="177"/>
  <c r="I7" i="176"/>
  <c r="F7" i="177"/>
  <c r="I11" i="176"/>
  <c r="F11" i="177"/>
  <c r="I13" i="176"/>
  <c r="F13" i="177"/>
  <c r="I14" i="176"/>
  <c r="F14" i="177"/>
  <c r="I26" i="176"/>
  <c r="F26" i="177"/>
  <c r="F27" i="177"/>
  <c r="I27" i="176"/>
  <c r="I33" i="176"/>
  <c r="F33" i="177"/>
  <c r="I6" i="176"/>
  <c r="F6" i="177"/>
  <c r="F23" i="177"/>
  <c r="I23" i="176"/>
  <c r="I19" i="176"/>
  <c r="F19" i="177"/>
  <c r="I22" i="176"/>
  <c r="F22" i="177"/>
  <c r="I30" i="176"/>
  <c r="F30" i="177"/>
  <c r="I36" i="176"/>
  <c r="F36" i="177"/>
  <c r="I17" i="176"/>
  <c r="F17" i="177"/>
  <c r="I28" i="176"/>
  <c r="F28" i="177"/>
  <c r="I10" i="176"/>
  <c r="F10" i="177"/>
  <c r="I15" i="176"/>
  <c r="F15" i="177"/>
  <c r="I24" i="176"/>
  <c r="F24" i="177"/>
  <c r="I42" i="176"/>
  <c r="F42" i="177"/>
  <c r="I16" i="176"/>
  <c r="F16" i="177"/>
  <c r="I9" i="176"/>
  <c r="F9" i="177"/>
  <c r="I18" i="176"/>
  <c r="F18" i="177"/>
  <c r="F21" i="177"/>
  <c r="I21" i="176"/>
  <c r="I38" i="176"/>
  <c r="F38" i="177"/>
  <c r="F25" i="177"/>
  <c r="I25" i="176"/>
  <c r="I29" i="176"/>
  <c r="F29" i="177"/>
  <c r="I12" i="176"/>
  <c r="F12" i="177"/>
  <c r="I34" i="176"/>
  <c r="F34" i="177"/>
  <c r="I41" i="176"/>
  <c r="F41" i="177"/>
  <c r="F35" i="177"/>
  <c r="I35" i="176"/>
  <c r="I39" i="176"/>
  <c r="F39" i="177"/>
  <c r="I8" i="176" l="1"/>
  <c r="H44" i="176"/>
  <c r="F31" i="177"/>
  <c r="F8" i="177"/>
  <c r="I31" i="176"/>
  <c r="G25" i="177"/>
  <c r="G18" i="177"/>
  <c r="G28" i="177"/>
  <c r="G14" i="177"/>
  <c r="G7" i="177"/>
  <c r="G12" i="177"/>
  <c r="G42" i="177"/>
  <c r="G23" i="177"/>
  <c r="G11" i="177"/>
  <c r="G35" i="177"/>
  <c r="G38" i="177"/>
  <c r="G22" i="177"/>
  <c r="G9" i="177"/>
  <c r="G17" i="177"/>
  <c r="G6" i="177"/>
  <c r="G27" i="177"/>
  <c r="G13" i="177"/>
  <c r="G37" i="177"/>
  <c r="G32" i="177"/>
  <c r="G29" i="177"/>
  <c r="G24" i="177"/>
  <c r="G30" i="177"/>
  <c r="G39" i="177"/>
  <c r="G10" i="177"/>
  <c r="G19" i="177"/>
  <c r="G26" i="177"/>
  <c r="G41" i="177"/>
  <c r="G21" i="177"/>
  <c r="G15" i="177"/>
  <c r="G36" i="177"/>
  <c r="G34" i="177"/>
  <c r="G16" i="177"/>
  <c r="G33" i="177"/>
  <c r="G40" i="177"/>
  <c r="I44" i="176" l="1"/>
  <c r="G8" i="177"/>
  <c r="G31" i="177"/>
  <c r="F44" i="177"/>
  <c r="G44" i="177" l="1"/>
  <c r="H6" i="177"/>
  <c r="H36" i="177"/>
  <c r="H26" i="177"/>
  <c r="H17" i="177"/>
  <c r="H19" i="177"/>
  <c r="H18" i="177"/>
  <c r="H30" i="177"/>
  <c r="H21" i="177"/>
  <c r="H40" i="177"/>
  <c r="H16" i="177"/>
  <c r="H13" i="177"/>
  <c r="H22" i="177"/>
  <c r="H23" i="177"/>
  <c r="H38" i="177"/>
  <c r="H14" i="177"/>
  <c r="H24" i="177"/>
  <c r="H39" i="177"/>
  <c r="H9" i="177"/>
  <c r="H35" i="177"/>
  <c r="H11" i="177"/>
  <c r="H25" i="177"/>
  <c r="H29" i="177"/>
  <c r="H37" i="177"/>
  <c r="H34" i="177"/>
  <c r="H33" i="177"/>
  <c r="H7" i="177"/>
  <c r="H41" i="177"/>
  <c r="H42" i="177"/>
  <c r="H15" i="177"/>
  <c r="H32" i="177"/>
  <c r="H10" i="177"/>
  <c r="H28" i="177"/>
  <c r="H31" i="177"/>
  <c r="H8" i="177"/>
  <c r="H27" i="177"/>
  <c r="H12" i="177"/>
  <c r="I31" i="177" l="1"/>
  <c r="F31" i="178"/>
  <c r="I15" i="177"/>
  <c r="F15" i="178"/>
  <c r="I39" i="177"/>
  <c r="F39" i="178"/>
  <c r="I23" i="177"/>
  <c r="F23" i="178"/>
  <c r="I41" i="177"/>
  <c r="F41" i="178"/>
  <c r="I35" i="177"/>
  <c r="F35" i="178"/>
  <c r="F14" i="178"/>
  <c r="I14" i="177"/>
  <c r="I13" i="177"/>
  <c r="F13" i="178"/>
  <c r="F12" i="178"/>
  <c r="I12" i="177"/>
  <c r="I8" i="177"/>
  <c r="F8" i="178"/>
  <c r="I34" i="177"/>
  <c r="F34" i="178"/>
  <c r="I11" i="177"/>
  <c r="F11" i="178"/>
  <c r="I22" i="177"/>
  <c r="F22" i="178"/>
  <c r="I17" i="177"/>
  <c r="F17" i="178"/>
  <c r="F36" i="178"/>
  <c r="I36" i="177"/>
  <c r="F32" i="178"/>
  <c r="I32" i="177"/>
  <c r="F38" i="178"/>
  <c r="I38" i="177"/>
  <c r="I18" i="177"/>
  <c r="F18" i="178"/>
  <c r="I42" i="177"/>
  <c r="F42" i="178"/>
  <c r="I7" i="177"/>
  <c r="F7" i="178"/>
  <c r="F24" i="178"/>
  <c r="I24" i="177"/>
  <c r="F16" i="178"/>
  <c r="I16" i="177"/>
  <c r="I28" i="177"/>
  <c r="F28" i="178"/>
  <c r="I29" i="177"/>
  <c r="F29" i="178"/>
  <c r="I9" i="177"/>
  <c r="F9" i="178"/>
  <c r="I21" i="177"/>
  <c r="F21" i="178"/>
  <c r="I27" i="177"/>
  <c r="F27" i="178"/>
  <c r="I10" i="177"/>
  <c r="F10" i="178"/>
  <c r="I37" i="177"/>
  <c r="F37" i="178"/>
  <c r="I40" i="177"/>
  <c r="F40" i="178"/>
  <c r="I19" i="177"/>
  <c r="F19" i="178"/>
  <c r="I26" i="177"/>
  <c r="F26" i="178"/>
  <c r="H44" i="177"/>
  <c r="I6" i="177"/>
  <c r="F6" i="178"/>
  <c r="I33" i="177"/>
  <c r="F33" i="178"/>
  <c r="I25" i="177"/>
  <c r="F25" i="178"/>
  <c r="I30" i="177"/>
  <c r="F30" i="178"/>
  <c r="I44" i="177" l="1"/>
  <c r="G7" i="178"/>
  <c r="G26" i="178"/>
  <c r="G9" i="178"/>
  <c r="G16" i="178"/>
  <c r="G42" i="178"/>
  <c r="G13" i="178"/>
  <c r="G33" i="178"/>
  <c r="G37" i="178"/>
  <c r="G32" i="178"/>
  <c r="G22" i="178"/>
  <c r="G41" i="178"/>
  <c r="G18" i="178"/>
  <c r="G8" i="178"/>
  <c r="G15" i="178"/>
  <c r="G21" i="178"/>
  <c r="G30" i="178"/>
  <c r="G19" i="178"/>
  <c r="G29" i="178"/>
  <c r="G24" i="178"/>
  <c r="F44" i="178"/>
  <c r="G6" i="178"/>
  <c r="G10" i="178"/>
  <c r="G36" i="178"/>
  <c r="G11" i="178"/>
  <c r="G14" i="178"/>
  <c r="G23" i="178"/>
  <c r="G31" i="178"/>
  <c r="G25" i="178"/>
  <c r="G28" i="178"/>
  <c r="G38" i="178"/>
  <c r="G17" i="178"/>
  <c r="G12" i="178"/>
  <c r="G35" i="178"/>
  <c r="G40" i="178"/>
  <c r="G27" i="178"/>
  <c r="G34" i="178"/>
  <c r="G39" i="178"/>
  <c r="G44" i="178" l="1"/>
  <c r="H30" i="178" l="1"/>
  <c r="H14" i="178"/>
  <c r="H31" i="178"/>
  <c r="H12" i="178"/>
  <c r="H8" i="178"/>
  <c r="H37" i="178"/>
  <c r="H7" i="178"/>
  <c r="H41" i="178"/>
  <c r="H17" i="178"/>
  <c r="H22" i="178"/>
  <c r="H16" i="178"/>
  <c r="H33" i="178"/>
  <c r="H29" i="178"/>
  <c r="H13" i="178"/>
  <c r="H15" i="178"/>
  <c r="H24" i="178"/>
  <c r="H19" i="178"/>
  <c r="H6" i="178"/>
  <c r="H35" i="178"/>
  <c r="H42" i="178"/>
  <c r="H11" i="178"/>
  <c r="H40" i="178"/>
  <c r="H10" i="178"/>
  <c r="H18" i="178"/>
  <c r="H21" i="178"/>
  <c r="H9" i="178"/>
  <c r="H32" i="178"/>
  <c r="H27" i="178"/>
  <c r="H28" i="178"/>
  <c r="H36" i="178"/>
  <c r="H38" i="178"/>
  <c r="H26" i="178"/>
  <c r="H25" i="178"/>
  <c r="H39" i="178"/>
  <c r="H34" i="178"/>
  <c r="H23" i="178"/>
  <c r="I38" i="178" l="1"/>
  <c r="F38" i="179"/>
  <c r="F19" i="179"/>
  <c r="I19" i="178"/>
  <c r="I15" i="178"/>
  <c r="F15" i="179"/>
  <c r="I16" i="178"/>
  <c r="F16" i="179"/>
  <c r="I23" i="178"/>
  <c r="F23" i="179"/>
  <c r="I27" i="178"/>
  <c r="F27" i="179"/>
  <c r="F9" i="179"/>
  <c r="I9" i="178"/>
  <c r="I18" i="178"/>
  <c r="F18" i="179"/>
  <c r="H44" i="178"/>
  <c r="F6" i="179"/>
  <c r="I6" i="178"/>
  <c r="F33" i="179"/>
  <c r="I33" i="178"/>
  <c r="F37" i="179"/>
  <c r="I37" i="178"/>
  <c r="I12" i="178"/>
  <c r="F12" i="179"/>
  <c r="I14" i="178"/>
  <c r="F14" i="179"/>
  <c r="F26" i="179"/>
  <c r="I26" i="178"/>
  <c r="I40" i="178"/>
  <c r="F40" i="179"/>
  <c r="I41" i="178"/>
  <c r="F41" i="179"/>
  <c r="I36" i="178"/>
  <c r="F36" i="179"/>
  <c r="I42" i="178"/>
  <c r="F42" i="179"/>
  <c r="I24" i="178"/>
  <c r="F24" i="179"/>
  <c r="I13" i="178"/>
  <c r="F13" i="179"/>
  <c r="I22" i="178"/>
  <c r="F22" i="179"/>
  <c r="I34" i="178"/>
  <c r="F34" i="179"/>
  <c r="I28" i="178"/>
  <c r="F28" i="179"/>
  <c r="F32" i="179"/>
  <c r="I32" i="178"/>
  <c r="I21" i="178"/>
  <c r="F21" i="179"/>
  <c r="I10" i="178"/>
  <c r="F10" i="179"/>
  <c r="F11" i="179"/>
  <c r="I11" i="178"/>
  <c r="F35" i="179"/>
  <c r="I35" i="178"/>
  <c r="F39" i="179"/>
  <c r="I39" i="178"/>
  <c r="I25" i="178"/>
  <c r="F25" i="179"/>
  <c r="I29" i="178"/>
  <c r="F29" i="179"/>
  <c r="I17" i="178"/>
  <c r="F17" i="179"/>
  <c r="F7" i="179"/>
  <c r="I7" i="178"/>
  <c r="I8" i="178"/>
  <c r="F8" i="179"/>
  <c r="F31" i="179"/>
  <c r="I31" i="178"/>
  <c r="I30" i="178"/>
  <c r="F30" i="179"/>
  <c r="G12" i="179" l="1"/>
  <c r="G11" i="179"/>
  <c r="G23" i="179"/>
  <c r="G32" i="179"/>
  <c r="G19" i="179"/>
  <c r="G39" i="179"/>
  <c r="G10" i="179"/>
  <c r="G13" i="179"/>
  <c r="G26" i="179"/>
  <c r="G16" i="179"/>
  <c r="G22" i="179"/>
  <c r="G17" i="179"/>
  <c r="G8" i="179"/>
  <c r="G29" i="179"/>
  <c r="G28" i="179"/>
  <c r="G42" i="179"/>
  <c r="G37" i="179"/>
  <c r="I44" i="178"/>
  <c r="G9" i="179"/>
  <c r="G41" i="179"/>
  <c r="G14" i="179"/>
  <c r="F44" i="179"/>
  <c r="G6" i="179"/>
  <c r="G38" i="179"/>
  <c r="G30" i="179"/>
  <c r="G35" i="179"/>
  <c r="G21" i="179"/>
  <c r="G24" i="179"/>
  <c r="G27" i="179"/>
  <c r="G15" i="179"/>
  <c r="G18" i="179"/>
  <c r="G31" i="179"/>
  <c r="G7" i="179"/>
  <c r="G25" i="179"/>
  <c r="G34" i="179"/>
  <c r="G36" i="179"/>
  <c r="G40" i="179"/>
  <c r="G33" i="179"/>
  <c r="H34" i="179" l="1"/>
  <c r="H7" i="179"/>
  <c r="H8" i="179"/>
  <c r="H9" i="179"/>
  <c r="H26" i="179"/>
  <c r="H39" i="179"/>
  <c r="H27" i="179"/>
  <c r="H19" i="179"/>
  <c r="H40" i="179"/>
  <c r="H29" i="179"/>
  <c r="H14" i="179"/>
  <c r="H41" i="179"/>
  <c r="H10" i="179"/>
  <c r="H23" i="179"/>
  <c r="H12" i="179"/>
  <c r="H38" i="179"/>
  <c r="H17" i="179"/>
  <c r="H21" i="179"/>
  <c r="H6" i="179"/>
  <c r="H11" i="179"/>
  <c r="H37" i="179"/>
  <c r="H32" i="179"/>
  <c r="H36" i="179"/>
  <c r="H31" i="179"/>
  <c r="H33" i="179"/>
  <c r="H42" i="179"/>
  <c r="G44" i="179"/>
  <c r="H22" i="179"/>
  <c r="H28" i="179"/>
  <c r="H13" i="179"/>
  <c r="H24" i="179"/>
  <c r="H35" i="179"/>
  <c r="H30" i="179"/>
  <c r="H15" i="179" l="1"/>
  <c r="H18" i="179"/>
  <c r="H16" i="179"/>
  <c r="H25" i="179"/>
  <c r="I24" i="179"/>
  <c r="F24" i="180"/>
  <c r="I33" i="179"/>
  <c r="F33" i="180"/>
  <c r="I22" i="179"/>
  <c r="F22" i="180"/>
  <c r="I8" i="179"/>
  <c r="F8" i="180"/>
  <c r="I36" i="179"/>
  <c r="F36" i="180"/>
  <c r="F32" i="180"/>
  <c r="I32" i="179"/>
  <c r="F11" i="180"/>
  <c r="I11" i="179"/>
  <c r="F16" i="180"/>
  <c r="I34" i="179"/>
  <c r="F34" i="180"/>
  <c r="I14" i="179"/>
  <c r="F14" i="180"/>
  <c r="F40" i="180"/>
  <c r="I40" i="179"/>
  <c r="F27" i="180"/>
  <c r="I27" i="179"/>
  <c r="I26" i="179"/>
  <c r="F26" i="180"/>
  <c r="I7" i="179"/>
  <c r="F7" i="180"/>
  <c r="I23" i="179"/>
  <c r="F23" i="180"/>
  <c r="F42" i="180"/>
  <c r="I42" i="179"/>
  <c r="F31" i="180"/>
  <c r="I31" i="179"/>
  <c r="F38" i="180"/>
  <c r="I38" i="179"/>
  <c r="I13" i="179"/>
  <c r="F13" i="180"/>
  <c r="F28" i="180"/>
  <c r="I28" i="179"/>
  <c r="I35" i="179"/>
  <c r="F35" i="180"/>
  <c r="F21" i="180"/>
  <c r="I21" i="179"/>
  <c r="F17" i="180"/>
  <c r="I17" i="179"/>
  <c r="I37" i="179"/>
  <c r="F37" i="180"/>
  <c r="I6" i="179"/>
  <c r="F6" i="180"/>
  <c r="I30" i="179"/>
  <c r="F30" i="180"/>
  <c r="I12" i="179"/>
  <c r="F12" i="180"/>
  <c r="F10" i="180"/>
  <c r="I10" i="179"/>
  <c r="I41" i="179"/>
  <c r="F41" i="180"/>
  <c r="I29" i="179"/>
  <c r="F29" i="180"/>
  <c r="I19" i="179"/>
  <c r="F19" i="180"/>
  <c r="I39" i="179"/>
  <c r="F39" i="180"/>
  <c r="F9" i="180"/>
  <c r="I9" i="179"/>
  <c r="F15" i="180" l="1"/>
  <c r="F25" i="180"/>
  <c r="I16" i="179"/>
  <c r="F18" i="180"/>
  <c r="I15" i="179"/>
  <c r="I18" i="179"/>
  <c r="I25" i="179"/>
  <c r="H44" i="179"/>
  <c r="G35" i="180"/>
  <c r="G28" i="180"/>
  <c r="G42" i="180"/>
  <c r="G14" i="180"/>
  <c r="G32" i="180"/>
  <c r="G7" i="180"/>
  <c r="G36" i="180"/>
  <c r="G22" i="180"/>
  <c r="G33" i="180"/>
  <c r="G19" i="180"/>
  <c r="G6" i="180"/>
  <c r="G13" i="180"/>
  <c r="G23" i="180"/>
  <c r="G16" i="180"/>
  <c r="G26" i="180"/>
  <c r="G41" i="180"/>
  <c r="G17" i="180"/>
  <c r="G27" i="180"/>
  <c r="G34" i="180"/>
  <c r="G39" i="180"/>
  <c r="G10" i="180"/>
  <c r="G38" i="180"/>
  <c r="G24" i="180"/>
  <c r="G30" i="180"/>
  <c r="G9" i="180"/>
  <c r="G29" i="180"/>
  <c r="G15" i="180"/>
  <c r="G31" i="180"/>
  <c r="G11" i="180"/>
  <c r="G8" i="180"/>
  <c r="G12" i="180"/>
  <c r="G37" i="180"/>
  <c r="G21" i="180"/>
  <c r="G40" i="180"/>
  <c r="G18" i="180" l="1"/>
  <c r="I44" i="179"/>
  <c r="F44" i="180"/>
  <c r="G25" i="180"/>
  <c r="G44" i="180" l="1"/>
  <c r="H17" i="180"/>
  <c r="H31" i="180"/>
  <c r="H30" i="180"/>
  <c r="H19" i="180"/>
  <c r="H29" i="180"/>
  <c r="H34" i="180"/>
  <c r="H11" i="180"/>
  <c r="H22" i="180"/>
  <c r="H18" i="180"/>
  <c r="H37" i="180"/>
  <c r="H25" i="180"/>
  <c r="H40" i="180"/>
  <c r="H8" i="180"/>
  <c r="H6" i="180"/>
  <c r="H13" i="180"/>
  <c r="H35" i="180"/>
  <c r="H16" i="180"/>
  <c r="H26" i="180"/>
  <c r="H24" i="180"/>
  <c r="H32" i="180"/>
  <c r="H23" i="180"/>
  <c r="H27" i="180"/>
  <c r="H7" i="180"/>
  <c r="H12" i="180"/>
  <c r="H38" i="180"/>
  <c r="H21" i="180"/>
  <c r="H39" i="180"/>
  <c r="H41" i="180"/>
  <c r="H42" i="180"/>
  <c r="H9" i="180"/>
  <c r="H33" i="180"/>
  <c r="H36" i="180"/>
  <c r="H10" i="180"/>
  <c r="H15" i="180"/>
  <c r="H28" i="180"/>
  <c r="H14" i="180"/>
  <c r="I28" i="180" l="1"/>
  <c r="F28" i="181"/>
  <c r="F39" i="181"/>
  <c r="I39" i="180"/>
  <c r="I25" i="180"/>
  <c r="F25" i="181"/>
  <c r="I15" i="180"/>
  <c r="F15" i="181"/>
  <c r="F9" i="181"/>
  <c r="I9" i="180"/>
  <c r="F27" i="181"/>
  <c r="I27" i="180"/>
  <c r="I26" i="180"/>
  <c r="F26" i="181"/>
  <c r="I22" i="180"/>
  <c r="F22" i="181"/>
  <c r="I19" i="180"/>
  <c r="F19" i="181"/>
  <c r="I31" i="180"/>
  <c r="F31" i="181"/>
  <c r="I41" i="180"/>
  <c r="F41" i="181"/>
  <c r="I12" i="180"/>
  <c r="F12" i="181"/>
  <c r="I35" i="180"/>
  <c r="F35" i="181"/>
  <c r="F40" i="181"/>
  <c r="I40" i="180"/>
  <c r="F34" i="181"/>
  <c r="I34" i="180"/>
  <c r="I36" i="180"/>
  <c r="F36" i="181"/>
  <c r="I21" i="180"/>
  <c r="F21" i="181"/>
  <c r="I32" i="180"/>
  <c r="F32" i="181"/>
  <c r="H44" i="180"/>
  <c r="I6" i="180"/>
  <c r="F6" i="181"/>
  <c r="F37" i="181"/>
  <c r="I37" i="180"/>
  <c r="I10" i="180"/>
  <c r="F10" i="181"/>
  <c r="F33" i="181"/>
  <c r="I33" i="180"/>
  <c r="I38" i="180"/>
  <c r="F38" i="181"/>
  <c r="I7" i="180"/>
  <c r="F7" i="181"/>
  <c r="F23" i="181"/>
  <c r="I23" i="180"/>
  <c r="I24" i="180"/>
  <c r="F24" i="181"/>
  <c r="I16" i="180"/>
  <c r="F16" i="181"/>
  <c r="I13" i="180"/>
  <c r="F13" i="181"/>
  <c r="I14" i="180"/>
  <c r="F14" i="181"/>
  <c r="I42" i="180"/>
  <c r="F42" i="181"/>
  <c r="I8" i="180"/>
  <c r="F8" i="181"/>
  <c r="I18" i="180"/>
  <c r="F18" i="181"/>
  <c r="F11" i="181"/>
  <c r="I11" i="180"/>
  <c r="F29" i="181"/>
  <c r="I29" i="180"/>
  <c r="F30" i="181"/>
  <c r="I30" i="180"/>
  <c r="I17" i="180"/>
  <c r="F17" i="181"/>
  <c r="I44" i="180" l="1"/>
  <c r="G30" i="181"/>
  <c r="G18" i="181"/>
  <c r="G36" i="181"/>
  <c r="G22" i="181"/>
  <c r="G25" i="181"/>
  <c r="G42" i="181"/>
  <c r="G23" i="181"/>
  <c r="G37" i="181"/>
  <c r="G35" i="181"/>
  <c r="G27" i="181"/>
  <c r="G41" i="181"/>
  <c r="G16" i="181"/>
  <c r="G32" i="181"/>
  <c r="G31" i="181"/>
  <c r="G39" i="181"/>
  <c r="G33" i="181"/>
  <c r="G29" i="181"/>
  <c r="G8" i="181"/>
  <c r="G7" i="181"/>
  <c r="G13" i="181"/>
  <c r="G14" i="181"/>
  <c r="G10" i="181"/>
  <c r="G34" i="181"/>
  <c r="G12" i="181"/>
  <c r="G9" i="181"/>
  <c r="G28" i="181"/>
  <c r="G40" i="181"/>
  <c r="G17" i="181"/>
  <c r="G24" i="181"/>
  <c r="G21" i="181"/>
  <c r="G19" i="181"/>
  <c r="G26" i="181"/>
  <c r="G11" i="181"/>
  <c r="G38" i="181"/>
  <c r="F44" i="181"/>
  <c r="G6" i="181"/>
  <c r="G15" i="181"/>
  <c r="H14" i="181" l="1"/>
  <c r="H16" i="181"/>
  <c r="H6" i="181"/>
  <c r="H33" i="181"/>
  <c r="H13" i="181"/>
  <c r="H34" i="181"/>
  <c r="H28" i="181"/>
  <c r="H8" i="181"/>
  <c r="H27" i="181"/>
  <c r="H7" i="181"/>
  <c r="H32" i="181"/>
  <c r="H26" i="181"/>
  <c r="H36" i="181"/>
  <c r="G44" i="181"/>
  <c r="H39" i="181"/>
  <c r="H30" i="181"/>
  <c r="H31" i="181"/>
  <c r="H42" i="181"/>
  <c r="H11" i="181"/>
  <c r="H35" i="181"/>
  <c r="H24" i="181"/>
  <c r="H19" i="181"/>
  <c r="H38" i="181"/>
  <c r="H40" i="181"/>
  <c r="H23" i="181"/>
  <c r="H41" i="181"/>
  <c r="H21" i="181"/>
  <c r="H18" i="181"/>
  <c r="H17" i="181"/>
  <c r="H29" i="181"/>
  <c r="H25" i="181" l="1"/>
  <c r="H9" i="181"/>
  <c r="H12" i="181"/>
  <c r="H22" i="181"/>
  <c r="H15" i="181"/>
  <c r="H37" i="181"/>
  <c r="H10" i="181"/>
  <c r="I30" i="181"/>
  <c r="F30" i="182"/>
  <c r="I29" i="181"/>
  <c r="F29" i="182"/>
  <c r="I18" i="181"/>
  <c r="F18" i="182"/>
  <c r="I42" i="181"/>
  <c r="F42" i="182"/>
  <c r="F6" i="182"/>
  <c r="I6" i="181"/>
  <c r="I33" i="181"/>
  <c r="F33" i="182"/>
  <c r="I26" i="181"/>
  <c r="F26" i="182"/>
  <c r="I41" i="181"/>
  <c r="F41" i="182"/>
  <c r="F13" i="182"/>
  <c r="I13" i="181"/>
  <c r="I38" i="181"/>
  <c r="F38" i="182"/>
  <c r="I24" i="181"/>
  <c r="F24" i="182"/>
  <c r="I11" i="181"/>
  <c r="F11" i="182"/>
  <c r="F7" i="182"/>
  <c r="I7" i="181"/>
  <c r="F27" i="182"/>
  <c r="I27" i="181"/>
  <c r="I8" i="181"/>
  <c r="F8" i="182"/>
  <c r="F23" i="182"/>
  <c r="I23" i="181"/>
  <c r="F12" i="182"/>
  <c r="I28" i="181"/>
  <c r="F28" i="182"/>
  <c r="F39" i="182"/>
  <c r="I39" i="181"/>
  <c r="F17" i="182"/>
  <c r="I17" i="181"/>
  <c r="I21" i="181"/>
  <c r="F21" i="182"/>
  <c r="I36" i="181"/>
  <c r="F36" i="182"/>
  <c r="I32" i="181"/>
  <c r="F32" i="182"/>
  <c r="F16" i="182"/>
  <c r="I16" i="181"/>
  <c r="I34" i="181"/>
  <c r="F34" i="182"/>
  <c r="I31" i="181"/>
  <c r="F31" i="182"/>
  <c r="I40" i="181"/>
  <c r="F40" i="182"/>
  <c r="I19" i="181"/>
  <c r="F19" i="182"/>
  <c r="F35" i="182"/>
  <c r="I35" i="181"/>
  <c r="F9" i="182"/>
  <c r="I9" i="181"/>
  <c r="I14" i="181"/>
  <c r="F14" i="182"/>
  <c r="I12" i="181" l="1"/>
  <c r="F25" i="182"/>
  <c r="F10" i="182"/>
  <c r="F37" i="182"/>
  <c r="I15" i="181"/>
  <c r="I22" i="181"/>
  <c r="I25" i="181"/>
  <c r="F15" i="182"/>
  <c r="F22" i="182"/>
  <c r="I10" i="181"/>
  <c r="I37" i="181"/>
  <c r="H44" i="181"/>
  <c r="G32" i="182"/>
  <c r="G38" i="182"/>
  <c r="G26" i="182"/>
  <c r="G6" i="182"/>
  <c r="G21" i="182"/>
  <c r="G34" i="182"/>
  <c r="G28" i="182"/>
  <c r="G23" i="182"/>
  <c r="G29" i="182"/>
  <c r="G19" i="182"/>
  <c r="G7" i="182"/>
  <c r="G11" i="182"/>
  <c r="G13" i="182"/>
  <c r="G16" i="182"/>
  <c r="G36" i="182"/>
  <c r="G17" i="182"/>
  <c r="G8" i="182"/>
  <c r="G33" i="182"/>
  <c r="G42" i="182"/>
  <c r="G12" i="182"/>
  <c r="G41" i="182"/>
  <c r="G30" i="182"/>
  <c r="G39" i="182"/>
  <c r="G14" i="182"/>
  <c r="G35" i="182"/>
  <c r="G40" i="182"/>
  <c r="G24" i="182"/>
  <c r="G27" i="182"/>
  <c r="G9" i="182"/>
  <c r="G31" i="182"/>
  <c r="G18" i="182"/>
  <c r="G37" i="182" l="1"/>
  <c r="G15" i="182"/>
  <c r="G10" i="182"/>
  <c r="G25" i="182"/>
  <c r="I44" i="181"/>
  <c r="G22" i="182"/>
  <c r="F44" i="182"/>
  <c r="G44" i="182" l="1"/>
  <c r="H13" i="182"/>
  <c r="H10" i="182"/>
  <c r="H42" i="182"/>
  <c r="H31" i="182"/>
  <c r="H34" i="182"/>
  <c r="H8" i="182"/>
  <c r="H33" i="182"/>
  <c r="H32" i="182"/>
  <c r="H29" i="182"/>
  <c r="H7" i="182"/>
  <c r="H11" i="182"/>
  <c r="H41" i="182"/>
  <c r="H19" i="182"/>
  <c r="H24" i="182"/>
  <c r="H26" i="182"/>
  <c r="H22" i="182"/>
  <c r="H6" i="182"/>
  <c r="H30" i="182"/>
  <c r="H14" i="182"/>
  <c r="H21" i="182"/>
  <c r="H23" i="182"/>
  <c r="H15" i="182"/>
  <c r="H28" i="182"/>
  <c r="H9" i="182"/>
  <c r="H36" i="182"/>
  <c r="H12" i="182"/>
  <c r="H40" i="182"/>
  <c r="H39" i="182"/>
  <c r="H35" i="182"/>
  <c r="H27" i="182"/>
  <c r="H17" i="182"/>
  <c r="H38" i="182"/>
  <c r="H25" i="182"/>
  <c r="H16" i="182"/>
  <c r="H37" i="182"/>
  <c r="H18" i="182"/>
  <c r="H35" i="185" l="1"/>
  <c r="H35" i="186"/>
  <c r="H23" i="185"/>
  <c r="H23" i="186"/>
  <c r="H19" i="185"/>
  <c r="H19" i="186"/>
  <c r="H34" i="185"/>
  <c r="H34" i="186"/>
  <c r="H21" i="185"/>
  <c r="H21" i="186"/>
  <c r="H41" i="185"/>
  <c r="H41" i="186"/>
  <c r="H31" i="185"/>
  <c r="H31" i="186"/>
  <c r="H40" i="185"/>
  <c r="H40" i="186"/>
  <c r="H14" i="185"/>
  <c r="H14" i="186"/>
  <c r="H11" i="185"/>
  <c r="H11" i="186"/>
  <c r="H42" i="185"/>
  <c r="H42" i="186"/>
  <c r="H37" i="185"/>
  <c r="H37" i="186"/>
  <c r="H16" i="185"/>
  <c r="H16" i="186"/>
  <c r="H12" i="185"/>
  <c r="H12" i="186"/>
  <c r="H30" i="185"/>
  <c r="H30" i="186"/>
  <c r="H7" i="185"/>
  <c r="H7" i="186"/>
  <c r="H10" i="185"/>
  <c r="H10" i="186"/>
  <c r="H25" i="185"/>
  <c r="H25" i="186"/>
  <c r="H36" i="185"/>
  <c r="H36" i="186"/>
  <c r="H6" i="185"/>
  <c r="H6" i="186"/>
  <c r="H29" i="185"/>
  <c r="H29" i="186"/>
  <c r="H13" i="185"/>
  <c r="H13" i="186"/>
  <c r="H38" i="185"/>
  <c r="H38" i="186"/>
  <c r="H9" i="185"/>
  <c r="H9" i="186"/>
  <c r="H22" i="185"/>
  <c r="H22" i="186"/>
  <c r="H32" i="185"/>
  <c r="H32" i="186"/>
  <c r="H18" i="185"/>
  <c r="H18" i="186"/>
  <c r="H28" i="185"/>
  <c r="H28" i="186"/>
  <c r="H26" i="185"/>
  <c r="H26" i="186"/>
  <c r="H33" i="185"/>
  <c r="H33" i="186"/>
  <c r="H39" i="185"/>
  <c r="H39" i="186"/>
  <c r="H17" i="185"/>
  <c r="H17" i="186"/>
  <c r="H27" i="185"/>
  <c r="H27" i="186"/>
  <c r="H15" i="185"/>
  <c r="H15" i="186"/>
  <c r="H24" i="185"/>
  <c r="H24" i="186"/>
  <c r="H8" i="185"/>
  <c r="H8" i="186"/>
  <c r="I17" i="182"/>
  <c r="F17" i="183"/>
  <c r="I19" i="182"/>
  <c r="F19" i="183"/>
  <c r="F29" i="183"/>
  <c r="I29" i="182"/>
  <c r="I18" i="182"/>
  <c r="F18" i="183"/>
  <c r="F39" i="183"/>
  <c r="I39" i="182"/>
  <c r="I9" i="182"/>
  <c r="F9" i="183"/>
  <c r="I15" i="182"/>
  <c r="F15" i="183"/>
  <c r="F41" i="183"/>
  <c r="I41" i="182"/>
  <c r="I7" i="182"/>
  <c r="F7" i="183"/>
  <c r="I8" i="182"/>
  <c r="F8" i="183"/>
  <c r="I31" i="182"/>
  <c r="F31" i="183"/>
  <c r="F10" i="183"/>
  <c r="I10" i="182"/>
  <c r="I16" i="182"/>
  <c r="F16" i="183"/>
  <c r="F27" i="183"/>
  <c r="I27" i="182"/>
  <c r="I30" i="182"/>
  <c r="F30" i="183"/>
  <c r="I22" i="182"/>
  <c r="F22" i="183"/>
  <c r="F32" i="183"/>
  <c r="I32" i="182"/>
  <c r="F37" i="183"/>
  <c r="F37" i="186" s="1"/>
  <c r="I37" i="182"/>
  <c r="F38" i="183"/>
  <c r="F38" i="186" s="1"/>
  <c r="I38" i="182"/>
  <c r="I12" i="182"/>
  <c r="F12" i="183"/>
  <c r="I21" i="182"/>
  <c r="F21" i="183"/>
  <c r="I24" i="182"/>
  <c r="F24" i="183"/>
  <c r="I25" i="182"/>
  <c r="F25" i="183"/>
  <c r="I40" i="182"/>
  <c r="F40" i="183"/>
  <c r="F36" i="183"/>
  <c r="I36" i="182"/>
  <c r="I28" i="182"/>
  <c r="F28" i="183"/>
  <c r="I23" i="182"/>
  <c r="F23" i="183"/>
  <c r="I14" i="182"/>
  <c r="F14" i="183"/>
  <c r="H44" i="182"/>
  <c r="F6" i="183"/>
  <c r="I6" i="182"/>
  <c r="I35" i="182"/>
  <c r="F35" i="183"/>
  <c r="F26" i="183"/>
  <c r="I26" i="182"/>
  <c r="F11" i="183"/>
  <c r="I11" i="182"/>
  <c r="F33" i="183"/>
  <c r="F33" i="186" s="1"/>
  <c r="I33" i="186" s="1"/>
  <c r="I33" i="182"/>
  <c r="I34" i="182"/>
  <c r="F34" i="183"/>
  <c r="F42" i="183"/>
  <c r="I42" i="182"/>
  <c r="I13" i="182"/>
  <c r="F13" i="183"/>
  <c r="I38" i="186" l="1"/>
  <c r="I37" i="186"/>
  <c r="F11" i="186"/>
  <c r="I11" i="186" s="1"/>
  <c r="F40" i="186"/>
  <c r="I40" i="186" s="1"/>
  <c r="F12" i="186"/>
  <c r="I12" i="186" s="1"/>
  <c r="F22" i="186"/>
  <c r="I22" i="186" s="1"/>
  <c r="F18" i="186"/>
  <c r="I18" i="186" s="1"/>
  <c r="H44" i="186"/>
  <c r="F42" i="186"/>
  <c r="I42" i="186" s="1"/>
  <c r="F14" i="186"/>
  <c r="I14" i="186" s="1"/>
  <c r="F10" i="186"/>
  <c r="I10" i="186" s="1"/>
  <c r="F41" i="186"/>
  <c r="I41" i="186" s="1"/>
  <c r="F23" i="186"/>
  <c r="I23" i="186" s="1"/>
  <c r="F25" i="186"/>
  <c r="I25" i="186" s="1"/>
  <c r="F30" i="186"/>
  <c r="I30" i="186" s="1"/>
  <c r="F31" i="186"/>
  <c r="I31" i="186" s="1"/>
  <c r="F15" i="186"/>
  <c r="I15" i="186" s="1"/>
  <c r="F34" i="186"/>
  <c r="I34" i="186" s="1"/>
  <c r="F35" i="186"/>
  <c r="I35" i="186" s="1"/>
  <c r="F29" i="186"/>
  <c r="I29" i="186" s="1"/>
  <c r="F26" i="186"/>
  <c r="I26" i="186" s="1"/>
  <c r="F24" i="186"/>
  <c r="I24" i="186" s="1"/>
  <c r="F8" i="186"/>
  <c r="F9" i="186"/>
  <c r="I9" i="186" s="1"/>
  <c r="F19" i="186"/>
  <c r="I19" i="186" s="1"/>
  <c r="F28" i="186"/>
  <c r="I28" i="186" s="1"/>
  <c r="F27" i="186"/>
  <c r="I27" i="186" s="1"/>
  <c r="F6" i="186"/>
  <c r="I6" i="186" s="1"/>
  <c r="F21" i="186"/>
  <c r="I21" i="186" s="1"/>
  <c r="F16" i="186"/>
  <c r="I16" i="186" s="1"/>
  <c r="F7" i="186"/>
  <c r="I7" i="186" s="1"/>
  <c r="F17" i="186"/>
  <c r="I17" i="186" s="1"/>
  <c r="F13" i="186"/>
  <c r="I13" i="186" s="1"/>
  <c r="F36" i="186"/>
  <c r="I36" i="186" s="1"/>
  <c r="F32" i="186"/>
  <c r="I32" i="186" s="1"/>
  <c r="F39" i="186"/>
  <c r="I39" i="186" s="1"/>
  <c r="G26" i="183"/>
  <c r="F26" i="185"/>
  <c r="G28" i="183"/>
  <c r="F28" i="185"/>
  <c r="G38" i="183"/>
  <c r="F38" i="185"/>
  <c r="G16" i="183"/>
  <c r="F16" i="185"/>
  <c r="G41" i="183"/>
  <c r="F41" i="185"/>
  <c r="G18" i="183"/>
  <c r="F18" i="185"/>
  <c r="G33" i="183"/>
  <c r="F33" i="185"/>
  <c r="G25" i="183"/>
  <c r="F25" i="185"/>
  <c r="G21" i="183"/>
  <c r="F21" i="185"/>
  <c r="G32" i="183"/>
  <c r="F32" i="185"/>
  <c r="G8" i="183"/>
  <c r="F8" i="185"/>
  <c r="G40" i="183"/>
  <c r="F40" i="185"/>
  <c r="G31" i="183"/>
  <c r="F31" i="185"/>
  <c r="G19" i="183"/>
  <c r="F19" i="185"/>
  <c r="G15" i="183"/>
  <c r="F15" i="185"/>
  <c r="G14" i="183"/>
  <c r="F14" i="185"/>
  <c r="G24" i="183"/>
  <c r="F24" i="185"/>
  <c r="G30" i="183"/>
  <c r="F30" i="185"/>
  <c r="G9" i="183"/>
  <c r="F9" i="185"/>
  <c r="G39" i="183"/>
  <c r="F39" i="185"/>
  <c r="G42" i="183"/>
  <c r="F42" i="185"/>
  <c r="G35" i="183"/>
  <c r="F35" i="185"/>
  <c r="G37" i="183"/>
  <c r="F37" i="185"/>
  <c r="G22" i="183"/>
  <c r="F22" i="185"/>
  <c r="G17" i="183"/>
  <c r="F17" i="185"/>
  <c r="I44" i="182"/>
  <c r="G27" i="183"/>
  <c r="F27" i="185"/>
  <c r="F44" i="183"/>
  <c r="G6" i="183"/>
  <c r="F6" i="185"/>
  <c r="G11" i="183"/>
  <c r="F11" i="185"/>
  <c r="G36" i="183"/>
  <c r="F36" i="185"/>
  <c r="G12" i="183"/>
  <c r="F12" i="185"/>
  <c r="G10" i="183"/>
  <c r="F10" i="185"/>
  <c r="G7" i="183"/>
  <c r="F7" i="185"/>
  <c r="G29" i="183"/>
  <c r="F29" i="185"/>
  <c r="G13" i="183"/>
  <c r="F13" i="185"/>
  <c r="G34" i="183"/>
  <c r="F34" i="185"/>
  <c r="G23" i="183"/>
  <c r="F23" i="185"/>
  <c r="G34" i="186" l="1"/>
  <c r="G10" i="186"/>
  <c r="G6" i="186"/>
  <c r="G22" i="186"/>
  <c r="G39" i="186"/>
  <c r="G14" i="186"/>
  <c r="G40" i="186"/>
  <c r="G25" i="186"/>
  <c r="G16" i="186"/>
  <c r="G13" i="186"/>
  <c r="G12" i="186"/>
  <c r="G37" i="186"/>
  <c r="G9" i="186"/>
  <c r="G15" i="186"/>
  <c r="G8" i="186"/>
  <c r="G33" i="186"/>
  <c r="G38" i="186"/>
  <c r="G27" i="186"/>
  <c r="G29" i="186"/>
  <c r="G36" i="186"/>
  <c r="G35" i="186"/>
  <c r="G30" i="186"/>
  <c r="G19" i="186"/>
  <c r="G32" i="186"/>
  <c r="G18" i="186"/>
  <c r="G28" i="186"/>
  <c r="F44" i="186"/>
  <c r="I8" i="186"/>
  <c r="I44" i="186" s="1"/>
  <c r="G23" i="186"/>
  <c r="G7" i="186"/>
  <c r="G11" i="186"/>
  <c r="G17" i="186"/>
  <c r="G42" i="186"/>
  <c r="G24" i="186"/>
  <c r="G31" i="186"/>
  <c r="G21" i="186"/>
  <c r="G41" i="186"/>
  <c r="G26" i="186"/>
  <c r="G37" i="185"/>
  <c r="G36" i="185"/>
  <c r="G8" i="185"/>
  <c r="G18" i="185"/>
  <c r="G28" i="185"/>
  <c r="G31" i="185"/>
  <c r="G17" i="185"/>
  <c r="G23" i="185"/>
  <c r="G7" i="185"/>
  <c r="G13" i="185"/>
  <c r="G12" i="185"/>
  <c r="G11" i="185"/>
  <c r="G35" i="185"/>
  <c r="G39" i="185"/>
  <c r="G40" i="185"/>
  <c r="G32" i="185"/>
  <c r="G16" i="185"/>
  <c r="G27" i="185"/>
  <c r="G22" i="185"/>
  <c r="G30" i="185"/>
  <c r="G14" i="185"/>
  <c r="G19" i="185"/>
  <c r="G25" i="185"/>
  <c r="G42" i="185"/>
  <c r="G24" i="185"/>
  <c r="G21" i="185"/>
  <c r="G34" i="185"/>
  <c r="F44" i="185"/>
  <c r="G38" i="185"/>
  <c r="G26" i="185"/>
  <c r="G9" i="185"/>
  <c r="G15" i="185"/>
  <c r="G29" i="185"/>
  <c r="G10" i="185"/>
  <c r="G44" i="183"/>
  <c r="G6" i="185"/>
  <c r="G33" i="185"/>
  <c r="G41" i="185"/>
  <c r="G44" i="186" l="1"/>
  <c r="H36" i="183"/>
  <c r="H9" i="183"/>
  <c r="H31" i="183"/>
  <c r="H26" i="183"/>
  <c r="G44" i="185"/>
  <c r="H39" i="183"/>
  <c r="H42" i="183"/>
  <c r="H41" i="183"/>
  <c r="H38" i="183"/>
  <c r="H21" i="183"/>
  <c r="H13" i="183"/>
  <c r="H23" i="183"/>
  <c r="H10" i="183"/>
  <c r="H12" i="183"/>
  <c r="H6" i="183"/>
  <c r="H15" i="183"/>
  <c r="H37" i="183"/>
  <c r="H34" i="183"/>
  <c r="H32" i="183"/>
  <c r="H33" i="183"/>
  <c r="H22" i="183"/>
  <c r="H8" i="183"/>
  <c r="H29" i="183"/>
  <c r="H35" i="183"/>
  <c r="H11" i="183"/>
  <c r="H40" i="183"/>
  <c r="H14" i="183"/>
  <c r="H17" i="183"/>
  <c r="H18" i="183"/>
  <c r="H30" i="183"/>
  <c r="H24" i="183"/>
  <c r="H19" i="183"/>
  <c r="H25" i="183"/>
  <c r="H28" i="183"/>
  <c r="H16" i="183"/>
  <c r="H27" i="183"/>
  <c r="H7" i="183"/>
  <c r="I23" i="183" l="1"/>
  <c r="I16" i="183"/>
  <c r="I14" i="183"/>
  <c r="I8" i="183"/>
  <c r="I38" i="183"/>
  <c r="I31" i="183"/>
  <c r="I30" i="183"/>
  <c r="I39" i="183"/>
  <c r="I7" i="183"/>
  <c r="I18" i="183"/>
  <c r="I35" i="183"/>
  <c r="I15" i="183"/>
  <c r="I13" i="183"/>
  <c r="I32" i="183"/>
  <c r="I28" i="183"/>
  <c r="I40" i="183"/>
  <c r="I22" i="183"/>
  <c r="I41" i="183"/>
  <c r="I9" i="183"/>
  <c r="I19" i="183"/>
  <c r="I24" i="183"/>
  <c r="I34" i="183"/>
  <c r="I10" i="183"/>
  <c r="I11" i="183"/>
  <c r="I12" i="183"/>
  <c r="I27" i="183"/>
  <c r="I17" i="183"/>
  <c r="I29" i="183"/>
  <c r="H44" i="183"/>
  <c r="I6" i="183"/>
  <c r="I21" i="183"/>
  <c r="I26" i="183"/>
  <c r="I37" i="183"/>
  <c r="I25" i="183"/>
  <c r="I33" i="183"/>
  <c r="I42" i="183"/>
  <c r="I36" i="183"/>
  <c r="I33" i="185" l="1"/>
  <c r="I21" i="185"/>
  <c r="I40" i="185"/>
  <c r="I15" i="185"/>
  <c r="I39" i="185"/>
  <c r="I8" i="185"/>
  <c r="I27" i="185"/>
  <c r="I25" i="185"/>
  <c r="I28" i="185"/>
  <c r="I35" i="185"/>
  <c r="I30" i="185"/>
  <c r="I14" i="185"/>
  <c r="I10" i="185"/>
  <c r="H44" i="185"/>
  <c r="I6" i="185"/>
  <c r="I12" i="185"/>
  <c r="I34" i="185"/>
  <c r="I41" i="185"/>
  <c r="I9" i="185"/>
  <c r="I37" i="185"/>
  <c r="I32" i="185"/>
  <c r="I18" i="185"/>
  <c r="I31" i="185"/>
  <c r="I16" i="185"/>
  <c r="I19" i="185"/>
  <c r="I36" i="185"/>
  <c r="I29" i="185"/>
  <c r="I11" i="185"/>
  <c r="I24" i="185"/>
  <c r="I17" i="185"/>
  <c r="I44" i="183"/>
  <c r="I42" i="185"/>
  <c r="I26" i="185"/>
  <c r="I22" i="185"/>
  <c r="I13" i="185"/>
  <c r="I7" i="185"/>
  <c r="I38" i="185"/>
  <c r="I23" i="185"/>
  <c r="I44" i="18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S16" authorId="0" shapeId="0" xr:uid="{99BD4331-5C83-407E-8EF8-3485366284E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RETENU DEC 23 AUX MEMBRE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S17" authorId="0" shapeId="0" xr:uid="{3AFB46EB-93DF-4B92-A0F4-D2E20DBAA6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RETENU DEC 23 AUX MEMBRE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47FBCAC1-6F33-4B6C-B66E-7DACC9BA578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63766851-5F8E-4A59-8F52-DC95EF05D5E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C0CA2837-26E7-4484-9439-CB9E34331C6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70CF35BD-6DEC-4688-A6EE-C0425DD3BA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B81EA9B3-F7D9-4DCB-A29B-C6665CE2A3C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EFF57C68-9142-4137-A8DE-205368FB1D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36919B13-3ED3-4511-9588-129A175A0B7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9B9C756E-0E2A-41D6-BD17-497577EC407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E9707ABC-52EC-4BAF-9317-267D9ED2CE7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4345551D-7390-45D8-A896-7F5A78EF03C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F943819B-504E-411C-B842-247B222701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6D851615-9799-4FED-8418-78F5022B2D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A61ABB74-80B3-40B0-ADD4-4039C1D37BA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3" authorId="0" shapeId="0" xr:uid="{28E70168-EB49-4284-A6CD-114F9BB3345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P8" authorId="0" shapeId="0" xr:uid="{41CA59A3-8896-444C-89F5-96A48E4C0C7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DEDUCTION EPARGNE 3 000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18" authorId="0" shapeId="0" xr:uid="{030BFD12-2729-487D-BA51-5138F60C40B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SEPT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S9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6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D38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FOTSO 46 000
KEHEP DAVID 343 500
SIMO FONGANG 23 000
TYAM ERNEST 164 500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T30 147 000
T60 46 000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ASSURANCE 
 1 155 000
T30 88 000
T100 1 275 500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54 400
PENALITE  131 750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T30 285 000
T60 488 000
PENALITE 108 500</t>
        </r>
      </text>
    </comment>
    <comment ref="C7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VERST EFFECTUE PAR DOMO FABIEN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T30 100 000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G44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1 155 000
SAISIE INTERET 42 500
DETTE T100 554 500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
 1 040 000
DETTE T100 536 000
COTISATION T30  23 000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B6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1 080 000
DETTE T30 98 500
COITSATION T30 46 000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E43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G39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S8" authorId="0" shapeId="0" xr:uid="{00000000-0006-0000-2C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5" authorId="0" shapeId="0" xr:uid="{00000000-0006-0000-2C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T35" authorId="0" shapeId="0" xr:uid="{6E78FB24-9CD0-4D08-8055-9CA88C6AA56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REMB AOUT</t>
        </r>
      </text>
    </comment>
  </commentList>
</comments>
</file>

<file path=xl/sharedStrings.xml><?xml version="1.0" encoding="utf-8"?>
<sst xmlns="http://schemas.openxmlformats.org/spreadsheetml/2006/main" count="3840" uniqueCount="347">
  <si>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</si>
  <si>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</si>
  <si>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</si>
  <si>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</si>
  <si>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</si>
  <si>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</si>
  <si>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</si>
  <si>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</si>
  <si>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</si>
  <si>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</si>
  <si>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</si>
  <si>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</si>
  <si>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</si>
  <si>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</si>
  <si>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</si>
  <si>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</si>
  <si>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</si>
  <si>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</si>
  <si>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</si>
  <si>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</si>
  <si>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</si>
  <si>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</si>
  <si>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</si>
  <si>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</si>
  <si>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</si>
  <si>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</si>
  <si>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</si>
  <si>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</si>
  <si>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</si>
  <si>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</si>
  <si>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</si>
  <si>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</si>
  <si>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</si>
  <si>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</si>
  <si>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</si>
  <si>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</si>
  <si>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</si>
  <si>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</si>
  <si>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</si>
  <si>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</si>
  <si>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</si>
  <si>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</si>
  <si>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</si>
  <si>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</si>
  <si>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</si>
  <si>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</si>
  <si>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</si>
  <si>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</si>
  <si>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</si>
  <si>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</si>
  <si>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</si>
  <si>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</si>
  <si>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</si>
  <si>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</si>
  <si>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</si>
  <si>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</si>
  <si>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</si>
  <si>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</si>
  <si>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</si>
  <si>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</si>
  <si>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</si>
  <si>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</si>
  <si>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</si>
  <si>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</si>
  <si>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</si>
  <si>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</si>
  <si>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</si>
  <si>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</si>
  <si>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</si>
  <si>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</si>
  <si>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</si>
  <si>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</si>
  <si>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</si>
  <si>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</si>
  <si>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</si>
  <si>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</si>
  <si>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</si>
  <si>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</si>
  <si>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</si>
  <si>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</si>
  <si>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</si>
  <si>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</si>
  <si>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</si>
  <si>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</si>
  <si>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</si>
  <si>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</si>
  <si>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</si>
  <si>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</si>
  <si>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</si>
  <si>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</si>
  <si>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</si>
  <si>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</si>
  <si>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</si>
  <si>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</si>
  <si>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</si>
  <si>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</si>
  <si>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</si>
  <si>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</si>
  <si>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</si>
  <si>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</si>
  <si>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</si>
  <si>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</si>
  <si>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</si>
  <si>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</si>
  <si>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</si>
  <si>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</si>
  <si>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</si>
  <si>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</si>
  <si>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</si>
  <si>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</si>
  <si>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</si>
  <si>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</si>
  <si>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</si>
  <si>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</si>
  <si>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</si>
  <si>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</si>
  <si>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</si>
  <si>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</si>
  <si>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</si>
  <si>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</si>
  <si>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</si>
  <si>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</si>
  <si>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</si>
  <si>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</si>
  <si>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</si>
  <si>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</si>
  <si>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</si>
  <si>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</si>
  <si>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</si>
  <si>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</si>
  <si>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</si>
  <si>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</si>
  <si>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</si>
  <si>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</si>
  <si>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</si>
  <si>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</si>
  <si>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</si>
  <si>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</si>
  <si>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</si>
  <si>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</si>
  <si>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</si>
  <si>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</si>
  <si>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</si>
  <si>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</si>
  <si>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</si>
  <si>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</si>
  <si>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</si>
  <si>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</si>
  <si>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</si>
  <si>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</si>
  <si>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</si>
  <si>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</si>
  <si>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</si>
  <si>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</si>
  <si>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</si>
  <si>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</si>
  <si>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</si>
  <si>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</si>
  <si>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</si>
  <si>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</si>
  <si>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</si>
  <si>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</si>
  <si>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</si>
  <si>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</si>
  <si>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</si>
  <si>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</si>
  <si>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</si>
  <si>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</si>
  <si>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</si>
  <si>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</si>
  <si>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</si>
  <si>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</si>
  <si>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</si>
  <si>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</si>
  <si>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</si>
  <si>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</si>
  <si>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</si>
  <si>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</si>
  <si>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</si>
  <si>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</si>
  <si>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</si>
  <si>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</si>
  <si>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</si>
  <si>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</si>
  <si>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</si>
  <si>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</si>
  <si>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</si>
  <si>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</si>
  <si>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</si>
  <si>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</si>
  <si>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</si>
  <si>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</si>
  <si>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</si>
  <si>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</si>
  <si>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</si>
  <si>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</si>
  <si>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</si>
  <si>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</si>
  <si>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</si>
  <si>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</si>
  <si>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</si>
  <si>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</si>
  <si>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</si>
  <si>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</si>
  <si>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</si>
  <si>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</si>
  <si>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</si>
  <si>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</si>
  <si>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</si>
  <si>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</si>
  <si>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</si>
  <si>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</si>
  <si>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</si>
  <si>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</si>
  <si>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</si>
  <si>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</si>
  <si>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</si>
  <si>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</si>
  <si>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</si>
  <si>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</si>
  <si>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</si>
  <si>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</si>
  <si>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</si>
  <si>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</si>
  <si>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</si>
  <si>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</si>
  <si>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</si>
  <si>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</si>
  <si>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</si>
  <si>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</si>
  <si>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</si>
  <si>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</si>
  <si>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</si>
  <si>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</si>
  <si>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</si>
  <si>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</si>
  <si>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</si>
  <si>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</si>
  <si>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</si>
  <si>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</si>
  <si>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</si>
  <si>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</si>
  <si>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</si>
  <si>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</si>
  <si>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</si>
  <si>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</si>
  <si>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</si>
  <si>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</si>
  <si>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</si>
  <si>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</si>
  <si>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</si>
  <si>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</si>
  <si>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</si>
  <si>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</si>
  <si>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</si>
  <si>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</si>
  <si>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</si>
  <si>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</si>
  <si>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</si>
  <si>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</si>
  <si>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</si>
  <si>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</si>
  <si>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</si>
  <si>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</si>
  <si>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</si>
  <si>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</si>
  <si>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</si>
  <si>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</si>
  <si>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</si>
  <si>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</si>
  <si>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</si>
  <si>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</si>
  <si>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</si>
  <si>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</si>
  <si>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</si>
  <si>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</si>
  <si>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</si>
  <si>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</si>
  <si>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</si>
  <si>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</si>
  <si>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</si>
  <si>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</si>
  <si>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</si>
  <si>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</si>
  <si>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</si>
  <si>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</si>
  <si>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</si>
  <si>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</si>
  <si>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</si>
  <si>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</si>
  <si>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</si>
  <si>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</si>
  <si>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</si>
  <si>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</si>
  <si>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</si>
  <si>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</si>
  <si>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</si>
  <si>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</si>
  <si>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</si>
  <si>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</si>
  <si>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</si>
  <si>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</si>
  <si>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</si>
  <si>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</si>
  <si>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</si>
  <si>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</si>
  <si>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</si>
  <si>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</si>
  <si>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</si>
  <si>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</si>
  <si>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</si>
  <si>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</si>
  <si>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</si>
  <si>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</si>
  <si>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</si>
  <si>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</si>
  <si>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</si>
  <si>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</si>
  <si>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</si>
  <si>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</si>
  <si>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</si>
  <si>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</si>
  <si>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</si>
  <si>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</si>
  <si>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</si>
  <si>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</si>
  <si>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</si>
  <si>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</si>
  <si>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</si>
  <si>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</si>
  <si>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</si>
  <si>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</si>
  <si>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</si>
  <si>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INTERET  PRÊT EXERCISE</t>
  </si>
  <si>
    <t>DETTE DEFINITIVE</t>
  </si>
  <si>
    <t>AUTRES DEPENSES</t>
  </si>
  <si>
    <t>BILAN MI PARCOURS AUTRES MOUVEMENT</t>
  </si>
  <si>
    <t>TERRAIN/ADHERENT</t>
  </si>
  <si>
    <t>AS201662</t>
  </si>
  <si>
    <t>DEPENSE FONDS DE ROULEMENT</t>
  </si>
  <si>
    <t>DEPENSE FRAIS EXCEPTIONNEL</t>
  </si>
  <si>
    <t>DEPENSE FONDS MUTUELLE</t>
  </si>
  <si>
    <t>DEPENSE COLLATION RECEPTION</t>
  </si>
  <si>
    <t>RETRAIT POUR LE COMPTE LAAGWE</t>
  </si>
  <si>
    <t>AS201663</t>
  </si>
  <si>
    <t>REMBOURSEMENT PRET FONDS</t>
  </si>
  <si>
    <t>PRÊT DEFINITIF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</si>
</sst>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C]d\-mmm\-yy;@"/>
    <numFmt numFmtId="165" formatCode="#,##0;[Red]#,##0"/>
    <numFmt numFmtId="166" formatCode="[$-40C]mmm\-yy;@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  <font>
      <b/>
      <sz val="12"/>
      <name val="Calibri"/>
      <family val="2"/>
      <scheme val="minor"/>
    </font>
    <font>
      <sz val="11"/>
      <color rgb="FFC00000"/>
      <name val="Castellar"/>
      <family val="1"/>
    </font>
    <font>
      <sz val="11"/>
      <color rgb="FFC00000"/>
      <name val="Britannic Bold"/>
      <family val="2"/>
    </font>
    <font>
      <sz val="11"/>
      <color rgb="FFFF0000"/>
      <name val="Castellar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3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16" fillId="0" borderId="1" xfId="0" applyNumberFormat="1" applyFont="1" applyBorder="1"/>
    <xf numFmtId="0" fontId="0" fillId="0" borderId="1" xfId="0" applyBorder="1" applyAlignment="1">
      <alignment horizontal="center"/>
    </xf>
    <xf numFmtId="3" fontId="5" fillId="0" borderId="8" xfId="0" applyNumberFormat="1" applyFont="1" applyBorder="1"/>
    <xf numFmtId="3" fontId="38" fillId="0" borderId="1" xfId="0" applyNumberFormat="1" applyFont="1" applyBorder="1"/>
    <xf numFmtId="166" fontId="3" fillId="0" borderId="1" xfId="0" applyNumberFormat="1" applyFont="1" applyBorder="1"/>
    <xf numFmtId="3" fontId="3" fillId="0" borderId="5" xfId="0" applyNumberFormat="1" applyFont="1" applyBorder="1"/>
    <xf numFmtId="0" fontId="4" fillId="0" borderId="5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3" fontId="1" fillId="3" borderId="3" xfId="0" applyNumberFormat="1" applyFont="1" applyFill="1" applyBorder="1" applyAlignment="1">
      <alignment wrapText="1"/>
    </xf>
    <xf numFmtId="0" fontId="1" fillId="3" borderId="3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9" fillId="0" borderId="0" xfId="0" applyNumberFormat="1" applyFont="1"/>
    <xf numFmtId="3" fontId="40" fillId="0" borderId="0" xfId="0" applyNumberFormat="1" applyFont="1" applyAlignment="1">
      <alignment wrapText="1"/>
    </xf>
    <xf numFmtId="166" fontId="33" fillId="0" borderId="0" xfId="0" applyNumberFormat="1" applyFont="1"/>
    <xf numFmtId="3" fontId="41" fillId="0" borderId="0" xfId="0" applyNumberFormat="1" applyFont="1"/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3" fontId="30" fillId="0" borderId="0" xfId="0" applyNumberFormat="1" applyFont="1" applyAlignment="1">
      <alignment horizontal="center"/>
    </xf>
    <xf numFmtId="0" fontId="31" fillId="0" borderId="0" xfId="0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2.xml"/><Relationship Id="rId68" Type="http://schemas.openxmlformats.org/officeDocument/2006/relationships/externalLink" Target="externalLinks/externalLink7.xml"/><Relationship Id="rId84" Type="http://schemas.openxmlformats.org/officeDocument/2006/relationships/externalLink" Target="externalLinks/externalLink23.xml"/><Relationship Id="rId89" Type="http://schemas.openxmlformats.org/officeDocument/2006/relationships/externalLink" Target="externalLinks/externalLink2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externalLink" Target="externalLinks/externalLink13.xml"/><Relationship Id="rId79" Type="http://schemas.openxmlformats.org/officeDocument/2006/relationships/externalLink" Target="externalLinks/externalLink18.xml"/><Relationship Id="rId10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29.xml"/><Relationship Id="rId95" Type="http://schemas.openxmlformats.org/officeDocument/2006/relationships/externalLink" Target="externalLinks/externalLink3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externalLink" Target="externalLinks/externalLink3.xml"/><Relationship Id="rId69" Type="http://schemas.openxmlformats.org/officeDocument/2006/relationships/externalLink" Target="externalLinks/externalLink8.xml"/><Relationship Id="rId80" Type="http://schemas.openxmlformats.org/officeDocument/2006/relationships/externalLink" Target="externalLinks/externalLink19.xml"/><Relationship Id="rId85" Type="http://schemas.openxmlformats.org/officeDocument/2006/relationships/externalLink" Target="externalLinks/externalLink2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6.xml"/><Relationship Id="rId103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70" Type="http://schemas.openxmlformats.org/officeDocument/2006/relationships/externalLink" Target="externalLinks/externalLink9.xml"/><Relationship Id="rId75" Type="http://schemas.openxmlformats.org/officeDocument/2006/relationships/externalLink" Target="externalLinks/externalLink14.xml"/><Relationship Id="rId83" Type="http://schemas.openxmlformats.org/officeDocument/2006/relationships/externalLink" Target="externalLinks/externalLink22.xml"/><Relationship Id="rId88" Type="http://schemas.openxmlformats.org/officeDocument/2006/relationships/externalLink" Target="externalLinks/externalLink27.xml"/><Relationship Id="rId91" Type="http://schemas.openxmlformats.org/officeDocument/2006/relationships/externalLink" Target="externalLinks/externalLink30.xml"/><Relationship Id="rId96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4.xml"/><Relationship Id="rId73" Type="http://schemas.openxmlformats.org/officeDocument/2006/relationships/externalLink" Target="externalLinks/externalLink12.xml"/><Relationship Id="rId78" Type="http://schemas.openxmlformats.org/officeDocument/2006/relationships/externalLink" Target="externalLinks/externalLink17.xml"/><Relationship Id="rId81" Type="http://schemas.openxmlformats.org/officeDocument/2006/relationships/externalLink" Target="externalLinks/externalLink20.xml"/><Relationship Id="rId86" Type="http://schemas.openxmlformats.org/officeDocument/2006/relationships/externalLink" Target="externalLinks/externalLink25.xml"/><Relationship Id="rId94" Type="http://schemas.openxmlformats.org/officeDocument/2006/relationships/externalLink" Target="externalLinks/externalLink33.xml"/><Relationship Id="rId99" Type="http://schemas.openxmlformats.org/officeDocument/2006/relationships/externalLink" Target="externalLinks/externalLink38.xml"/><Relationship Id="rId10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externalLink" Target="externalLinks/externalLink15.xml"/><Relationship Id="rId97" Type="http://schemas.openxmlformats.org/officeDocument/2006/relationships/externalLink" Target="externalLinks/externalLink3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10.xml"/><Relationship Id="rId92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externalLink" Target="externalLinks/externalLink5.xml"/><Relationship Id="rId87" Type="http://schemas.openxmlformats.org/officeDocument/2006/relationships/externalLink" Target="externalLinks/externalLink26.xml"/><Relationship Id="rId61" Type="http://schemas.openxmlformats.org/officeDocument/2006/relationships/worksheet" Target="worksheets/sheet61.xml"/><Relationship Id="rId82" Type="http://schemas.openxmlformats.org/officeDocument/2006/relationships/externalLink" Target="externalLinks/externalLink2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externalLink" Target="externalLinks/externalLink16.xml"/><Relationship Id="rId100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1.xml"/><Relationship Id="rId93" Type="http://schemas.openxmlformats.org/officeDocument/2006/relationships/externalLink" Target="externalLinks/externalLink32.xml"/><Relationship Id="rId98" Type="http://schemas.openxmlformats.org/officeDocument/2006/relationships/externalLink" Target="externalLinks/externalLink37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AUTREMOUVEMEN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10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LISTEADHER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2TABBOR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UTRESDOC/FINANCES%20EXERCICE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2023TABBORD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3/TRAVAUXFINEXERCICE2023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3/ASELBY2023AUTREMOUVEMENT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3/ASELBY2023TABBOR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FONDSCAISSE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FONDSCAISSE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BASECALCULINTERET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ASELBY2024TABBOR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OR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LISTEADHERENT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TONTINE60000%20-%202018_2019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20000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30000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50000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0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50000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  <row r="51">
          <cell r="E51">
            <v>600000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GESTIONINTERET"/>
      <sheetName val="ECHEC TONTINE"/>
      <sheetName val="DETTE ENVELOPPE2020"/>
      <sheetName val="AIDEDEUIL"/>
      <sheetName val="RECONS_RETRAITE"/>
      <sheetName val="EMPRUNT"/>
      <sheetName val="EPARGNEASSURANCE"/>
      <sheetName val="RECAPTONTINE"/>
      <sheetName val="EMOLUMENT"/>
      <sheetName val="REPARINTERET"/>
      <sheetName val="GESTTRESORERIE"/>
      <sheetName val="DIST ESPECES KOLOKO"/>
      <sheetName val="LISTEADHERANT"/>
      <sheetName val="GESTIONINTERET BACKUP2020"/>
      <sheetName val="REPARINTERETBACKUP2020"/>
      <sheetName val="MVTRESUME20 (2)"/>
      <sheetName val="DISTINTERET"/>
      <sheetName val="MVTRESUME2020"/>
      <sheetName val="REPARINTERET (2)"/>
      <sheetName val="DETTE ENVE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>
        <row r="86">
          <cell r="G86">
            <v>33750</v>
          </cell>
        </row>
      </sheetData>
      <sheetData sheetId="5">
        <row r="86">
          <cell r="I86">
            <v>202500</v>
          </cell>
        </row>
      </sheetData>
      <sheetData sheetId="6">
        <row r="86">
          <cell r="I86">
            <v>155500</v>
          </cell>
        </row>
      </sheetData>
      <sheetData sheetId="7">
        <row r="86">
          <cell r="I86">
            <v>48000</v>
          </cell>
        </row>
      </sheetData>
      <sheetData sheetId="8">
        <row r="86">
          <cell r="I86">
            <v>0</v>
          </cell>
        </row>
      </sheetData>
      <sheetData sheetId="9">
        <row r="86">
          <cell r="I86">
            <v>616000</v>
          </cell>
        </row>
      </sheetData>
      <sheetData sheetId="10">
        <row r="86">
          <cell r="I86">
            <v>0</v>
          </cell>
        </row>
      </sheetData>
      <sheetData sheetId="11">
        <row r="86">
          <cell r="I86">
            <v>34000</v>
          </cell>
        </row>
      </sheetData>
      <sheetData sheetId="12">
        <row r="86">
          <cell r="I86">
            <v>34000</v>
          </cell>
        </row>
      </sheetData>
      <sheetData sheetId="13">
        <row r="86">
          <cell r="I86">
            <v>202000</v>
          </cell>
        </row>
      </sheetData>
      <sheetData sheetId="14"/>
      <sheetData sheetId="15"/>
      <sheetData sheetId="16"/>
      <sheetData sheetId="17">
        <row r="4">
          <cell r="G4">
            <v>1081.9642857142858</v>
          </cell>
        </row>
      </sheetData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>
        <row r="6">
          <cell r="K6">
            <v>97829.082108307513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  <cell r="I5" t="str">
            <v>ACTIF</v>
          </cell>
          <cell r="J5">
            <v>44958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  <cell r="I6" t="str">
            <v>ACTIF</v>
          </cell>
          <cell r="J6">
            <v>45017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  <cell r="I7" t="str">
            <v>ACTIF</v>
          </cell>
          <cell r="J7">
            <v>45139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  <cell r="I8" t="str">
            <v>ACTIF</v>
          </cell>
          <cell r="J8">
            <v>45170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  <cell r="J9">
            <v>45413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  <cell r="I10" t="str">
            <v>ACTIF</v>
          </cell>
          <cell r="J10">
            <v>45474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  <cell r="I11" t="str">
            <v>ACTIF</v>
          </cell>
          <cell r="J11">
            <v>45536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  <cell r="I12" t="str">
            <v>ACTIF</v>
          </cell>
          <cell r="J12">
            <v>45627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  <cell r="I13" t="str">
            <v>ACTIF</v>
          </cell>
          <cell r="J13">
            <v>44348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  <cell r="I14" t="str">
            <v>ACTIF</v>
          </cell>
          <cell r="J14">
            <v>44986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 t="str">
            <v>ACTIF</v>
          </cell>
          <cell r="J15">
            <v>44378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  <cell r="I16" t="str">
            <v>ACTIF</v>
          </cell>
          <cell r="J16">
            <v>44256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  <cell r="I17" t="str">
            <v>ACTIF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  <cell r="I18" t="str">
            <v>ACTIF</v>
          </cell>
          <cell r="J18">
            <v>45047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  <cell r="I19" t="str">
            <v>ACTIF</v>
          </cell>
          <cell r="J19">
            <v>45078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  <cell r="I20" t="str">
            <v>ACTIF</v>
          </cell>
          <cell r="J20">
            <v>45078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  <cell r="I21" t="str">
            <v>ACTIF</v>
          </cell>
          <cell r="J21">
            <v>45047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  <cell r="I22" t="str">
            <v>ACTIF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  <cell r="I23" t="str">
            <v>ACTIF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  <cell r="I24" t="str">
            <v>ACTIF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  <cell r="I25" t="str">
            <v>ACTIF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  <cell r="I26" t="str">
            <v>ACTIF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  <cell r="I27" t="str">
            <v>ACTIF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 t="str">
            <v>ACTIF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  <cell r="I29" t="str">
            <v>ACTIF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 t="str">
            <v>ACTIF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 t="str">
            <v>ACTIF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 t="str">
            <v>ACTIF</v>
          </cell>
          <cell r="J32">
            <v>45017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 t="str">
            <v>ACTIF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  <cell r="I34" t="str">
            <v>ACTIF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AS201629</v>
          </cell>
          <cell r="B36">
            <v>31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 t="str">
            <v>AS201653</v>
          </cell>
          <cell r="B37">
            <v>32</v>
          </cell>
          <cell r="C37" t="str">
            <v>SIME BRICE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AS201654</v>
          </cell>
          <cell r="B38">
            <v>33</v>
          </cell>
          <cell r="C38" t="str">
            <v>DJOMOU TCHANDA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AS201656</v>
          </cell>
          <cell r="B39">
            <v>34</v>
          </cell>
          <cell r="C39" t="str">
            <v>NOUBE ETIENNE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 t="str">
            <v>AS201657</v>
          </cell>
          <cell r="B40">
            <v>35</v>
          </cell>
          <cell r="C40" t="str">
            <v>SEUMO POLYCARPE</v>
          </cell>
          <cell r="D40">
            <v>0</v>
          </cell>
          <cell r="E40">
            <v>0</v>
          </cell>
          <cell r="F40">
            <v>696585118</v>
          </cell>
          <cell r="G40">
            <v>0</v>
          </cell>
          <cell r="H40">
            <v>0</v>
          </cell>
        </row>
        <row r="41">
          <cell r="A41" t="str">
            <v>AS201658</v>
          </cell>
          <cell r="B41">
            <v>36</v>
          </cell>
          <cell r="C41" t="str">
            <v>YANTCHOU GERVAIS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</sheetData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2"/>
      <sheetName val="HISTODEC21"/>
      <sheetName val="HISTOJANV23"/>
      <sheetName val="HISTOJANV22"/>
      <sheetName val="HISTOFEV22"/>
      <sheetName val="HISTOMARS22"/>
      <sheetName val="HISTOAVRIL22"/>
      <sheetName val="HISTOMAI22"/>
      <sheetName val="HISTOJUIN22"/>
      <sheetName val="HISTOJUIL22"/>
      <sheetName val="HISTOAOUT22"/>
      <sheetName val="HISTOSEPT22"/>
      <sheetName val="HISTOOCT22"/>
      <sheetName val="HISTONOV22"/>
      <sheetName val="HISTODEC22"/>
      <sheetName val="DETAILSORTIE"/>
    </sheetNames>
    <sheetDataSet>
      <sheetData sheetId="0" refreshError="1"/>
      <sheetData sheetId="1" refreshError="1">
        <row r="39">
          <cell r="T39">
            <v>0</v>
          </cell>
        </row>
      </sheetData>
      <sheetData sheetId="2" refreshError="1"/>
      <sheetData sheetId="3" refreshError="1"/>
      <sheetData sheetId="4" refreshError="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171000</v>
          </cell>
          <cell r="D7">
            <v>105000</v>
          </cell>
          <cell r="E7">
            <v>105000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S7">
            <v>504000</v>
          </cell>
          <cell r="T7" t="str">
            <v>BANQUE</v>
          </cell>
          <cell r="U7">
            <v>609000</v>
          </cell>
          <cell r="Z7">
            <v>525000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399000</v>
          </cell>
          <cell r="D8">
            <v>150000</v>
          </cell>
          <cell r="E8">
            <v>399000</v>
          </cell>
          <cell r="F8">
            <v>1000000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1150000</v>
          </cell>
          <cell r="Z8">
            <v>1000000</v>
          </cell>
          <cell r="AA8" t="str">
            <v>BANQUE</v>
          </cell>
          <cell r="AB8" t="str">
            <v>OK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</row>
        <row r="9">
          <cell r="A9" t="str">
            <v>AS201654</v>
          </cell>
          <cell r="B9" t="str">
            <v>DJOMOU TCHANDA</v>
          </cell>
          <cell r="C9">
            <v>180000</v>
          </cell>
          <cell r="D9">
            <v>30000</v>
          </cell>
          <cell r="E9">
            <v>67000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51000</v>
          </cell>
          <cell r="D10">
            <v>110000</v>
          </cell>
          <cell r="E10">
            <v>0</v>
          </cell>
          <cell r="F10">
            <v>1051000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1110000</v>
          </cell>
          <cell r="Z10">
            <v>1000000</v>
          </cell>
          <cell r="AA10" t="str">
            <v>BANQUE</v>
          </cell>
          <cell r="AB10" t="str">
            <v>OK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</row>
        <row r="11">
          <cell r="A11" t="str">
            <v>AS201608</v>
          </cell>
          <cell r="B11" t="str">
            <v>DJUOMBESSY ANTOINE</v>
          </cell>
          <cell r="C11">
            <v>1235000</v>
          </cell>
          <cell r="D11">
            <v>205000</v>
          </cell>
          <cell r="E11">
            <v>359000</v>
          </cell>
          <cell r="F11">
            <v>1966000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1029000</v>
          </cell>
          <cell r="T11" t="str">
            <v>BANQUE</v>
          </cell>
          <cell r="U11">
            <v>1234000</v>
          </cell>
          <cell r="Z11">
            <v>1029000</v>
          </cell>
          <cell r="AA11" t="str">
            <v>BANQUE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-37000</v>
          </cell>
          <cell r="D13">
            <v>30000</v>
          </cell>
          <cell r="E13">
            <v>33000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70000</v>
          </cell>
          <cell r="D15">
            <v>105000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-70000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1070000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594000</v>
          </cell>
          <cell r="D18">
            <v>411000</v>
          </cell>
          <cell r="E18">
            <v>594000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1874000</v>
          </cell>
          <cell r="D20">
            <v>455000</v>
          </cell>
          <cell r="E20">
            <v>0</v>
          </cell>
          <cell r="F20">
            <v>1874000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U20">
            <v>455000</v>
          </cell>
          <cell r="Z20">
            <v>1050000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70000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1071000</v>
          </cell>
          <cell r="D22">
            <v>1029000</v>
          </cell>
          <cell r="E22">
            <v>0</v>
          </cell>
          <cell r="F22">
            <v>1071000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Z22">
            <v>924000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101000</v>
          </cell>
          <cell r="D23">
            <v>140000</v>
          </cell>
          <cell r="E23">
            <v>101000</v>
          </cell>
          <cell r="F23">
            <v>500000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S23">
            <v>500000</v>
          </cell>
          <cell r="T23" t="str">
            <v>BANQUE</v>
          </cell>
          <cell r="U23">
            <v>640000</v>
          </cell>
          <cell r="Z23">
            <v>500000</v>
          </cell>
          <cell r="AA23" t="str">
            <v>BANQUE</v>
          </cell>
          <cell r="AB23" t="str">
            <v>OK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AS201624</v>
          </cell>
          <cell r="B24" t="str">
            <v>NGONDIEP CLAUDE</v>
          </cell>
          <cell r="C24">
            <v>309500</v>
          </cell>
          <cell r="D24">
            <v>210000</v>
          </cell>
          <cell r="E24">
            <v>309500</v>
          </cell>
          <cell r="F24">
            <v>1070000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S24">
            <v>1000000</v>
          </cell>
          <cell r="T24" t="str">
            <v>BANQUE</v>
          </cell>
          <cell r="U24">
            <v>1210000</v>
          </cell>
          <cell r="Z24">
            <v>1000000</v>
          </cell>
          <cell r="AA24" t="str">
            <v>BANQUE</v>
          </cell>
          <cell r="AB24" t="str">
            <v>OK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1000000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B25" t="str">
            <v>OK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417000</v>
          </cell>
          <cell r="D26">
            <v>105000</v>
          </cell>
          <cell r="E26">
            <v>446500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1000000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S28">
            <v>1000000</v>
          </cell>
          <cell r="T28" t="str">
            <v>BANQUE</v>
          </cell>
          <cell r="U28">
            <v>1140000</v>
          </cell>
          <cell r="Z28">
            <v>1000000</v>
          </cell>
          <cell r="AA28" t="str">
            <v>BANQUE</v>
          </cell>
          <cell r="AB28" t="str">
            <v>OK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391000</v>
          </cell>
          <cell r="D30">
            <v>105000</v>
          </cell>
          <cell r="E30">
            <v>321000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-60000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</row>
        <row r="33">
          <cell r="A33" t="str">
            <v>AS201641</v>
          </cell>
          <cell r="B33" t="str">
            <v>TCHOUAMOU MATHIEU</v>
          </cell>
          <cell r="C33">
            <v>560000</v>
          </cell>
          <cell r="D33">
            <v>30000</v>
          </cell>
          <cell r="E33">
            <v>0</v>
          </cell>
          <cell r="F33">
            <v>1120000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S33">
            <v>560000</v>
          </cell>
          <cell r="T33" t="str">
            <v>BANQUE</v>
          </cell>
          <cell r="U33">
            <v>590000</v>
          </cell>
          <cell r="Z33">
            <v>560000</v>
          </cell>
          <cell r="AA33" t="str">
            <v>BANQUE</v>
          </cell>
          <cell r="AB33" t="str">
            <v>OK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342750</v>
          </cell>
          <cell r="D35">
            <v>0</v>
          </cell>
          <cell r="E35">
            <v>159000</v>
          </cell>
          <cell r="F35">
            <v>213750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213000</v>
          </cell>
          <cell r="D36">
            <v>280000</v>
          </cell>
          <cell r="E36">
            <v>283000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8882250</v>
          </cell>
          <cell r="D38">
            <v>4880000</v>
          </cell>
          <cell r="E38">
            <v>3187000</v>
          </cell>
          <cell r="F38">
            <v>13898750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8517000</v>
          </cell>
          <cell r="U38">
            <v>12475500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18986500</v>
          </cell>
          <cell r="AA38">
            <v>0</v>
          </cell>
          <cell r="AB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5" refreshError="1"/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121000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150000</v>
          </cell>
          <cell r="Z8">
            <v>1000000</v>
          </cell>
          <cell r="AA8" t="str">
            <v>BANQUE</v>
          </cell>
          <cell r="AB8" t="str">
            <v>OKK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  <cell r="AW8">
            <v>0</v>
          </cell>
          <cell r="AX8">
            <v>1205000</v>
          </cell>
          <cell r="AY8">
            <v>0</v>
          </cell>
          <cell r="AZ8">
            <v>2085000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U10">
            <v>110000</v>
          </cell>
          <cell r="Z10">
            <v>1000000</v>
          </cell>
          <cell r="AA10" t="str">
            <v>BANQUE</v>
          </cell>
          <cell r="AB10" t="str">
            <v>OKK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100000</v>
          </cell>
          <cell r="AY10">
            <v>0</v>
          </cell>
          <cell r="AZ10">
            <v>980000</v>
          </cell>
        </row>
        <row r="11">
          <cell r="A11" t="str">
            <v>AS201608</v>
          </cell>
          <cell r="B11" t="str">
            <v>DJUOMBESSY ANTOINE</v>
          </cell>
          <cell r="C11">
            <v>29000</v>
          </cell>
          <cell r="D11">
            <v>205000</v>
          </cell>
          <cell r="E11">
            <v>0</v>
          </cell>
          <cell r="F11">
            <v>1090000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1000000</v>
          </cell>
          <cell r="T11" t="str">
            <v>BANQUE</v>
          </cell>
          <cell r="U11">
            <v>1205000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1140000</v>
          </cell>
          <cell r="AZ11">
            <v>50000</v>
          </cell>
          <cell r="BB11">
            <v>61000</v>
          </cell>
        </row>
        <row r="12">
          <cell r="A12" t="str">
            <v>AS201651</v>
          </cell>
          <cell r="B12" t="str">
            <v>DOMOU FABIEN</v>
          </cell>
          <cell r="C12">
            <v>-57000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OKK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B12">
            <v>57000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100000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B13">
            <v>70000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1155000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220000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70000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26000</v>
          </cell>
          <cell r="AX18">
            <v>100000</v>
          </cell>
          <cell r="AY18">
            <v>60000</v>
          </cell>
          <cell r="AZ18">
            <v>1126000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OKK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485000</v>
          </cell>
        </row>
        <row r="20">
          <cell r="A20" t="str">
            <v>AS201649</v>
          </cell>
          <cell r="B20" t="str">
            <v>MBOGNING TUGMA GUY</v>
          </cell>
          <cell r="C20">
            <v>-1050000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S20">
            <v>1050000</v>
          </cell>
          <cell r="T20" t="str">
            <v>BANQUE</v>
          </cell>
          <cell r="U20">
            <v>1505000</v>
          </cell>
          <cell r="Z20">
            <v>1000000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261000</v>
          </cell>
          <cell r="AX20">
            <v>100000</v>
          </cell>
          <cell r="AY20">
            <v>0</v>
          </cell>
          <cell r="AZ20">
            <v>1241000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1029000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U23">
            <v>140000</v>
          </cell>
          <cell r="Z23">
            <v>500000</v>
          </cell>
          <cell r="AA23" t="str">
            <v>BANQUE</v>
          </cell>
          <cell r="AB23" t="str">
            <v>OKK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440000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210000</v>
          </cell>
          <cell r="Z24">
            <v>1000000</v>
          </cell>
          <cell r="AA24" t="str">
            <v>BANQUE</v>
          </cell>
          <cell r="AB24" t="str">
            <v>OKK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0</v>
          </cell>
          <cell r="AX24">
            <v>100000</v>
          </cell>
          <cell r="AY24">
            <v>0</v>
          </cell>
          <cell r="AZ24">
            <v>980000</v>
          </cell>
          <cell r="BB24">
            <v>70000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280000</v>
          </cell>
          <cell r="Z25">
            <v>1000000</v>
          </cell>
          <cell r="AA25" t="str">
            <v>BANQUE</v>
          </cell>
          <cell r="AB25" t="str">
            <v>OKK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286000</v>
          </cell>
          <cell r="AX25">
            <v>30500</v>
          </cell>
          <cell r="AY25">
            <v>100000</v>
          </cell>
          <cell r="AZ25">
            <v>1296500</v>
          </cell>
          <cell r="BB25">
            <v>70000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25000</v>
          </cell>
          <cell r="AX26">
            <v>100000</v>
          </cell>
          <cell r="AY26">
            <v>0</v>
          </cell>
          <cell r="AZ26">
            <v>1280000</v>
          </cell>
        </row>
        <row r="27">
          <cell r="A27" t="str">
            <v>AS201614</v>
          </cell>
          <cell r="B27" t="str">
            <v>NKEHE DAVID</v>
          </cell>
          <cell r="C27">
            <v>30000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1155000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U28">
            <v>140000</v>
          </cell>
          <cell r="Z28">
            <v>1000000</v>
          </cell>
          <cell r="AA28" t="str">
            <v>BANQUE</v>
          </cell>
          <cell r="AB28" t="str">
            <v>OKK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0</v>
          </cell>
          <cell r="AZ28">
            <v>880000</v>
          </cell>
        </row>
        <row r="29">
          <cell r="A29" t="str">
            <v>AS201633</v>
          </cell>
          <cell r="B29" t="str">
            <v>PATEGO NJOSSU GUSTAVE</v>
          </cell>
          <cell r="C29">
            <v>70000</v>
          </cell>
          <cell r="D29">
            <v>175000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1166000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190000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Z32">
            <v>500000</v>
          </cell>
          <cell r="AA32" t="str">
            <v>BANQUE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470000</v>
          </cell>
          <cell r="BB32">
            <v>70000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U33">
            <v>30000</v>
          </cell>
          <cell r="Z33">
            <v>560000</v>
          </cell>
          <cell r="AA33" t="str">
            <v>BANQUE</v>
          </cell>
          <cell r="AB33" t="str">
            <v>OKK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492800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1112500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1155000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350000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70000</v>
          </cell>
        </row>
        <row r="38">
          <cell r="B38" t="str">
            <v>TOTAUX</v>
          </cell>
          <cell r="C38">
            <v>-873000</v>
          </cell>
          <cell r="D38">
            <v>5445000</v>
          </cell>
          <cell r="E38">
            <v>62500</v>
          </cell>
          <cell r="F38">
            <v>1090000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2974000</v>
          </cell>
          <cell r="U38">
            <v>6932500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16958500</v>
          </cell>
          <cell r="AA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K7">
            <v>0</v>
          </cell>
          <cell r="L7">
            <v>1</v>
          </cell>
          <cell r="M7">
            <v>75000</v>
          </cell>
          <cell r="N7">
            <v>0</v>
          </cell>
          <cell r="O7">
            <v>0</v>
          </cell>
          <cell r="P7">
            <v>0</v>
          </cell>
          <cell r="R7">
            <v>0</v>
          </cell>
          <cell r="S7">
            <v>0</v>
          </cell>
          <cell r="T7">
            <v>0</v>
          </cell>
          <cell r="U7">
            <v>105000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500000</v>
          </cell>
          <cell r="AA7" t="str">
            <v>BANQUE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0</v>
          </cell>
          <cell r="L8">
            <v>1</v>
          </cell>
          <cell r="M8">
            <v>75000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1000000</v>
          </cell>
          <cell r="T8" t="str">
            <v>BANQUE</v>
          </cell>
          <cell r="U8">
            <v>1105000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1000000</v>
          </cell>
          <cell r="AA8" t="str">
            <v>BANQUE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0</v>
          </cell>
          <cell r="L10">
            <v>1</v>
          </cell>
          <cell r="M10">
            <v>75000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1000000</v>
          </cell>
          <cell r="AA10" t="str">
            <v>BANQUE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206000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1000000</v>
          </cell>
          <cell r="AA11" t="str">
            <v>BANQUE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8000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1000000</v>
          </cell>
          <cell r="AA12" t="str">
            <v>BANQUE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23000</v>
          </cell>
          <cell r="AD13">
            <v>0</v>
          </cell>
          <cell r="AE13">
            <v>0</v>
          </cell>
          <cell r="AF13" t="str">
            <v>BANQUE</v>
          </cell>
          <cell r="AG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12000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K15">
            <v>0</v>
          </cell>
          <cell r="L15">
            <v>1</v>
          </cell>
          <cell r="M15">
            <v>75000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105000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75000</v>
          </cell>
          <cell r="AE15">
            <v>0</v>
          </cell>
          <cell r="AF15" t="str">
            <v>BANQUE</v>
          </cell>
          <cell r="AG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1000000</v>
          </cell>
          <cell r="AA16" t="str">
            <v>BANQUE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0</v>
          </cell>
          <cell r="L17">
            <v>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Q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1000000</v>
          </cell>
          <cell r="AA18" t="str">
            <v>BANQUE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1000000</v>
          </cell>
          <cell r="AA19" t="str">
            <v>BANQUE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K20">
            <v>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1000000</v>
          </cell>
          <cell r="AA20" t="str">
            <v>BANQUE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30000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500000</v>
          </cell>
          <cell r="AA21" t="str">
            <v>BANQUE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  <cell r="BK21">
            <v>70000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K22">
            <v>0</v>
          </cell>
          <cell r="L22">
            <v>1</v>
          </cell>
          <cell r="M22">
            <v>75000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1000000</v>
          </cell>
          <cell r="AA22" t="str">
            <v>BANQUE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L23">
            <v>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Q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600000</v>
          </cell>
          <cell r="AA23" t="str">
            <v>BANQUE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1000000</v>
          </cell>
          <cell r="AA24" t="str">
            <v>BANQUE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1000000</v>
          </cell>
          <cell r="AA25" t="str">
            <v>BANQUE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1000000</v>
          </cell>
          <cell r="BD25">
            <v>1000000</v>
          </cell>
          <cell r="BF25">
            <v>0</v>
          </cell>
          <cell r="BG25">
            <v>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K26">
            <v>0</v>
          </cell>
          <cell r="L26">
            <v>1</v>
          </cell>
          <cell r="M26">
            <v>75000</v>
          </cell>
          <cell r="N26">
            <v>0</v>
          </cell>
          <cell r="O26">
            <v>0</v>
          </cell>
          <cell r="P26">
            <v>41000</v>
          </cell>
          <cell r="Q26">
            <v>38500</v>
          </cell>
          <cell r="R26">
            <v>0</v>
          </cell>
          <cell r="S26">
            <v>1000000</v>
          </cell>
          <cell r="T26" t="str">
            <v>BANQUE</v>
          </cell>
          <cell r="U26">
            <v>1184500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1000000</v>
          </cell>
          <cell r="AA26" t="str">
            <v>BANQUE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K29">
            <v>0</v>
          </cell>
          <cell r="L29">
            <v>1</v>
          </cell>
          <cell r="M29">
            <v>75000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105000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K30">
            <v>0</v>
          </cell>
          <cell r="L30">
            <v>1</v>
          </cell>
          <cell r="M30">
            <v>75000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105000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23000</v>
          </cell>
          <cell r="AD30">
            <v>0</v>
          </cell>
          <cell r="AE30">
            <v>0</v>
          </cell>
          <cell r="AF30" t="str">
            <v>BANQUE</v>
          </cell>
          <cell r="AG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D30">
            <v>277000</v>
          </cell>
          <cell r="BF30">
            <v>0</v>
          </cell>
          <cell r="BG30">
            <v>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0</v>
          </cell>
          <cell r="L32">
            <v>1</v>
          </cell>
          <cell r="M32">
            <v>75000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800000</v>
          </cell>
          <cell r="T32" t="str">
            <v>BANQUE</v>
          </cell>
          <cell r="U32">
            <v>905000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1000000</v>
          </cell>
          <cell r="AA32" t="str">
            <v>BANQUE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K36">
            <v>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280000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  <cell r="BN36" t="str">
            <v>BOISSON</v>
          </cell>
          <cell r="BO36" t="str">
            <v>COLLATION</v>
          </cell>
        </row>
        <row r="37">
          <cell r="P37">
            <v>0</v>
          </cell>
          <cell r="Q37">
            <v>0</v>
          </cell>
          <cell r="R37">
            <v>0</v>
          </cell>
          <cell r="S37">
            <v>0</v>
          </cell>
        </row>
        <row r="38">
          <cell r="B38" t="str">
            <v>TOTAUX</v>
          </cell>
          <cell r="C38">
            <v>520000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14600000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16437000</v>
          </cell>
          <cell r="BA38">
            <v>0</v>
          </cell>
          <cell r="BB38">
            <v>9000</v>
          </cell>
          <cell r="BC38">
            <v>0</v>
          </cell>
          <cell r="BD38">
            <v>16499000</v>
          </cell>
          <cell r="BF38">
            <v>1118000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OUILLARD DE CAISSE 2023"/>
      <sheetName val="TONTINE PRESENCE EXO 2023 "/>
      <sheetName val="TONTINE 75000 EXO 2023"/>
      <sheetName val="TONTINE DE 100 000 EXO 2023"/>
      <sheetName val="EPARGNE 2023"/>
      <sheetName val="MOUVEMENTS PRETS 2023"/>
      <sheetName val="CAISSE 2023"/>
      <sheetName val="FOYER 2023"/>
      <sheetName val="SYNTHESE DES FINANCES"/>
    </sheetNames>
    <sheetDataSet>
      <sheetData sheetId="0"/>
      <sheetData sheetId="1"/>
      <sheetData sheetId="2"/>
      <sheetData sheetId="3"/>
      <sheetData sheetId="4">
        <row r="5">
          <cell r="A5" t="str">
            <v>AS201648</v>
          </cell>
          <cell r="B5" t="str">
            <v>ASELBY</v>
          </cell>
          <cell r="C5"/>
          <cell r="D5">
            <v>816543.52134848095</v>
          </cell>
          <cell r="E5">
            <v>816543.52134848095</v>
          </cell>
          <cell r="F5">
            <v>51868.550607761812</v>
          </cell>
          <cell r="G5">
            <v>868412.07195624278</v>
          </cell>
          <cell r="H5">
            <v>0</v>
          </cell>
          <cell r="I5">
            <v>0</v>
          </cell>
          <cell r="J5">
            <v>868412.07195624278</v>
          </cell>
          <cell r="K5">
            <v>0</v>
          </cell>
          <cell r="L5">
            <v>1189.8849021447127</v>
          </cell>
          <cell r="M5">
            <v>869601.95685838745</v>
          </cell>
          <cell r="N5">
            <v>0</v>
          </cell>
          <cell r="O5">
            <v>235.14556296699732</v>
          </cell>
          <cell r="P5">
            <v>869837.1024213545</v>
          </cell>
          <cell r="Q5">
            <v>0</v>
          </cell>
          <cell r="R5">
            <v>7894.2913955442255</v>
          </cell>
          <cell r="S5">
            <v>877731.39381689869</v>
          </cell>
          <cell r="T5">
            <v>0</v>
          </cell>
          <cell r="U5">
            <v>1141.3507323029005</v>
          </cell>
          <cell r="V5">
            <v>878872.74454920157</v>
          </cell>
          <cell r="W5">
            <v>0</v>
          </cell>
          <cell r="X5">
            <v>2783.7171643084084</v>
          </cell>
          <cell r="Y5">
            <v>881656.46171350998</v>
          </cell>
          <cell r="Z5">
            <v>0</v>
          </cell>
          <cell r="AA5">
            <v>1851.9969842982098</v>
          </cell>
          <cell r="AB5">
            <v>883508.45869780821</v>
          </cell>
          <cell r="AC5">
            <v>0</v>
          </cell>
          <cell r="AD5">
            <v>2341.4025463527437</v>
          </cell>
          <cell r="AE5">
            <v>885849.86124416091</v>
          </cell>
          <cell r="AF5">
            <v>0</v>
          </cell>
          <cell r="AG5">
            <v>0</v>
          </cell>
          <cell r="AH5">
            <v>885849.86124416091</v>
          </cell>
          <cell r="AI5">
            <v>0</v>
          </cell>
          <cell r="AJ5">
            <v>673.39765009319194</v>
          </cell>
          <cell r="AK5">
            <v>886523.2588942541</v>
          </cell>
          <cell r="AL5">
            <v>0</v>
          </cell>
          <cell r="AM5">
            <v>0</v>
          </cell>
          <cell r="AN5">
            <v>886523.2588942541</v>
          </cell>
          <cell r="AO5">
            <v>0</v>
          </cell>
          <cell r="AP5">
            <v>0</v>
          </cell>
          <cell r="AQ5">
            <v>886523.2588942541</v>
          </cell>
          <cell r="AR5">
            <v>0</v>
          </cell>
          <cell r="AS5">
            <v>816543.52134848095</v>
          </cell>
          <cell r="AT5">
            <v>0</v>
          </cell>
          <cell r="AU5">
            <v>69979.737545773198</v>
          </cell>
          <cell r="AV5">
            <v>886523.2588942541</v>
          </cell>
          <cell r="AW5"/>
          <cell r="AX5"/>
          <cell r="AY5"/>
          <cell r="AZ5"/>
          <cell r="BA5"/>
          <cell r="BB5">
            <v>886523.2588942541</v>
          </cell>
          <cell r="BC5"/>
          <cell r="BD5">
            <v>886523.2588942541</v>
          </cell>
          <cell r="BE5">
            <v>0</v>
          </cell>
          <cell r="BF5">
            <v>886523.2588942541</v>
          </cell>
        </row>
        <row r="6">
          <cell r="A6" t="str">
            <v>AS201602</v>
          </cell>
          <cell r="B6" t="str">
            <v>BOUTCHOUANG WILLIAM</v>
          </cell>
          <cell r="C6">
            <v>600000</v>
          </cell>
          <cell r="D6">
            <v>7023.6611389458412</v>
          </cell>
          <cell r="E6">
            <v>607023.66113894584</v>
          </cell>
          <cell r="F6">
            <v>38559.411304736874</v>
          </cell>
          <cell r="G6">
            <v>645583.0724436827</v>
          </cell>
          <cell r="H6">
            <v>9000</v>
          </cell>
          <cell r="I6">
            <v>0</v>
          </cell>
          <cell r="J6">
            <v>654583.0724436827</v>
          </cell>
          <cell r="K6">
            <v>9000</v>
          </cell>
          <cell r="L6">
            <v>909.2313484782195</v>
          </cell>
          <cell r="M6">
            <v>664492.30379216094</v>
          </cell>
          <cell r="N6">
            <v>9000</v>
          </cell>
          <cell r="O6">
            <v>182.11634148258665</v>
          </cell>
          <cell r="P6">
            <v>673674.42013364355</v>
          </cell>
          <cell r="Q6">
            <v>9000</v>
          </cell>
          <cell r="R6">
            <v>6195.6782319554231</v>
          </cell>
          <cell r="S6">
            <v>688870.09836559894</v>
          </cell>
          <cell r="T6">
            <v>9000</v>
          </cell>
          <cell r="U6">
            <v>907.46958970916376</v>
          </cell>
          <cell r="V6">
            <v>698777.56795530813</v>
          </cell>
          <cell r="W6">
            <v>9000</v>
          </cell>
          <cell r="X6">
            <v>2241.7950455845003</v>
          </cell>
          <cell r="Y6">
            <v>710019.36300089268</v>
          </cell>
          <cell r="Z6">
            <v>9000</v>
          </cell>
          <cell r="AA6">
            <v>1510.3634462584782</v>
          </cell>
          <cell r="AB6">
            <v>720529.72644715116</v>
          </cell>
          <cell r="AC6">
            <v>9000</v>
          </cell>
          <cell r="AD6">
            <v>1933.340583587576</v>
          </cell>
          <cell r="AE6">
            <v>731463.06703073869</v>
          </cell>
          <cell r="AF6">
            <v>9000</v>
          </cell>
          <cell r="AG6">
            <v>0</v>
          </cell>
          <cell r="AH6">
            <v>740463.06703073869</v>
          </cell>
          <cell r="AI6">
            <v>9000</v>
          </cell>
          <cell r="AJ6">
            <v>569.72032197568114</v>
          </cell>
          <cell r="AK6">
            <v>750032.78735271434</v>
          </cell>
          <cell r="AL6">
            <v>9000</v>
          </cell>
          <cell r="AM6">
            <v>0</v>
          </cell>
          <cell r="AN6">
            <v>759032.78735271434</v>
          </cell>
          <cell r="AO6">
            <v>9000</v>
          </cell>
          <cell r="AP6">
            <v>0</v>
          </cell>
          <cell r="AQ6">
            <v>768032.78735271434</v>
          </cell>
          <cell r="AR6">
            <v>600000</v>
          </cell>
          <cell r="AS6">
            <v>7023.6611389458412</v>
          </cell>
          <cell r="AT6">
            <v>108000</v>
          </cell>
          <cell r="AU6">
            <v>53009.126213768512</v>
          </cell>
          <cell r="AV6">
            <v>768032.78735271434</v>
          </cell>
          <cell r="AW6">
            <v>630000</v>
          </cell>
          <cell r="AX6"/>
          <cell r="AY6"/>
          <cell r="AZ6"/>
          <cell r="BA6"/>
          <cell r="BB6">
            <v>138032.78735271434</v>
          </cell>
          <cell r="BC6"/>
          <cell r="BD6">
            <v>138032.78735271434</v>
          </cell>
          <cell r="BE6">
            <v>0</v>
          </cell>
          <cell r="BF6">
            <v>138032.78735271434</v>
          </cell>
        </row>
        <row r="7">
          <cell r="A7" t="str">
            <v>AS201604</v>
          </cell>
          <cell r="B7" t="str">
            <v xml:space="preserve">DJOMO JEAN PAUL </v>
          </cell>
          <cell r="C7">
            <v>600000</v>
          </cell>
          <cell r="D7">
            <v>4809.8069585817866</v>
          </cell>
          <cell r="E7">
            <v>604809.80695858179</v>
          </cell>
          <cell r="F7">
            <v>38418.78266144939</v>
          </cell>
          <cell r="G7">
            <v>643228.58962003118</v>
          </cell>
          <cell r="H7">
            <v>29000</v>
          </cell>
          <cell r="I7">
            <v>0</v>
          </cell>
          <cell r="J7">
            <v>672228.58962003118</v>
          </cell>
          <cell r="K7">
            <v>17000</v>
          </cell>
          <cell r="L7">
            <v>944.3704427875482</v>
          </cell>
          <cell r="M7">
            <v>690172.96006281872</v>
          </cell>
          <cell r="N7">
            <v>9000</v>
          </cell>
          <cell r="O7">
            <v>189.06054431987297</v>
          </cell>
          <cell r="P7">
            <v>699362.02060713863</v>
          </cell>
          <cell r="Q7">
            <v>14000</v>
          </cell>
          <cell r="R7">
            <v>6474.1865408024978</v>
          </cell>
          <cell r="S7">
            <v>719836.20714794111</v>
          </cell>
          <cell r="T7">
            <v>14000</v>
          </cell>
          <cell r="U7">
            <v>954.23782072606116</v>
          </cell>
          <cell r="V7">
            <v>734790.44496866711</v>
          </cell>
          <cell r="W7">
            <v>9000</v>
          </cell>
          <cell r="X7">
            <v>2355.8612337783734</v>
          </cell>
          <cell r="Y7">
            <v>746146.30620244553</v>
          </cell>
          <cell r="Z7">
            <v>9000</v>
          </cell>
          <cell r="AA7">
            <v>1586.2512696530396</v>
          </cell>
          <cell r="AB7">
            <v>756732.55747209862</v>
          </cell>
          <cell r="AC7">
            <v>9000</v>
          </cell>
          <cell r="AD7">
            <v>2029.282393665914</v>
          </cell>
          <cell r="AE7">
            <v>767761.83986576449</v>
          </cell>
          <cell r="AF7">
            <v>7000</v>
          </cell>
          <cell r="AG7">
            <v>0</v>
          </cell>
          <cell r="AH7">
            <v>774761.83986576449</v>
          </cell>
          <cell r="AI7">
            <v>9000</v>
          </cell>
          <cell r="AJ7">
            <v>595.7932650766121</v>
          </cell>
          <cell r="AK7">
            <v>784357.63313084107</v>
          </cell>
          <cell r="AL7">
            <v>9000</v>
          </cell>
          <cell r="AM7">
            <v>0</v>
          </cell>
          <cell r="AN7">
            <v>793357.63313084107</v>
          </cell>
          <cell r="AO7">
            <v>9000</v>
          </cell>
          <cell r="AP7">
            <v>0</v>
          </cell>
          <cell r="AQ7">
            <v>802357.63313084107</v>
          </cell>
          <cell r="AR7">
            <v>600000</v>
          </cell>
          <cell r="AS7">
            <v>4809.8069585817866</v>
          </cell>
          <cell r="AT7">
            <v>144000</v>
          </cell>
          <cell r="AU7">
            <v>53547.826172259302</v>
          </cell>
          <cell r="AV7">
            <v>802357.63313084107</v>
          </cell>
          <cell r="AW7">
            <v>630000</v>
          </cell>
          <cell r="AX7"/>
          <cell r="AY7"/>
          <cell r="AZ7"/>
          <cell r="BA7"/>
          <cell r="BB7">
            <v>172357.63313084107</v>
          </cell>
          <cell r="BC7"/>
          <cell r="BD7">
            <v>172357.63313084107</v>
          </cell>
          <cell r="BE7">
            <v>0</v>
          </cell>
          <cell r="BF7">
            <v>172357.63313084107</v>
          </cell>
        </row>
        <row r="8">
          <cell r="A8" t="str">
            <v>AS201654</v>
          </cell>
          <cell r="B8" t="str">
            <v>DJOMOU TCHANDA</v>
          </cell>
          <cell r="C8">
            <v>600000</v>
          </cell>
          <cell r="D8">
            <v>48710.412466726033</v>
          </cell>
          <cell r="E8">
            <v>648710.41246672603</v>
          </cell>
          <cell r="F8">
            <v>41207.440851707412</v>
          </cell>
          <cell r="G8">
            <v>689917.85331843339</v>
          </cell>
          <cell r="H8">
            <v>9000</v>
          </cell>
          <cell r="I8">
            <v>0</v>
          </cell>
          <cell r="J8">
            <v>698917.85331843339</v>
          </cell>
          <cell r="K8">
            <v>9000</v>
          </cell>
          <cell r="L8">
            <v>969.97818526956496</v>
          </cell>
          <cell r="M8">
            <v>708887.83150370291</v>
          </cell>
          <cell r="N8">
            <v>10000</v>
          </cell>
          <cell r="O8">
            <v>194.39156330761386</v>
          </cell>
          <cell r="P8">
            <v>719082.22306701052</v>
          </cell>
          <cell r="Q8">
            <v>9000</v>
          </cell>
          <cell r="R8">
            <v>6607.7811728274546</v>
          </cell>
          <cell r="S8">
            <v>734690.00423983799</v>
          </cell>
          <cell r="T8">
            <v>9000</v>
          </cell>
          <cell r="U8">
            <v>967.05112398264578</v>
          </cell>
          <cell r="V8">
            <v>744657.05536382063</v>
          </cell>
          <cell r="W8">
            <v>9000</v>
          </cell>
          <cell r="X8">
            <v>2387.1124619918742</v>
          </cell>
          <cell r="Y8">
            <v>756044.16782581247</v>
          </cell>
          <cell r="Z8">
            <v>6000</v>
          </cell>
          <cell r="AA8">
            <v>1600.7408350102241</v>
          </cell>
          <cell r="AB8">
            <v>763644.90866082266</v>
          </cell>
          <cell r="AC8">
            <v>9000</v>
          </cell>
          <cell r="AD8">
            <v>2047.6009468333814</v>
          </cell>
          <cell r="AE8">
            <v>774692.50960765604</v>
          </cell>
          <cell r="AF8">
            <v>9000</v>
          </cell>
          <cell r="AG8">
            <v>0</v>
          </cell>
          <cell r="AH8">
            <v>783692.50960765604</v>
          </cell>
          <cell r="AI8">
            <v>9000</v>
          </cell>
          <cell r="AJ8">
            <v>602.58210399961172</v>
          </cell>
          <cell r="AK8">
            <v>793295.09171165561</v>
          </cell>
          <cell r="AL8">
            <v>9000</v>
          </cell>
          <cell r="AM8">
            <v>0</v>
          </cell>
          <cell r="AN8">
            <v>802295.09171165561</v>
          </cell>
          <cell r="AO8">
            <v>9000</v>
          </cell>
          <cell r="AP8">
            <v>0</v>
          </cell>
          <cell r="AQ8">
            <v>811295.09171165561</v>
          </cell>
          <cell r="AR8">
            <v>600000</v>
          </cell>
          <cell r="AS8">
            <v>48710.412466726033</v>
          </cell>
          <cell r="AT8">
            <v>106000</v>
          </cell>
          <cell r="AU8">
            <v>56584.679244929779</v>
          </cell>
          <cell r="AV8">
            <v>811295.09171165561</v>
          </cell>
          <cell r="AW8">
            <v>630000</v>
          </cell>
          <cell r="AX8"/>
          <cell r="AY8"/>
          <cell r="AZ8"/>
          <cell r="BA8"/>
          <cell r="BB8">
            <v>181295.09171165561</v>
          </cell>
          <cell r="BC8"/>
          <cell r="BD8">
            <v>181295.09171165561</v>
          </cell>
          <cell r="BE8">
            <v>0</v>
          </cell>
          <cell r="BF8">
            <v>181295.09171165561</v>
          </cell>
        </row>
        <row r="9">
          <cell r="A9" t="str">
            <v>AS201605</v>
          </cell>
          <cell r="B9" t="str">
            <v>DJOUKWE NANGUEN GUY BLAISE</v>
          </cell>
          <cell r="C9">
            <v>600000</v>
          </cell>
          <cell r="D9">
            <v>4750.0783119258704</v>
          </cell>
          <cell r="E9">
            <v>604750.07831192587</v>
          </cell>
          <cell r="F9">
            <v>38414.988573013434</v>
          </cell>
          <cell r="G9">
            <v>643165.06688493933</v>
          </cell>
          <cell r="H9">
            <v>9000</v>
          </cell>
          <cell r="I9">
            <v>0</v>
          </cell>
          <cell r="J9">
            <v>652165.06688493933</v>
          </cell>
          <cell r="K9">
            <v>9000</v>
          </cell>
          <cell r="L9">
            <v>905.91823434661899</v>
          </cell>
          <cell r="M9">
            <v>662070.98511928599</v>
          </cell>
          <cell r="N9">
            <v>14000</v>
          </cell>
          <cell r="O9">
            <v>182.81363231501521</v>
          </cell>
          <cell r="P9">
            <v>676253.79875160102</v>
          </cell>
          <cell r="Q9">
            <v>9000</v>
          </cell>
          <cell r="R9">
            <v>6219.0876339835841</v>
          </cell>
          <cell r="S9">
            <v>691472.8863855846</v>
          </cell>
          <cell r="T9">
            <v>9000</v>
          </cell>
          <cell r="U9">
            <v>910.85410350639904</v>
          </cell>
          <cell r="V9">
            <v>701383.74048909103</v>
          </cell>
          <cell r="W9">
            <v>13000</v>
          </cell>
          <cell r="X9">
            <v>2262.7192533116458</v>
          </cell>
          <cell r="Y9">
            <v>716646.45974240266</v>
          </cell>
          <cell r="Z9">
            <v>9000</v>
          </cell>
          <cell r="AA9">
            <v>1524.2842461537975</v>
          </cell>
          <cell r="AB9">
            <v>727170.74398855644</v>
          </cell>
          <cell r="AC9">
            <v>9000</v>
          </cell>
          <cell r="AD9">
            <v>1950.9400703030033</v>
          </cell>
          <cell r="AE9">
            <v>738121.68405885948</v>
          </cell>
          <cell r="AF9">
            <v>9500</v>
          </cell>
          <cell r="AG9">
            <v>0</v>
          </cell>
          <cell r="AH9">
            <v>747621.68405885948</v>
          </cell>
          <cell r="AI9">
            <v>9000</v>
          </cell>
          <cell r="AJ9">
            <v>575.16209726464854</v>
          </cell>
          <cell r="AK9">
            <v>757196.84615612414</v>
          </cell>
          <cell r="AL9">
            <v>9000</v>
          </cell>
          <cell r="AM9">
            <v>0</v>
          </cell>
          <cell r="AN9">
            <v>766196.84615612414</v>
          </cell>
          <cell r="AO9">
            <v>9000</v>
          </cell>
          <cell r="AP9">
            <v>0</v>
          </cell>
          <cell r="AQ9">
            <v>775196.84615612414</v>
          </cell>
          <cell r="AR9">
            <v>600000</v>
          </cell>
          <cell r="AS9">
            <v>4750.0783119258704</v>
          </cell>
          <cell r="AT9">
            <v>117500</v>
          </cell>
          <cell r="AU9">
            <v>52946.767844198141</v>
          </cell>
          <cell r="AV9">
            <v>775196.84615612414</v>
          </cell>
          <cell r="AW9">
            <v>630000</v>
          </cell>
          <cell r="AX9"/>
          <cell r="AY9"/>
          <cell r="AZ9"/>
          <cell r="BA9"/>
          <cell r="BB9">
            <v>145196.84615612414</v>
          </cell>
          <cell r="BC9"/>
          <cell r="BD9">
            <v>145196.84615612414</v>
          </cell>
          <cell r="BE9">
            <v>0</v>
          </cell>
          <cell r="BF9">
            <v>145196.84615612414</v>
          </cell>
        </row>
        <row r="10">
          <cell r="A10" t="str">
            <v>AS201608</v>
          </cell>
          <cell r="B10" t="str">
            <v>DJUOMBESSY ANTOINE</v>
          </cell>
          <cell r="C10">
            <v>600000</v>
          </cell>
          <cell r="D10">
            <v>10718.850200936431</v>
          </cell>
          <cell r="E10">
            <v>610718.85020093643</v>
          </cell>
          <cell r="F10">
            <v>38794.137434889228</v>
          </cell>
          <cell r="G10">
            <v>649512.98763582564</v>
          </cell>
          <cell r="H10">
            <v>14000</v>
          </cell>
          <cell r="I10">
            <v>0</v>
          </cell>
          <cell r="J10">
            <v>663512.98763582564</v>
          </cell>
          <cell r="K10">
            <v>14000</v>
          </cell>
          <cell r="L10">
            <v>928.3179046311634</v>
          </cell>
          <cell r="M10">
            <v>678441.30554045679</v>
          </cell>
          <cell r="N10">
            <v>14000</v>
          </cell>
          <cell r="O10">
            <v>187.24026473117618</v>
          </cell>
          <cell r="P10">
            <v>692628.54580518801</v>
          </cell>
          <cell r="Q10">
            <v>14000</v>
          </cell>
          <cell r="R10">
            <v>6413.0762340069114</v>
          </cell>
          <cell r="S10">
            <v>713041.62203919492</v>
          </cell>
          <cell r="T10">
            <v>114000</v>
          </cell>
          <cell r="U10">
            <v>1075.4367083243778</v>
          </cell>
          <cell r="V10">
            <v>828117.05874751927</v>
          </cell>
          <cell r="W10">
            <v>43500</v>
          </cell>
          <cell r="X10">
            <v>2760.7357062642955</v>
          </cell>
          <cell r="Y10">
            <v>874377.79445378354</v>
          </cell>
          <cell r="Z10">
            <v>25300</v>
          </cell>
          <cell r="AA10">
            <v>1889.8523796107511</v>
          </cell>
          <cell r="AB10">
            <v>901567.6468333943</v>
          </cell>
          <cell r="AC10">
            <v>14000</v>
          </cell>
          <cell r="AD10">
            <v>2426.3632097122072</v>
          </cell>
          <cell r="AE10">
            <v>917994.01004310651</v>
          </cell>
          <cell r="AF10">
            <v>14000</v>
          </cell>
          <cell r="AG10">
            <v>0</v>
          </cell>
          <cell r="AH10">
            <v>931994.01004310651</v>
          </cell>
          <cell r="AI10">
            <v>14000</v>
          </cell>
          <cell r="AJ10">
            <v>719.11750651579428</v>
          </cell>
          <cell r="AK10">
            <v>946713.12754962232</v>
          </cell>
          <cell r="AL10">
            <v>14000</v>
          </cell>
          <cell r="AM10">
            <v>0</v>
          </cell>
          <cell r="AN10">
            <v>960713.12754962232</v>
          </cell>
          <cell r="AO10">
            <v>14000</v>
          </cell>
          <cell r="AP10">
            <v>0</v>
          </cell>
          <cell r="AQ10">
            <v>974713.12754962232</v>
          </cell>
          <cell r="AR10">
            <v>600000</v>
          </cell>
          <cell r="AS10">
            <v>10718.850200936431</v>
          </cell>
          <cell r="AT10">
            <v>308800</v>
          </cell>
          <cell r="AU10">
            <v>55194.277348685908</v>
          </cell>
          <cell r="AV10">
            <v>974713.12754962232</v>
          </cell>
          <cell r="AW10">
            <v>630000</v>
          </cell>
          <cell r="AX10"/>
          <cell r="AY10"/>
          <cell r="AZ10"/>
          <cell r="BA10"/>
          <cell r="BB10">
            <v>344713.12754962232</v>
          </cell>
          <cell r="BC10"/>
          <cell r="BD10">
            <v>344713.12754962232</v>
          </cell>
          <cell r="BE10">
            <v>0</v>
          </cell>
          <cell r="BF10">
            <v>344713.12754962232</v>
          </cell>
        </row>
        <row r="11">
          <cell r="A11" t="str">
            <v>AS201651</v>
          </cell>
          <cell r="B11" t="str">
            <v>DOMOU FABIEN</v>
          </cell>
          <cell r="C11">
            <v>600000</v>
          </cell>
          <cell r="D11">
            <v>584.0460014406126</v>
          </cell>
          <cell r="E11">
            <v>600584.04600144061</v>
          </cell>
          <cell r="F11">
            <v>38150.353495910473</v>
          </cell>
          <cell r="G11">
            <v>638734.39949735114</v>
          </cell>
          <cell r="H11">
            <v>9000</v>
          </cell>
          <cell r="I11">
            <v>0</v>
          </cell>
          <cell r="J11">
            <v>647734.39949735114</v>
          </cell>
          <cell r="K11">
            <v>9000</v>
          </cell>
          <cell r="L11">
            <v>899.84740184536167</v>
          </cell>
          <cell r="M11">
            <v>657634.24689919653</v>
          </cell>
          <cell r="N11">
            <v>9000</v>
          </cell>
          <cell r="O11">
            <v>180.26188193792115</v>
          </cell>
          <cell r="P11">
            <v>666814.5087811345</v>
          </cell>
          <cell r="Q11">
            <v>9000</v>
          </cell>
          <cell r="R11">
            <v>6133.4204379229996</v>
          </cell>
          <cell r="S11">
            <v>681947.92921905755</v>
          </cell>
          <cell r="T11">
            <v>9000</v>
          </cell>
          <cell r="U11">
            <v>898.46840451721914</v>
          </cell>
          <cell r="V11">
            <v>691846.39762357483</v>
          </cell>
          <cell r="W11">
            <v>9000</v>
          </cell>
          <cell r="X11">
            <v>2219.8414488427011</v>
          </cell>
          <cell r="Y11">
            <v>703066.23907241749</v>
          </cell>
          <cell r="Z11">
            <v>9000</v>
          </cell>
          <cell r="AA11">
            <v>1495.7577975662873</v>
          </cell>
          <cell r="AB11">
            <v>713561.99686998373</v>
          </cell>
          <cell r="AC11">
            <v>9000</v>
          </cell>
          <cell r="AD11">
            <v>1914.8752711011257</v>
          </cell>
          <cell r="AE11">
            <v>724476.87214108487</v>
          </cell>
          <cell r="AF11">
            <v>9000</v>
          </cell>
          <cell r="AG11">
            <v>0</v>
          </cell>
          <cell r="AH11">
            <v>733476.87214108487</v>
          </cell>
          <cell r="AI11">
            <v>9000</v>
          </cell>
          <cell r="AJ11">
            <v>564.40961704970357</v>
          </cell>
          <cell r="AK11">
            <v>743041.2817581346</v>
          </cell>
          <cell r="AL11">
            <v>9000</v>
          </cell>
          <cell r="AM11">
            <v>0</v>
          </cell>
          <cell r="AN11">
            <v>752041.2817581346</v>
          </cell>
          <cell r="AO11">
            <v>9000</v>
          </cell>
          <cell r="AP11">
            <v>0</v>
          </cell>
          <cell r="AQ11">
            <v>761041.2817581346</v>
          </cell>
          <cell r="AR11">
            <v>600000</v>
          </cell>
          <cell r="AS11">
            <v>584.0460014406126</v>
          </cell>
          <cell r="AT11">
            <v>108000</v>
          </cell>
          <cell r="AU11">
            <v>52457.235756693794</v>
          </cell>
          <cell r="AV11">
            <v>761041.2817581346</v>
          </cell>
          <cell r="AW11">
            <v>630000</v>
          </cell>
          <cell r="AX11"/>
          <cell r="AY11"/>
          <cell r="AZ11"/>
          <cell r="BA11"/>
          <cell r="BB11">
            <v>131041.2817581346</v>
          </cell>
          <cell r="BC11"/>
          <cell r="BD11">
            <v>131041.2817581346</v>
          </cell>
          <cell r="BE11">
            <v>0</v>
          </cell>
          <cell r="BF11">
            <v>131041.2817581346</v>
          </cell>
        </row>
        <row r="12">
          <cell r="A12" t="str">
            <v>AS201609</v>
          </cell>
          <cell r="B12" t="str">
            <v>DONHOU DAVID</v>
          </cell>
          <cell r="C12">
            <v>600000</v>
          </cell>
          <cell r="D12">
            <v>458343.17855274049</v>
          </cell>
          <cell r="E12">
            <v>1058343.1785527405</v>
          </cell>
          <cell r="F12">
            <v>67228.170063105033</v>
          </cell>
          <cell r="G12">
            <v>1125571.3486158454</v>
          </cell>
          <cell r="H12">
            <v>9000</v>
          </cell>
          <cell r="I12">
            <v>0</v>
          </cell>
          <cell r="J12">
            <v>1134571.3486158454</v>
          </cell>
          <cell r="K12">
            <v>9000</v>
          </cell>
          <cell r="L12">
            <v>1566.9039229015068</v>
          </cell>
          <cell r="M12">
            <v>1145138.2525387469</v>
          </cell>
          <cell r="N12">
            <v>9000</v>
          </cell>
          <cell r="O12">
            <v>312.08587675610005</v>
          </cell>
          <cell r="P12">
            <v>1154450.338415503</v>
          </cell>
          <cell r="Q12">
            <v>9000</v>
          </cell>
          <cell r="R12">
            <v>10559.006933745897</v>
          </cell>
          <cell r="S12">
            <v>1174009.345349249</v>
          </cell>
          <cell r="T12">
            <v>9000</v>
          </cell>
          <cell r="U12">
            <v>1538.3163826053235</v>
          </cell>
          <cell r="V12">
            <v>1184547.6617318543</v>
          </cell>
          <cell r="W12">
            <v>9000</v>
          </cell>
          <cell r="X12">
            <v>3780.4097726199616</v>
          </cell>
          <cell r="Y12">
            <v>1197328.0715044744</v>
          </cell>
          <cell r="Z12">
            <v>9000</v>
          </cell>
          <cell r="AA12">
            <v>2533.9982720236976</v>
          </cell>
          <cell r="AB12">
            <v>1208862.069776498</v>
          </cell>
          <cell r="AC12">
            <v>9000</v>
          </cell>
          <cell r="AD12">
            <v>3227.4794012543048</v>
          </cell>
          <cell r="AE12">
            <v>1221089.5491777523</v>
          </cell>
          <cell r="AF12">
            <v>9000</v>
          </cell>
          <cell r="AG12">
            <v>0</v>
          </cell>
          <cell r="AH12">
            <v>1230089.5491777523</v>
          </cell>
          <cell r="AI12">
            <v>9000</v>
          </cell>
          <cell r="AJ12">
            <v>941.92032665606632</v>
          </cell>
          <cell r="AK12">
            <v>1240031.4695044083</v>
          </cell>
          <cell r="AL12">
            <v>9000</v>
          </cell>
          <cell r="AM12">
            <v>0</v>
          </cell>
          <cell r="AN12">
            <v>1249031.4695044083</v>
          </cell>
          <cell r="AO12">
            <v>9000</v>
          </cell>
          <cell r="AP12">
            <v>0</v>
          </cell>
          <cell r="AQ12">
            <v>1258031.4695044083</v>
          </cell>
          <cell r="AR12">
            <v>600000</v>
          </cell>
          <cell r="AS12">
            <v>458343.17855274049</v>
          </cell>
          <cell r="AT12">
            <v>108000</v>
          </cell>
          <cell r="AU12">
            <v>91688.290951667877</v>
          </cell>
          <cell r="AV12">
            <v>1258031.4695044083</v>
          </cell>
          <cell r="AW12">
            <v>630000</v>
          </cell>
          <cell r="AX12"/>
          <cell r="AY12"/>
          <cell r="AZ12"/>
          <cell r="BA12"/>
          <cell r="BB12">
            <v>628031.46950440831</v>
          </cell>
          <cell r="BC12"/>
          <cell r="BD12">
            <v>628031.46950440831</v>
          </cell>
          <cell r="BE12">
            <v>0</v>
          </cell>
          <cell r="BF12">
            <v>628031.46950440831</v>
          </cell>
        </row>
        <row r="13">
          <cell r="A13" t="str">
            <v>AS201611</v>
          </cell>
          <cell r="B13" t="str">
            <v>HENGUE PAUL OMER</v>
          </cell>
          <cell r="C13">
            <v>600000</v>
          </cell>
          <cell r="D13">
            <v>51112.01036672492</v>
          </cell>
          <cell r="E13">
            <v>651112.01036672492</v>
          </cell>
          <cell r="F13">
            <v>41359.995368348325</v>
          </cell>
          <cell r="G13">
            <v>692472.00573507324</v>
          </cell>
          <cell r="H13">
            <v>9000</v>
          </cell>
          <cell r="I13">
            <v>0</v>
          </cell>
          <cell r="J13">
            <v>701472.00573507324</v>
          </cell>
          <cell r="K13">
            <v>9000</v>
          </cell>
          <cell r="L13">
            <v>973.47784573776869</v>
          </cell>
          <cell r="M13">
            <v>711445.48358081095</v>
          </cell>
          <cell r="N13">
            <v>9000</v>
          </cell>
          <cell r="O13">
            <v>194.81276173258237</v>
          </cell>
          <cell r="P13">
            <v>720640.29634254356</v>
          </cell>
          <cell r="Q13">
            <v>9000</v>
          </cell>
          <cell r="R13">
            <v>6621.9216186861431</v>
          </cell>
          <cell r="S13">
            <v>736262.21796122973</v>
          </cell>
          <cell r="T13">
            <v>9000</v>
          </cell>
          <cell r="U13">
            <v>969.09553904503048</v>
          </cell>
          <cell r="V13">
            <v>746231.31350027479</v>
          </cell>
          <cell r="W13">
            <v>9000</v>
          </cell>
          <cell r="X13">
            <v>2392.0987235669186</v>
          </cell>
          <cell r="Y13">
            <v>757623.41222384176</v>
          </cell>
          <cell r="Z13">
            <v>9000</v>
          </cell>
          <cell r="AA13">
            <v>1610.3599408454293</v>
          </cell>
          <cell r="AB13">
            <v>768233.77216468717</v>
          </cell>
          <cell r="AC13">
            <v>9000</v>
          </cell>
          <cell r="AD13">
            <v>2059.7619811585641</v>
          </cell>
          <cell r="AE13">
            <v>779293.53414584568</v>
          </cell>
          <cell r="AF13">
            <v>9000</v>
          </cell>
          <cell r="AG13">
            <v>0</v>
          </cell>
          <cell r="AH13">
            <v>788293.53414584568</v>
          </cell>
          <cell r="AI13">
            <v>9000</v>
          </cell>
          <cell r="AJ13">
            <v>606.07967085330688</v>
          </cell>
          <cell r="AK13">
            <v>797899.61381669901</v>
          </cell>
          <cell r="AL13">
            <v>9000</v>
          </cell>
          <cell r="AM13">
            <v>0</v>
          </cell>
          <cell r="AN13">
            <v>806899.61381669901</v>
          </cell>
          <cell r="AO13">
            <v>9000</v>
          </cell>
          <cell r="AP13">
            <v>0</v>
          </cell>
          <cell r="AQ13">
            <v>815899.61381669901</v>
          </cell>
          <cell r="AR13">
            <v>600000</v>
          </cell>
          <cell r="AS13">
            <v>51112.01036672492</v>
          </cell>
          <cell r="AT13">
            <v>108000</v>
          </cell>
          <cell r="AU13">
            <v>56787.603449974071</v>
          </cell>
          <cell r="AV13">
            <v>815899.61381669901</v>
          </cell>
          <cell r="AW13">
            <v>630000</v>
          </cell>
          <cell r="AX13"/>
          <cell r="AY13"/>
          <cell r="AZ13"/>
          <cell r="BA13"/>
          <cell r="BB13">
            <v>185899.61381669901</v>
          </cell>
          <cell r="BC13"/>
          <cell r="BD13">
            <v>185899.61381669901</v>
          </cell>
          <cell r="BE13">
            <v>0</v>
          </cell>
          <cell r="BF13">
            <v>185899.61381669901</v>
          </cell>
        </row>
        <row r="14">
          <cell r="A14" t="str">
            <v>AS201613</v>
          </cell>
          <cell r="B14" t="str">
            <v>HOTCHO BENJAMIN</v>
          </cell>
          <cell r="C14">
            <v>600000</v>
          </cell>
          <cell r="D14">
            <v>16229.566345777828</v>
          </cell>
          <cell r="E14">
            <v>616229.56634577783</v>
          </cell>
          <cell r="F14">
            <v>39144.189638808108</v>
          </cell>
          <cell r="G14">
            <v>655373.75598458597</v>
          </cell>
          <cell r="H14">
            <v>44000</v>
          </cell>
          <cell r="I14">
            <v>0</v>
          </cell>
          <cell r="J14">
            <v>699373.75598458597</v>
          </cell>
          <cell r="K14">
            <v>44000</v>
          </cell>
          <cell r="L14">
            <v>1018.5593193149853</v>
          </cell>
          <cell r="M14">
            <v>744392.31530390098</v>
          </cell>
          <cell r="N14">
            <v>44000</v>
          </cell>
          <cell r="O14">
            <v>213.18599085349121</v>
          </cell>
          <cell r="P14">
            <v>788605.50129475445</v>
          </cell>
          <cell r="Q14">
            <v>44000</v>
          </cell>
          <cell r="R14">
            <v>7556.3923710051704</v>
          </cell>
          <cell r="S14">
            <v>840161.89366575959</v>
          </cell>
          <cell r="T14">
            <v>24000</v>
          </cell>
          <cell r="U14">
            <v>1123.705745415582</v>
          </cell>
          <cell r="V14">
            <v>865285.59941117512</v>
          </cell>
          <cell r="W14">
            <v>44000</v>
          </cell>
          <cell r="X14">
            <v>2880.0459976007878</v>
          </cell>
          <cell r="Y14">
            <v>912165.64540877589</v>
          </cell>
          <cell r="Z14">
            <v>44000</v>
          </cell>
          <cell r="AA14">
            <v>2008.5100815174681</v>
          </cell>
          <cell r="AB14">
            <v>958174.1554902934</v>
          </cell>
          <cell r="AC14">
            <v>44000</v>
          </cell>
          <cell r="AD14">
            <v>2655.8807631704508</v>
          </cell>
          <cell r="AE14">
            <v>1004830.0362534638</v>
          </cell>
          <cell r="AF14">
            <v>44000</v>
          </cell>
          <cell r="AG14">
            <v>0</v>
          </cell>
          <cell r="AH14">
            <v>1048830.0362534639</v>
          </cell>
          <cell r="AI14">
            <v>44000</v>
          </cell>
          <cell r="AJ14">
            <v>830.73804101607982</v>
          </cell>
          <cell r="AK14">
            <v>1093660.77429448</v>
          </cell>
          <cell r="AL14">
            <v>44000</v>
          </cell>
          <cell r="AM14">
            <v>0</v>
          </cell>
          <cell r="AN14">
            <v>1137660.77429448</v>
          </cell>
          <cell r="AO14">
            <v>44000</v>
          </cell>
          <cell r="AP14">
            <v>0</v>
          </cell>
          <cell r="AQ14">
            <v>1181660.77429448</v>
          </cell>
          <cell r="AR14">
            <v>600000</v>
          </cell>
          <cell r="AS14">
            <v>16229.566345777828</v>
          </cell>
          <cell r="AT14">
            <v>508000</v>
          </cell>
          <cell r="AU14">
            <v>57431.207948702111</v>
          </cell>
          <cell r="AV14">
            <v>1181660.77429448</v>
          </cell>
          <cell r="AW14">
            <v>630000</v>
          </cell>
          <cell r="AX14"/>
          <cell r="AY14"/>
          <cell r="AZ14"/>
          <cell r="BA14"/>
          <cell r="BB14">
            <v>551660.77429447998</v>
          </cell>
          <cell r="BC14"/>
          <cell r="BD14">
            <v>551660.77429447998</v>
          </cell>
          <cell r="BE14">
            <v>0</v>
          </cell>
          <cell r="BF14">
            <v>551660.77429447998</v>
          </cell>
        </row>
        <row r="15">
          <cell r="A15" t="str">
            <v>AS201617</v>
          </cell>
          <cell r="B15" t="str">
            <v>KOUAMOU MOISE</v>
          </cell>
          <cell r="C15">
            <v>600000</v>
          </cell>
          <cell r="D15">
            <v>53292.832106360001</v>
          </cell>
          <cell r="E15">
            <v>653292.83210636</v>
          </cell>
          <cell r="F15">
            <v>41498.52572198087</v>
          </cell>
          <cell r="G15">
            <v>694791.35782834084</v>
          </cell>
          <cell r="H15">
            <v>9000</v>
          </cell>
          <cell r="I15">
            <v>0</v>
          </cell>
          <cell r="J15">
            <v>703791.35782834084</v>
          </cell>
          <cell r="K15">
            <v>9000</v>
          </cell>
          <cell r="L15">
            <v>976.65578640402407</v>
          </cell>
          <cell r="M15">
            <v>713768.01361474488</v>
          </cell>
          <cell r="N15">
            <v>9000</v>
          </cell>
          <cell r="O15">
            <v>195.44078772542875</v>
          </cell>
          <cell r="P15">
            <v>722963.45440247026</v>
          </cell>
          <cell r="Q15">
            <v>9000</v>
          </cell>
          <cell r="R15">
            <v>6643.0056660691725</v>
          </cell>
          <cell r="S15">
            <v>738606.46006853948</v>
          </cell>
          <cell r="T15">
            <v>9000</v>
          </cell>
          <cell r="U15">
            <v>972.14385481078898</v>
          </cell>
          <cell r="V15">
            <v>748578.60392335022</v>
          </cell>
          <cell r="W15">
            <v>9000</v>
          </cell>
          <cell r="X15">
            <v>2399.5334661742609</v>
          </cell>
          <cell r="Y15">
            <v>759978.13738952449</v>
          </cell>
          <cell r="Z15">
            <v>9000</v>
          </cell>
          <cell r="AA15">
            <v>1615.3062482736309</v>
          </cell>
          <cell r="AB15">
            <v>770593.44363779807</v>
          </cell>
          <cell r="AC15">
            <v>9000</v>
          </cell>
          <cell r="AD15">
            <v>2066.0153913453109</v>
          </cell>
          <cell r="AE15">
            <v>781659.45902914344</v>
          </cell>
          <cell r="AF15">
            <v>9000</v>
          </cell>
          <cell r="AG15">
            <v>0</v>
          </cell>
          <cell r="AH15">
            <v>790659.45902914344</v>
          </cell>
          <cell r="AI15">
            <v>9000</v>
          </cell>
          <cell r="AJ15">
            <v>607.87817907282852</v>
          </cell>
          <cell r="AK15">
            <v>800267.33720821631</v>
          </cell>
          <cell r="AL15">
            <v>9000</v>
          </cell>
          <cell r="AM15">
            <v>0</v>
          </cell>
          <cell r="AN15">
            <v>809267.33720821631</v>
          </cell>
          <cell r="AO15">
            <v>9000</v>
          </cell>
          <cell r="AP15">
            <v>0</v>
          </cell>
          <cell r="AQ15">
            <v>818267.33720821631</v>
          </cell>
          <cell r="AR15">
            <v>600000</v>
          </cell>
          <cell r="AS15">
            <v>53292.832106360001</v>
          </cell>
          <cell r="AT15">
            <v>108000</v>
          </cell>
          <cell r="AU15">
            <v>56974.50510185631</v>
          </cell>
          <cell r="AV15">
            <v>818267.33720821631</v>
          </cell>
          <cell r="AW15">
            <v>630000</v>
          </cell>
          <cell r="AX15"/>
          <cell r="AY15"/>
          <cell r="AZ15"/>
          <cell r="BA15"/>
          <cell r="BB15">
            <v>188267.33720821631</v>
          </cell>
          <cell r="BC15"/>
          <cell r="BD15">
            <v>188267.33720821631</v>
          </cell>
          <cell r="BE15">
            <v>0</v>
          </cell>
          <cell r="BF15">
            <v>188267.33720821631</v>
          </cell>
        </row>
        <row r="16">
          <cell r="A16" t="str">
            <v>AS201619</v>
          </cell>
          <cell r="B16" t="str">
            <v>KOUATCHO MESSACK</v>
          </cell>
          <cell r="C16">
            <v>600000</v>
          </cell>
          <cell r="D16">
            <v>6459.0432257176144</v>
          </cell>
          <cell r="E16">
            <v>606459.04322571761</v>
          </cell>
          <cell r="F16">
            <v>38523.545595144366</v>
          </cell>
          <cell r="G16">
            <v>644982.588820862</v>
          </cell>
          <cell r="H16">
            <v>9000</v>
          </cell>
          <cell r="I16">
            <v>0</v>
          </cell>
          <cell r="J16">
            <v>653982.588820862</v>
          </cell>
          <cell r="K16">
            <v>9000</v>
          </cell>
          <cell r="L16">
            <v>908.40857502785741</v>
          </cell>
          <cell r="M16">
            <v>663890.99739588983</v>
          </cell>
          <cell r="N16">
            <v>8000</v>
          </cell>
          <cell r="O16">
            <v>181.68333866898425</v>
          </cell>
          <cell r="P16">
            <v>672072.68073455885</v>
          </cell>
          <cell r="Q16">
            <v>11000</v>
          </cell>
          <cell r="R16">
            <v>6199.2926848526813</v>
          </cell>
          <cell r="S16">
            <v>689271.97341941157</v>
          </cell>
          <cell r="T16">
            <v>8000</v>
          </cell>
          <cell r="U16">
            <v>906.69182290015067</v>
          </cell>
          <cell r="V16">
            <v>698178.66524231178</v>
          </cell>
          <cell r="W16">
            <v>9000</v>
          </cell>
          <cell r="X16">
            <v>2239.8980977359538</v>
          </cell>
          <cell r="Y16">
            <v>709418.56334004772</v>
          </cell>
          <cell r="Z16">
            <v>9000</v>
          </cell>
          <cell r="AA16">
            <v>1509.1014137000261</v>
          </cell>
          <cell r="AB16">
            <v>719927.66475374775</v>
          </cell>
          <cell r="AC16">
            <v>9000</v>
          </cell>
          <cell r="AD16">
            <v>1931.7450484592835</v>
          </cell>
          <cell r="AE16">
            <v>730859.40980220702</v>
          </cell>
          <cell r="AF16">
            <v>9000</v>
          </cell>
          <cell r="AG16">
            <v>0</v>
          </cell>
          <cell r="AH16">
            <v>739859.40980220702</v>
          </cell>
          <cell r="AI16">
            <v>9000</v>
          </cell>
          <cell r="AJ16">
            <v>569.26143906906304</v>
          </cell>
          <cell r="AK16">
            <v>749428.67124127608</v>
          </cell>
          <cell r="AL16">
            <v>9000</v>
          </cell>
          <cell r="AM16">
            <v>0</v>
          </cell>
          <cell r="AN16">
            <v>758428.67124127608</v>
          </cell>
          <cell r="AO16">
            <v>9000</v>
          </cell>
          <cell r="AP16">
            <v>0</v>
          </cell>
          <cell r="AQ16">
            <v>767428.67124127608</v>
          </cell>
          <cell r="AR16">
            <v>600000</v>
          </cell>
          <cell r="AS16">
            <v>6459.0432257176144</v>
          </cell>
          <cell r="AT16">
            <v>108000</v>
          </cell>
          <cell r="AU16">
            <v>52969.628015558374</v>
          </cell>
          <cell r="AV16">
            <v>767428.67124127608</v>
          </cell>
          <cell r="AW16">
            <v>630000</v>
          </cell>
          <cell r="AX16"/>
          <cell r="AY16"/>
          <cell r="AZ16"/>
          <cell r="BA16"/>
          <cell r="BB16">
            <v>137428.67124127608</v>
          </cell>
          <cell r="BC16"/>
          <cell r="BD16">
            <v>137428.67124127608</v>
          </cell>
          <cell r="BE16">
            <v>0</v>
          </cell>
          <cell r="BF16">
            <v>137428.67124127608</v>
          </cell>
        </row>
        <row r="17">
          <cell r="A17" t="str">
            <v>AS201620</v>
          </cell>
          <cell r="B17" t="str">
            <v>LOWE JEAN</v>
          </cell>
          <cell r="C17">
            <v>600000</v>
          </cell>
          <cell r="D17">
            <v>746.1759009861853</v>
          </cell>
          <cell r="E17">
            <v>600746.17590098619</v>
          </cell>
          <cell r="F17">
            <v>38160.652325892894</v>
          </cell>
          <cell r="G17">
            <v>638906.82822687912</v>
          </cell>
          <cell r="H17">
            <v>9000</v>
          </cell>
          <cell r="I17">
            <v>0</v>
          </cell>
          <cell r="J17">
            <v>647906.82822687912</v>
          </cell>
          <cell r="K17">
            <v>9000</v>
          </cell>
          <cell r="L17">
            <v>900.08366104601873</v>
          </cell>
          <cell r="M17">
            <v>657806.91188792512</v>
          </cell>
          <cell r="N17">
            <v>9000</v>
          </cell>
          <cell r="O17">
            <v>180.30857158214178</v>
          </cell>
          <cell r="P17">
            <v>666987.22045950731</v>
          </cell>
          <cell r="Q17">
            <v>9000</v>
          </cell>
          <cell r="R17">
            <v>6134.9878995921936</v>
          </cell>
          <cell r="S17">
            <v>682122.20835909946</v>
          </cell>
          <cell r="T17">
            <v>9000</v>
          </cell>
          <cell r="U17">
            <v>898.69502695036124</v>
          </cell>
          <cell r="V17">
            <v>692020.90338604979</v>
          </cell>
          <cell r="W17">
            <v>9000</v>
          </cell>
          <cell r="X17">
            <v>2220.3941735565863</v>
          </cell>
          <cell r="Y17">
            <v>703241.29755960638</v>
          </cell>
          <cell r="Z17">
            <v>9000</v>
          </cell>
          <cell r="AA17">
            <v>1496.1255233239133</v>
          </cell>
          <cell r="AB17">
            <v>713737.42308293027</v>
          </cell>
          <cell r="AC17">
            <v>9000</v>
          </cell>
          <cell r="AD17">
            <v>1915.3401714398226</v>
          </cell>
          <cell r="AE17">
            <v>724652.76325437007</v>
          </cell>
          <cell r="AF17">
            <v>9000</v>
          </cell>
          <cell r="AG17">
            <v>0</v>
          </cell>
          <cell r="AH17">
            <v>733652.76325437007</v>
          </cell>
          <cell r="AI17">
            <v>9000</v>
          </cell>
          <cell r="AJ17">
            <v>564.54332442782766</v>
          </cell>
          <cell r="AK17">
            <v>743217.30657879787</v>
          </cell>
          <cell r="AL17">
            <v>9000</v>
          </cell>
          <cell r="AM17">
            <v>0</v>
          </cell>
          <cell r="AN17">
            <v>752217.30657879787</v>
          </cell>
          <cell r="AO17">
            <v>9000</v>
          </cell>
          <cell r="AP17">
            <v>0</v>
          </cell>
          <cell r="AQ17">
            <v>761217.30657879787</v>
          </cell>
          <cell r="AR17">
            <v>600000</v>
          </cell>
          <cell r="AS17">
            <v>746.1759009861853</v>
          </cell>
          <cell r="AT17">
            <v>108000</v>
          </cell>
          <cell r="AU17">
            <v>52471.130677811751</v>
          </cell>
          <cell r="AV17">
            <v>761217.30657879787</v>
          </cell>
          <cell r="AW17">
            <v>630000</v>
          </cell>
          <cell r="AX17"/>
          <cell r="AY17"/>
          <cell r="AZ17"/>
          <cell r="BA17"/>
          <cell r="BB17">
            <v>131217.30657879787</v>
          </cell>
          <cell r="BC17"/>
          <cell r="BD17">
            <v>131217.30657879787</v>
          </cell>
          <cell r="BE17">
            <v>0</v>
          </cell>
          <cell r="BF17">
            <v>131217.30657879787</v>
          </cell>
        </row>
        <row r="18">
          <cell r="A18" t="str">
            <v>AS201649</v>
          </cell>
          <cell r="B18" t="str">
            <v>MBOGNING TUGMA GUY</v>
          </cell>
          <cell r="C18">
            <v>600000</v>
          </cell>
          <cell r="D18">
            <v>47746</v>
          </cell>
          <cell r="E18">
            <v>647746</v>
          </cell>
          <cell r="F18">
            <v>41146.179356723624</v>
          </cell>
          <cell r="G18">
            <v>688892.17935672367</v>
          </cell>
          <cell r="H18">
            <v>9000</v>
          </cell>
          <cell r="I18">
            <v>0</v>
          </cell>
          <cell r="J18">
            <v>697892.17935672367</v>
          </cell>
          <cell r="K18">
            <v>9000</v>
          </cell>
          <cell r="L18">
            <v>968.57282253800815</v>
          </cell>
          <cell r="M18">
            <v>707860.75217926165</v>
          </cell>
          <cell r="N18">
            <v>2000</v>
          </cell>
          <cell r="O18">
            <v>191.95058714265434</v>
          </cell>
          <cell r="P18">
            <v>710052.70276640425</v>
          </cell>
          <cell r="Q18">
            <v>14000</v>
          </cell>
          <cell r="R18">
            <v>6571.2108686306146</v>
          </cell>
          <cell r="S18">
            <v>730623.91363503481</v>
          </cell>
          <cell r="T18">
            <v>9000</v>
          </cell>
          <cell r="U18">
            <v>961.76381681544865</v>
          </cell>
          <cell r="V18">
            <v>740585.67745185026</v>
          </cell>
          <cell r="W18">
            <v>8000</v>
          </cell>
          <cell r="X18">
            <v>2371.0495201976241</v>
          </cell>
          <cell r="Y18">
            <v>750956.72697204794</v>
          </cell>
          <cell r="Z18">
            <v>9000</v>
          </cell>
          <cell r="AA18">
            <v>1596.3559818004383</v>
          </cell>
          <cell r="AB18">
            <v>761553.08295384841</v>
          </cell>
          <cell r="AC18">
            <v>13000</v>
          </cell>
          <cell r="AD18">
            <v>2052.6578357681633</v>
          </cell>
          <cell r="AE18">
            <v>776605.7407896166</v>
          </cell>
          <cell r="AF18">
            <v>9000</v>
          </cell>
          <cell r="AG18">
            <v>0</v>
          </cell>
          <cell r="AH18">
            <v>785605.7407896166</v>
          </cell>
          <cell r="AI18">
            <v>9000</v>
          </cell>
          <cell r="AJ18">
            <v>604.03648745484838</v>
          </cell>
          <cell r="AK18">
            <v>795209.77727707149</v>
          </cell>
          <cell r="AL18">
            <v>9000</v>
          </cell>
          <cell r="AM18">
            <v>0</v>
          </cell>
          <cell r="AN18">
            <v>804209.77727707149</v>
          </cell>
          <cell r="AO18">
            <v>9000</v>
          </cell>
          <cell r="AP18">
            <v>0</v>
          </cell>
          <cell r="AQ18">
            <v>813209.77727707149</v>
          </cell>
          <cell r="AR18">
            <v>600000</v>
          </cell>
          <cell r="AS18">
            <v>47746</v>
          </cell>
          <cell r="AT18">
            <v>109000</v>
          </cell>
          <cell r="AU18">
            <v>56463.777277071422</v>
          </cell>
          <cell r="AV18">
            <v>813209.77727707149</v>
          </cell>
          <cell r="AW18">
            <v>630000</v>
          </cell>
          <cell r="AX18"/>
          <cell r="AY18"/>
          <cell r="AZ18"/>
          <cell r="BA18"/>
          <cell r="BB18">
            <v>183209.77727707149</v>
          </cell>
          <cell r="BC18"/>
          <cell r="BD18">
            <v>183209.77727707149</v>
          </cell>
          <cell r="BE18">
            <v>0</v>
          </cell>
          <cell r="BF18">
            <v>183209.77727707149</v>
          </cell>
        </row>
        <row r="19">
          <cell r="A19" t="str">
            <v>AS201639</v>
          </cell>
          <cell r="B19" t="str">
            <v>NANGUEN MARTIN</v>
          </cell>
          <cell r="C19">
            <v>600000</v>
          </cell>
          <cell r="D19">
            <v>51342.559108640766</v>
          </cell>
          <cell r="E19">
            <v>651342.55910864077</v>
          </cell>
          <cell r="F19">
            <v>41374.64030615626</v>
          </cell>
          <cell r="G19">
            <v>692717.19941479701</v>
          </cell>
          <cell r="H19">
            <v>9000</v>
          </cell>
          <cell r="I19">
            <v>0</v>
          </cell>
          <cell r="J19">
            <v>701717.19941479701</v>
          </cell>
          <cell r="K19">
            <v>9000</v>
          </cell>
          <cell r="L19">
            <v>973.81380635718688</v>
          </cell>
          <cell r="M19">
            <v>711691.01322115422</v>
          </cell>
          <cell r="N19">
            <v>9000</v>
          </cell>
          <cell r="O19">
            <v>194.87915441379502</v>
          </cell>
          <cell r="P19">
            <v>720885.89237556804</v>
          </cell>
          <cell r="Q19">
            <v>9000</v>
          </cell>
          <cell r="R19">
            <v>6624.150549419137</v>
          </cell>
          <cell r="S19">
            <v>736510.04292498715</v>
          </cell>
          <cell r="T19">
            <v>9000</v>
          </cell>
          <cell r="U19">
            <v>969.4177961795707</v>
          </cell>
          <cell r="V19">
            <v>746479.46072116669</v>
          </cell>
          <cell r="W19">
            <v>9000</v>
          </cell>
          <cell r="X19">
            <v>2392.8846981944812</v>
          </cell>
          <cell r="Y19">
            <v>757872.34541936114</v>
          </cell>
          <cell r="Z19">
            <v>9000</v>
          </cell>
          <cell r="AA19">
            <v>1610.8828469289365</v>
          </cell>
          <cell r="AB19">
            <v>768483.22826629004</v>
          </cell>
          <cell r="AC19">
            <v>9000</v>
          </cell>
          <cell r="AD19">
            <v>2060.4230695111955</v>
          </cell>
          <cell r="AE19">
            <v>779543.65133580123</v>
          </cell>
          <cell r="AF19">
            <v>9000</v>
          </cell>
          <cell r="AG19">
            <v>0</v>
          </cell>
          <cell r="AH19">
            <v>788543.65133580123</v>
          </cell>
          <cell r="AI19">
            <v>9000</v>
          </cell>
          <cell r="AJ19">
            <v>606.26980276542054</v>
          </cell>
          <cell r="AK19">
            <v>798149.92113856669</v>
          </cell>
          <cell r="AL19">
            <v>9000</v>
          </cell>
          <cell r="AM19">
            <v>0</v>
          </cell>
          <cell r="AN19">
            <v>807149.92113856669</v>
          </cell>
          <cell r="AO19">
            <v>9000</v>
          </cell>
          <cell r="AP19">
            <v>0</v>
          </cell>
          <cell r="AQ19">
            <v>816149.92113856669</v>
          </cell>
          <cell r="AR19">
            <v>600000</v>
          </cell>
          <cell r="AS19">
            <v>51342.559108640766</v>
          </cell>
          <cell r="AT19">
            <v>108000</v>
          </cell>
          <cell r="AU19">
            <v>56807.362029925986</v>
          </cell>
          <cell r="AV19">
            <v>816149.92113856669</v>
          </cell>
          <cell r="AW19">
            <v>630000</v>
          </cell>
          <cell r="AX19"/>
          <cell r="AY19"/>
          <cell r="AZ19"/>
          <cell r="BA19"/>
          <cell r="BB19">
            <v>186149.92113856669</v>
          </cell>
          <cell r="BC19"/>
          <cell r="BD19">
            <v>186149.92113856669</v>
          </cell>
          <cell r="BE19">
            <v>0</v>
          </cell>
          <cell r="BF19">
            <v>186149.92113856669</v>
          </cell>
        </row>
        <row r="20">
          <cell r="A20" t="str">
            <v>AS201621</v>
          </cell>
          <cell r="B20" t="str">
            <v>NANKAM APPOLINAIRE</v>
          </cell>
          <cell r="C20">
            <v>600000</v>
          </cell>
          <cell r="D20">
            <v>140918.4930248888</v>
          </cell>
          <cell r="E20">
            <v>740918.4930248888</v>
          </cell>
          <cell r="F20">
            <v>47064.690793483023</v>
          </cell>
          <cell r="G20">
            <v>787983.18381837185</v>
          </cell>
          <cell r="H20">
            <v>9000</v>
          </cell>
          <cell r="I20">
            <v>0</v>
          </cell>
          <cell r="J20">
            <v>796983.18381837185</v>
          </cell>
          <cell r="K20">
            <v>9000</v>
          </cell>
          <cell r="L20">
            <v>1104.3457970910501</v>
          </cell>
          <cell r="M20">
            <v>807087.52961546287</v>
          </cell>
          <cell r="N20">
            <v>9000</v>
          </cell>
          <cell r="O20">
            <v>220.67494221729822</v>
          </cell>
          <cell r="P20">
            <v>816308.20455768018</v>
          </cell>
          <cell r="Q20">
            <v>9000</v>
          </cell>
          <cell r="R20">
            <v>7490.1650432884535</v>
          </cell>
          <cell r="S20">
            <v>832798.36960096867</v>
          </cell>
          <cell r="T20">
            <v>9000</v>
          </cell>
          <cell r="U20">
            <v>1094.6255225273173</v>
          </cell>
          <cell r="V20">
            <v>842892.99512349593</v>
          </cell>
          <cell r="W20">
            <v>9000</v>
          </cell>
          <cell r="X20">
            <v>2698.2622539918989</v>
          </cell>
          <cell r="Y20">
            <v>854591.25737748784</v>
          </cell>
          <cell r="Z20">
            <v>9000</v>
          </cell>
          <cell r="AA20">
            <v>1814.0494328380635</v>
          </cell>
          <cell r="AB20">
            <v>865405.30681032594</v>
          </cell>
          <cell r="AC20">
            <v>9000</v>
          </cell>
          <cell r="AD20">
            <v>2317.2781106449056</v>
          </cell>
          <cell r="AE20">
            <v>876722.58492097084</v>
          </cell>
          <cell r="AF20">
            <v>9000</v>
          </cell>
          <cell r="AG20">
            <v>0</v>
          </cell>
          <cell r="AH20">
            <v>885722.58492097084</v>
          </cell>
          <cell r="AI20">
            <v>9000</v>
          </cell>
          <cell r="AJ20">
            <v>680.14244007994932</v>
          </cell>
          <cell r="AK20">
            <v>895402.72736105078</v>
          </cell>
          <cell r="AL20">
            <v>9000</v>
          </cell>
          <cell r="AM20">
            <v>0</v>
          </cell>
          <cell r="AN20">
            <v>904402.72736105078</v>
          </cell>
          <cell r="AO20">
            <v>9000</v>
          </cell>
          <cell r="AP20">
            <v>0</v>
          </cell>
          <cell r="AQ20">
            <v>913402.72736105078</v>
          </cell>
          <cell r="AR20">
            <v>600000</v>
          </cell>
          <cell r="AS20">
            <v>140918.4930248888</v>
          </cell>
          <cell r="AT20">
            <v>108000</v>
          </cell>
          <cell r="AU20">
            <v>64484.234336161971</v>
          </cell>
          <cell r="AV20">
            <v>913402.72736105078</v>
          </cell>
          <cell r="AW20">
            <v>630000</v>
          </cell>
          <cell r="AX20"/>
          <cell r="AY20"/>
          <cell r="AZ20"/>
          <cell r="BA20"/>
          <cell r="BB20">
            <v>283402.72736105078</v>
          </cell>
          <cell r="BC20"/>
          <cell r="BD20">
            <v>283402.72736105078</v>
          </cell>
          <cell r="BE20">
            <v>0</v>
          </cell>
          <cell r="BF20">
            <v>283402.72736105078</v>
          </cell>
        </row>
        <row r="21">
          <cell r="A21" t="str">
            <v>AS201622</v>
          </cell>
          <cell r="B21" t="str">
            <v>NDJOMO ETIENNE</v>
          </cell>
          <cell r="C21">
            <v>600000</v>
          </cell>
          <cell r="D21">
            <v>283210.4580118584</v>
          </cell>
          <cell r="E21">
            <v>883210.4580118584</v>
          </cell>
          <cell r="F21">
            <v>56103.373722245982</v>
          </cell>
          <cell r="G21">
            <v>939313.83173410443</v>
          </cell>
          <cell r="H21">
            <v>19000</v>
          </cell>
          <cell r="I21">
            <v>0</v>
          </cell>
          <cell r="J21">
            <v>958313.83173410443</v>
          </cell>
          <cell r="K21">
            <v>19000</v>
          </cell>
          <cell r="L21">
            <v>1339.1004231643205</v>
          </cell>
          <cell r="M21">
            <v>978652.93215726875</v>
          </cell>
          <cell r="N21">
            <v>19000</v>
          </cell>
          <cell r="O21">
            <v>269.77131149211471</v>
          </cell>
          <cell r="P21">
            <v>997922.70346876082</v>
          </cell>
          <cell r="Q21">
            <v>19000</v>
          </cell>
          <cell r="R21">
            <v>9229.1811025074585</v>
          </cell>
          <cell r="S21">
            <v>1026151.8845712683</v>
          </cell>
          <cell r="T21">
            <v>19000</v>
          </cell>
          <cell r="U21">
            <v>1359.0545777744144</v>
          </cell>
          <cell r="V21">
            <v>1046510.9391490427</v>
          </cell>
          <cell r="W21">
            <v>19000</v>
          </cell>
          <cell r="X21">
            <v>3374.8698073336518</v>
          </cell>
          <cell r="Y21">
            <v>1068885.8089563763</v>
          </cell>
          <cell r="Z21">
            <v>19000</v>
          </cell>
          <cell r="AA21">
            <v>2285.1998765282278</v>
          </cell>
          <cell r="AB21">
            <v>1090171.0088329045</v>
          </cell>
          <cell r="AC21">
            <v>15000</v>
          </cell>
          <cell r="AD21">
            <v>2928.834680372498</v>
          </cell>
          <cell r="AE21">
            <v>1108099.8435132769</v>
          </cell>
          <cell r="AF21">
            <v>19000</v>
          </cell>
          <cell r="AG21">
            <v>0</v>
          </cell>
          <cell r="AH21">
            <v>1127099.8435132769</v>
          </cell>
          <cell r="AI21">
            <v>19000</v>
          </cell>
          <cell r="AJ21">
            <v>871.23222022077493</v>
          </cell>
          <cell r="AK21">
            <v>1146971.0757334977</v>
          </cell>
          <cell r="AL21">
            <v>19000</v>
          </cell>
          <cell r="AM21">
            <v>0</v>
          </cell>
          <cell r="AN21">
            <v>1165971.0757334977</v>
          </cell>
          <cell r="AO21">
            <v>19000</v>
          </cell>
          <cell r="AP21">
            <v>0</v>
          </cell>
          <cell r="AQ21">
            <v>1184971.0757334977</v>
          </cell>
          <cell r="AR21">
            <v>600000</v>
          </cell>
          <cell r="AS21">
            <v>283210.4580118584</v>
          </cell>
          <cell r="AT21">
            <v>224000</v>
          </cell>
          <cell r="AU21">
            <v>77760.617721639457</v>
          </cell>
          <cell r="AV21">
            <v>1184971.0757334977</v>
          </cell>
          <cell r="AW21">
            <v>630000</v>
          </cell>
          <cell r="AX21"/>
          <cell r="AY21"/>
          <cell r="AZ21"/>
          <cell r="BA21"/>
          <cell r="BB21">
            <v>554971.07573349774</v>
          </cell>
          <cell r="BC21"/>
          <cell r="BD21">
            <v>554971.07573349774</v>
          </cell>
          <cell r="BE21">
            <v>0</v>
          </cell>
          <cell r="BF21">
            <v>554971.07573349774</v>
          </cell>
        </row>
        <row r="22">
          <cell r="A22" t="str">
            <v>AS201624</v>
          </cell>
          <cell r="B22" t="str">
            <v>NGONDIEP CLAUDE</v>
          </cell>
          <cell r="C22">
            <v>600000</v>
          </cell>
          <cell r="D22">
            <v>39787.038443138823</v>
          </cell>
          <cell r="E22">
            <v>639787.03844313882</v>
          </cell>
          <cell r="F22">
            <v>40640.609488732349</v>
          </cell>
          <cell r="G22">
            <v>680427.64793187112</v>
          </cell>
          <cell r="H22">
            <v>9000</v>
          </cell>
          <cell r="I22">
            <v>0</v>
          </cell>
          <cell r="J22">
            <v>689427.64793187112</v>
          </cell>
          <cell r="K22">
            <v>9000</v>
          </cell>
          <cell r="L22">
            <v>956.97485140032791</v>
          </cell>
          <cell r="M22">
            <v>699384.62278327148</v>
          </cell>
          <cell r="N22">
            <v>6000</v>
          </cell>
          <cell r="O22">
            <v>190.74021501960192</v>
          </cell>
          <cell r="P22">
            <v>705575.36299829104</v>
          </cell>
          <cell r="Q22">
            <v>14000</v>
          </cell>
          <cell r="R22">
            <v>6530.5763352128588</v>
          </cell>
          <cell r="S22">
            <v>726105.93933350395</v>
          </cell>
          <cell r="T22">
            <v>4000</v>
          </cell>
          <cell r="U22">
            <v>949.38719793680502</v>
          </cell>
          <cell r="V22">
            <v>731055.32653144072</v>
          </cell>
          <cell r="W22">
            <v>9000</v>
          </cell>
          <cell r="X22">
            <v>2344.030723196588</v>
          </cell>
          <cell r="Y22">
            <v>742399.35725463729</v>
          </cell>
          <cell r="Z22">
            <v>14000</v>
          </cell>
          <cell r="AA22">
            <v>1588.8834136576563</v>
          </cell>
          <cell r="AB22">
            <v>757988.24066829495</v>
          </cell>
          <cell r="AC22">
            <v>13000</v>
          </cell>
          <cell r="AD22">
            <v>2043.2105795222606</v>
          </cell>
          <cell r="AE22">
            <v>773031.45124781725</v>
          </cell>
          <cell r="AF22">
            <v>9000</v>
          </cell>
          <cell r="AG22">
            <v>0</v>
          </cell>
          <cell r="AH22">
            <v>782031.45124781725</v>
          </cell>
          <cell r="AI22">
            <v>9000</v>
          </cell>
          <cell r="AJ22">
            <v>601.31941508908676</v>
          </cell>
          <cell r="AK22">
            <v>791632.77066290635</v>
          </cell>
          <cell r="AL22">
            <v>12000</v>
          </cell>
          <cell r="AM22">
            <v>0</v>
          </cell>
          <cell r="AN22">
            <v>803632.77066290635</v>
          </cell>
          <cell r="AO22">
            <v>9000</v>
          </cell>
          <cell r="AP22">
            <v>0</v>
          </cell>
          <cell r="AQ22">
            <v>812632.77066290635</v>
          </cell>
          <cell r="AR22">
            <v>600000</v>
          </cell>
          <cell r="AS22">
            <v>39787.038443138823</v>
          </cell>
          <cell r="AT22">
            <v>117000</v>
          </cell>
          <cell r="AU22">
            <v>55845.732219767524</v>
          </cell>
          <cell r="AV22">
            <v>812632.77066290635</v>
          </cell>
          <cell r="AW22">
            <v>630000</v>
          </cell>
          <cell r="AX22"/>
          <cell r="AY22"/>
          <cell r="AZ22"/>
          <cell r="BA22"/>
          <cell r="BB22">
            <v>182632.77066290635</v>
          </cell>
          <cell r="BC22"/>
          <cell r="BD22">
            <v>182632.77066290635</v>
          </cell>
          <cell r="BE22">
            <v>0</v>
          </cell>
          <cell r="BF22">
            <v>182632.77066290635</v>
          </cell>
        </row>
        <row r="23">
          <cell r="A23" t="str">
            <v>AS201626</v>
          </cell>
          <cell r="B23" t="str">
            <v>NGUIEMEGNI MATHIEU BLAISE</v>
          </cell>
          <cell r="C23">
            <v>600000</v>
          </cell>
          <cell r="D23">
            <v>13695.736143450369</v>
          </cell>
          <cell r="E23">
            <v>613695.73614345037</v>
          </cell>
          <cell r="F23">
            <v>38983.235450029715</v>
          </cell>
          <cell r="G23">
            <v>652678.97159348009</v>
          </cell>
          <cell r="H23">
            <v>9000</v>
          </cell>
          <cell r="I23">
            <v>0</v>
          </cell>
          <cell r="J23">
            <v>661678.97159348009</v>
          </cell>
          <cell r="K23">
            <v>9000</v>
          </cell>
          <cell r="L23">
            <v>918.95404066335402</v>
          </cell>
          <cell r="M23">
            <v>671597.92563414341</v>
          </cell>
          <cell r="N23">
            <v>0</v>
          </cell>
          <cell r="O23">
            <v>181.6040903141915</v>
          </cell>
          <cell r="P23">
            <v>671779.52972445765</v>
          </cell>
          <cell r="Q23">
            <v>0</v>
          </cell>
          <cell r="R23">
            <v>6096.8005922534421</v>
          </cell>
          <cell r="S23">
            <v>677876.3303167111</v>
          </cell>
          <cell r="T23">
            <v>27000</v>
          </cell>
          <cell r="U23">
            <v>916.58008527126503</v>
          </cell>
          <cell r="V23">
            <v>705792.91040198237</v>
          </cell>
          <cell r="W23">
            <v>18000</v>
          </cell>
          <cell r="X23">
            <v>2292.5215972241822</v>
          </cell>
          <cell r="Y23">
            <v>726085.43199920654</v>
          </cell>
          <cell r="Z23">
            <v>17000</v>
          </cell>
          <cell r="AA23">
            <v>1560.9163420226255</v>
          </cell>
          <cell r="AB23">
            <v>744646.34834122914</v>
          </cell>
          <cell r="AC23">
            <v>18000</v>
          </cell>
          <cell r="AD23">
            <v>2021.1035722336378</v>
          </cell>
          <cell r="AE23">
            <v>764667.45191346272</v>
          </cell>
          <cell r="AF23">
            <v>159000</v>
          </cell>
          <cell r="AG23">
            <v>0</v>
          </cell>
          <cell r="AH23">
            <v>923667.45191346272</v>
          </cell>
          <cell r="AI23">
            <v>17000</v>
          </cell>
          <cell r="AJ23">
            <v>715.06840984093662</v>
          </cell>
          <cell r="AK23">
            <v>941382.52032330364</v>
          </cell>
          <cell r="AL23">
            <v>17000</v>
          </cell>
          <cell r="AM23">
            <v>0</v>
          </cell>
          <cell r="AN23">
            <v>958382.52032330364</v>
          </cell>
          <cell r="AO23">
            <v>17000</v>
          </cell>
          <cell r="AP23">
            <v>0</v>
          </cell>
          <cell r="AQ23">
            <v>975382.52032330364</v>
          </cell>
          <cell r="AR23">
            <v>600000</v>
          </cell>
          <cell r="AS23">
            <v>13695.736143450369</v>
          </cell>
          <cell r="AT23">
            <v>308000</v>
          </cell>
          <cell r="AU23">
            <v>53686.784179853348</v>
          </cell>
          <cell r="AV23">
            <v>975382.52032330364</v>
          </cell>
          <cell r="AW23">
            <v>630000</v>
          </cell>
          <cell r="AX23"/>
          <cell r="AY23"/>
          <cell r="AZ23"/>
          <cell r="BA23"/>
          <cell r="BB23">
            <v>345382.52032330364</v>
          </cell>
          <cell r="BC23"/>
          <cell r="BD23">
            <v>345382.52032330364</v>
          </cell>
          <cell r="BE23">
            <v>0</v>
          </cell>
          <cell r="BF23">
            <v>345382.52032330364</v>
          </cell>
        </row>
        <row r="24">
          <cell r="A24" t="str">
            <v>AS201628</v>
          </cell>
          <cell r="B24" t="str">
            <v>NKAMGANG JUSTIN DEJOLIE</v>
          </cell>
          <cell r="C24">
            <v>600000</v>
          </cell>
          <cell r="D24">
            <v>575.28052728832699</v>
          </cell>
          <cell r="E24">
            <v>600575.28052728833</v>
          </cell>
          <cell r="F24">
            <v>38149.79669467725</v>
          </cell>
          <cell r="G24">
            <v>638725.07722196553</v>
          </cell>
          <cell r="H24">
            <v>9000</v>
          </cell>
          <cell r="I24">
            <v>0</v>
          </cell>
          <cell r="J24">
            <v>647725.07722196553</v>
          </cell>
          <cell r="K24">
            <v>9000</v>
          </cell>
          <cell r="L24">
            <v>899.83462860660416</v>
          </cell>
          <cell r="M24">
            <v>657624.9118505721</v>
          </cell>
          <cell r="N24">
            <v>9000</v>
          </cell>
          <cell r="O24">
            <v>180.2593576850181</v>
          </cell>
          <cell r="P24">
            <v>666805.17120825709</v>
          </cell>
          <cell r="Q24">
            <v>9000</v>
          </cell>
          <cell r="R24">
            <v>6133.33569387033</v>
          </cell>
          <cell r="S24">
            <v>681938.50690212741</v>
          </cell>
          <cell r="T24">
            <v>9000</v>
          </cell>
          <cell r="U24">
            <v>898.45615228560939</v>
          </cell>
          <cell r="V24">
            <v>691836.96305441298</v>
          </cell>
          <cell r="W24">
            <v>9000</v>
          </cell>
          <cell r="X24">
            <v>2219.811566049912</v>
          </cell>
          <cell r="Y24">
            <v>703056.77462046291</v>
          </cell>
          <cell r="Z24">
            <v>9000</v>
          </cell>
          <cell r="AA24">
            <v>1495.7379166520773</v>
          </cell>
          <cell r="AB24">
            <v>713552.51253711502</v>
          </cell>
          <cell r="AC24">
            <v>9000</v>
          </cell>
          <cell r="AD24">
            <v>1914.85013649046</v>
          </cell>
          <cell r="AE24">
            <v>724467.36267360544</v>
          </cell>
          <cell r="AF24">
            <v>9000</v>
          </cell>
          <cell r="AG24">
            <v>0</v>
          </cell>
          <cell r="AH24">
            <v>733467.36267360544</v>
          </cell>
          <cell r="AI24">
            <v>9000</v>
          </cell>
          <cell r="AJ24">
            <v>564.40238822534582</v>
          </cell>
          <cell r="AK24">
            <v>743031.76506183075</v>
          </cell>
          <cell r="AL24">
            <v>7000</v>
          </cell>
          <cell r="AM24">
            <v>0</v>
          </cell>
          <cell r="AN24">
            <v>750031.76506183075</v>
          </cell>
          <cell r="AO24">
            <v>9000</v>
          </cell>
          <cell r="AP24">
            <v>0</v>
          </cell>
          <cell r="AQ24">
            <v>759031.76506183075</v>
          </cell>
          <cell r="AR24">
            <v>600000</v>
          </cell>
          <cell r="AS24">
            <v>575.28052728832699</v>
          </cell>
          <cell r="AT24">
            <v>106000</v>
          </cell>
          <cell r="AU24">
            <v>52456.4845345426</v>
          </cell>
          <cell r="AV24">
            <v>759031.76506183075</v>
          </cell>
          <cell r="AW24">
            <v>630000</v>
          </cell>
          <cell r="AX24"/>
          <cell r="AY24"/>
          <cell r="AZ24"/>
          <cell r="BA24"/>
          <cell r="BB24">
            <v>129031.76506183075</v>
          </cell>
          <cell r="BC24"/>
          <cell r="BD24">
            <v>129031.76506183075</v>
          </cell>
          <cell r="BE24">
            <v>0</v>
          </cell>
          <cell r="BF24">
            <v>129031.76506183075</v>
          </cell>
        </row>
        <row r="25">
          <cell r="A25"/>
          <cell r="B25" t="str">
            <v>NKEPSEU DIEUDONNE</v>
          </cell>
          <cell r="C25">
            <v>600000</v>
          </cell>
          <cell r="D25">
            <v>2433.3710003618617</v>
          </cell>
          <cell r="E25">
            <v>602433.37100036186</v>
          </cell>
          <cell r="F25">
            <v>38267.826483925048</v>
          </cell>
          <cell r="G25">
            <v>640701.19748428697</v>
          </cell>
          <cell r="H25">
            <v>-640701</v>
          </cell>
          <cell r="I25">
            <v>0</v>
          </cell>
          <cell r="J25">
            <v>0.19748428696766496</v>
          </cell>
          <cell r="K25">
            <v>0</v>
          </cell>
          <cell r="L25">
            <v>2.7058994118345079E-4</v>
          </cell>
          <cell r="M25">
            <v>0.19775487690884841</v>
          </cell>
          <cell r="N25">
            <v>0</v>
          </cell>
          <cell r="O25">
            <v>5.3474099837810067E-5</v>
          </cell>
          <cell r="P25">
            <v>0.19780835100868621</v>
          </cell>
          <cell r="Q25">
            <v>0</v>
          </cell>
          <cell r="R25">
            <v>1.7952289675707987E-3</v>
          </cell>
          <cell r="S25">
            <v>0.19960357997625702</v>
          </cell>
          <cell r="T25">
            <v>0</v>
          </cell>
          <cell r="U25">
            <v>2.5955285840408937E-4</v>
          </cell>
          <cell r="V25">
            <v>0.19986313283466112</v>
          </cell>
          <cell r="W25">
            <v>0</v>
          </cell>
          <cell r="X25">
            <v>6.3304094572835053E-4</v>
          </cell>
          <cell r="Y25">
            <v>0.20049617378038948</v>
          </cell>
          <cell r="Z25">
            <v>0</v>
          </cell>
          <cell r="AA25">
            <v>4.211598568482666E-4</v>
          </cell>
          <cell r="AB25">
            <v>0.20091733363723774</v>
          </cell>
          <cell r="AC25">
            <v>0</v>
          </cell>
          <cell r="AD25">
            <v>5.3245484177705618E-4</v>
          </cell>
          <cell r="AE25">
            <v>0.20144978847901479</v>
          </cell>
          <cell r="AF25">
            <v>0</v>
          </cell>
          <cell r="AG25">
            <v>0</v>
          </cell>
          <cell r="AH25">
            <v>0.20144978847901479</v>
          </cell>
          <cell r="AI25">
            <v>0</v>
          </cell>
          <cell r="AJ25">
            <v>1.531363497455572E-4</v>
          </cell>
          <cell r="AK25">
            <v>0.20160292482876035</v>
          </cell>
          <cell r="AL25">
            <v>0</v>
          </cell>
          <cell r="AM25">
            <v>0</v>
          </cell>
          <cell r="AN25">
            <v>0.20160292482876035</v>
          </cell>
          <cell r="AO25">
            <v>0</v>
          </cell>
          <cell r="AP25">
            <v>0</v>
          </cell>
          <cell r="AQ25">
            <v>0.20160292482876035</v>
          </cell>
          <cell r="AR25">
            <v>600000</v>
          </cell>
          <cell r="AS25">
            <v>2433.3710003618617</v>
          </cell>
          <cell r="AT25">
            <v>-640701</v>
          </cell>
          <cell r="AU25">
            <v>38267.830602562906</v>
          </cell>
          <cell r="AV25">
            <v>0.20160292482876035</v>
          </cell>
          <cell r="AW25">
            <v>0</v>
          </cell>
          <cell r="AX25"/>
          <cell r="AY25"/>
          <cell r="AZ25"/>
          <cell r="BA25"/>
          <cell r="BB25">
            <v>0.20160292482876035</v>
          </cell>
          <cell r="BC25"/>
          <cell r="BD25">
            <v>0.20160292482876035</v>
          </cell>
          <cell r="BE25">
            <v>0</v>
          </cell>
          <cell r="BF25">
            <v>0.20160292482876035</v>
          </cell>
        </row>
        <row r="26">
          <cell r="A26" t="str">
            <v>AS201633</v>
          </cell>
          <cell r="B26" t="str">
            <v>PATEGO NJOSSU GUSTAVE</v>
          </cell>
          <cell r="C26">
            <v>600000</v>
          </cell>
          <cell r="D26">
            <v>21451.962695348077</v>
          </cell>
          <cell r="E26">
            <v>621451.96269534808</v>
          </cell>
          <cell r="F26">
            <v>39475.927166899848</v>
          </cell>
          <cell r="G26">
            <v>660927.88986224798</v>
          </cell>
          <cell r="H26">
            <v>9000</v>
          </cell>
          <cell r="I26">
            <v>0</v>
          </cell>
          <cell r="J26">
            <v>669927.88986224798</v>
          </cell>
          <cell r="K26">
            <v>9000</v>
          </cell>
          <cell r="L26">
            <v>930.25658196142933</v>
          </cell>
          <cell r="M26">
            <v>679858.14644420939</v>
          </cell>
          <cell r="N26">
            <v>9000</v>
          </cell>
          <cell r="O26">
            <v>186.27135711057772</v>
          </cell>
          <cell r="P26">
            <v>689044.41780131997</v>
          </cell>
          <cell r="Q26">
            <v>9000</v>
          </cell>
          <cell r="R26">
            <v>6335.170143716502</v>
          </cell>
          <cell r="S26">
            <v>704379.58794503647</v>
          </cell>
          <cell r="T26">
            <v>9000</v>
          </cell>
          <cell r="U26">
            <v>927.63722574660505</v>
          </cell>
          <cell r="V26">
            <v>714307.22517078312</v>
          </cell>
          <cell r="W26">
            <v>9000</v>
          </cell>
          <cell r="X26">
            <v>2290.9832512885214</v>
          </cell>
          <cell r="Y26">
            <v>725598.20842207165</v>
          </cell>
          <cell r="Z26">
            <v>9000</v>
          </cell>
          <cell r="AA26">
            <v>1543.088182016437</v>
          </cell>
          <cell r="AB26">
            <v>736141.29660408804</v>
          </cell>
          <cell r="AC26">
            <v>9000</v>
          </cell>
          <cell r="AD26">
            <v>1974.7131021618652</v>
          </cell>
          <cell r="AE26">
            <v>747116.00970624993</v>
          </cell>
          <cell r="AF26">
            <v>9000</v>
          </cell>
          <cell r="AG26">
            <v>0</v>
          </cell>
          <cell r="AH26">
            <v>756116.00970624993</v>
          </cell>
          <cell r="AI26">
            <v>9000</v>
          </cell>
          <cell r="AJ26">
            <v>581.61923992542108</v>
          </cell>
          <cell r="AK26">
            <v>765697.62894617533</v>
          </cell>
          <cell r="AL26">
            <v>9000</v>
          </cell>
          <cell r="AM26">
            <v>0</v>
          </cell>
          <cell r="AN26">
            <v>774697.62894617533</v>
          </cell>
          <cell r="AO26">
            <v>9000</v>
          </cell>
          <cell r="AP26">
            <v>0</v>
          </cell>
          <cell r="AQ26">
            <v>783697.62894617533</v>
          </cell>
          <cell r="AR26">
            <v>600000</v>
          </cell>
          <cell r="AS26">
            <v>21451.962695348077</v>
          </cell>
          <cell r="AT26">
            <v>108000</v>
          </cell>
          <cell r="AU26">
            <v>54245.666250827206</v>
          </cell>
          <cell r="AV26">
            <v>783697.62894617533</v>
          </cell>
          <cell r="AW26">
            <v>630000</v>
          </cell>
          <cell r="AX26"/>
          <cell r="AY26"/>
          <cell r="AZ26"/>
          <cell r="BA26"/>
          <cell r="BB26">
            <v>153697.62894617533</v>
          </cell>
          <cell r="BC26"/>
          <cell r="BD26">
            <v>153697.62894617533</v>
          </cell>
          <cell r="BE26">
            <v>0</v>
          </cell>
          <cell r="BF26">
            <v>153697.62894617533</v>
          </cell>
        </row>
        <row r="27">
          <cell r="A27" t="str">
            <v>AS201653</v>
          </cell>
          <cell r="B27" t="str">
            <v>SIME BRICE</v>
          </cell>
          <cell r="C27">
            <v>600000</v>
          </cell>
          <cell r="D27">
            <v>200752.48017057346</v>
          </cell>
          <cell r="E27">
            <v>800752.48017057346</v>
          </cell>
          <cell r="F27">
            <v>50865.470677456433</v>
          </cell>
          <cell r="G27">
            <v>851617.95084802993</v>
          </cell>
          <cell r="H27">
            <v>9000</v>
          </cell>
          <cell r="I27">
            <v>0</v>
          </cell>
          <cell r="J27">
            <v>860617.95084802993</v>
          </cell>
          <cell r="K27">
            <v>9000</v>
          </cell>
          <cell r="L27">
            <v>1191.5371789076557</v>
          </cell>
          <cell r="M27">
            <v>870809.48802693759</v>
          </cell>
          <cell r="N27">
            <v>9000</v>
          </cell>
          <cell r="O27">
            <v>237.9057403610355</v>
          </cell>
          <cell r="P27">
            <v>880047.39376729866</v>
          </cell>
          <cell r="Q27">
            <v>9000</v>
          </cell>
          <cell r="R27">
            <v>8068.6362668494776</v>
          </cell>
          <cell r="S27">
            <v>897116.03003414813</v>
          </cell>
          <cell r="T27">
            <v>9000</v>
          </cell>
          <cell r="U27">
            <v>1178.260458400116</v>
          </cell>
          <cell r="V27">
            <v>907294.29049254826</v>
          </cell>
          <cell r="W27">
            <v>9000</v>
          </cell>
          <cell r="X27">
            <v>2902.2451314157306</v>
          </cell>
          <cell r="Y27">
            <v>919196.53562396404</v>
          </cell>
          <cell r="Z27">
            <v>9000</v>
          </cell>
          <cell r="AA27">
            <v>1949.7585051105923</v>
          </cell>
          <cell r="AB27">
            <v>930146.29412907467</v>
          </cell>
          <cell r="AC27">
            <v>9000</v>
          </cell>
          <cell r="AD27">
            <v>2488.8494307259011</v>
          </cell>
          <cell r="AE27">
            <v>941635.14355980058</v>
          </cell>
          <cell r="AF27">
            <v>9000</v>
          </cell>
          <cell r="AG27">
            <v>0</v>
          </cell>
          <cell r="AH27">
            <v>950635.14355980058</v>
          </cell>
          <cell r="AI27">
            <v>9000</v>
          </cell>
          <cell r="AJ27">
            <v>729.48710486042557</v>
          </cell>
          <cell r="AK27">
            <v>960364.63066466106</v>
          </cell>
          <cell r="AL27">
            <v>9000</v>
          </cell>
          <cell r="AM27">
            <v>0</v>
          </cell>
          <cell r="AN27">
            <v>969364.63066466106</v>
          </cell>
          <cell r="AO27">
            <v>9000</v>
          </cell>
          <cell r="AP27">
            <v>0</v>
          </cell>
          <cell r="AQ27">
            <v>978364.63066466106</v>
          </cell>
          <cell r="AR27">
            <v>600000</v>
          </cell>
          <cell r="AS27">
            <v>200752.48017057346</v>
          </cell>
          <cell r="AT27">
            <v>108000</v>
          </cell>
          <cell r="AU27">
            <v>69612.150494087356</v>
          </cell>
          <cell r="AV27">
            <v>978364.63066466106</v>
          </cell>
          <cell r="AW27">
            <v>630000</v>
          </cell>
          <cell r="AX27"/>
          <cell r="AY27"/>
          <cell r="AZ27"/>
          <cell r="BA27"/>
          <cell r="BB27">
            <v>348364.63066466106</v>
          </cell>
          <cell r="BC27"/>
          <cell r="BD27">
            <v>348364.63066466106</v>
          </cell>
          <cell r="BE27">
            <v>0</v>
          </cell>
          <cell r="BF27">
            <v>348364.63066466106</v>
          </cell>
        </row>
        <row r="28">
          <cell r="A28" t="str">
            <v>AS201638</v>
          </cell>
          <cell r="B28" t="str">
            <v>SIMO PIERRE</v>
          </cell>
          <cell r="C28">
            <v>600000</v>
          </cell>
          <cell r="D28">
            <v>103606.47183067317</v>
          </cell>
          <cell r="E28">
            <v>703606.47183067317</v>
          </cell>
          <cell r="F28">
            <v>44694.553245402341</v>
          </cell>
          <cell r="G28">
            <v>748301.02507607546</v>
          </cell>
          <cell r="H28">
            <v>119000</v>
          </cell>
          <cell r="I28">
            <v>0</v>
          </cell>
          <cell r="J28">
            <v>867301.02507607546</v>
          </cell>
          <cell r="K28">
            <v>9000</v>
          </cell>
          <cell r="L28">
            <v>1200.6942247165082</v>
          </cell>
          <cell r="M28">
            <v>877501.71930079197</v>
          </cell>
          <cell r="N28">
            <v>9000</v>
          </cell>
          <cell r="O28">
            <v>239.7153596678744</v>
          </cell>
          <cell r="P28">
            <v>886741.43466045987</v>
          </cell>
          <cell r="Q28">
            <v>9000</v>
          </cell>
          <cell r="R28">
            <v>8129.388687362698</v>
          </cell>
          <cell r="S28">
            <v>903870.82334782253</v>
          </cell>
          <cell r="T28">
            <v>9000</v>
          </cell>
          <cell r="U28">
            <v>1187.0439978171023</v>
          </cell>
          <cell r="V28">
            <v>914057.86734563962</v>
          </cell>
          <cell r="W28">
            <v>9000</v>
          </cell>
          <cell r="X28">
            <v>2923.6678972198138</v>
          </cell>
          <cell r="Y28">
            <v>925981.53524285939</v>
          </cell>
          <cell r="Z28">
            <v>9000</v>
          </cell>
          <cell r="AA28">
            <v>1964.0109938954381</v>
          </cell>
          <cell r="AB28">
            <v>936945.54623675486</v>
          </cell>
          <cell r="AC28">
            <v>9000</v>
          </cell>
          <cell r="AD28">
            <v>2506.8682578706698</v>
          </cell>
          <cell r="AE28">
            <v>948452.41449462553</v>
          </cell>
          <cell r="AF28">
            <v>9000</v>
          </cell>
          <cell r="AG28">
            <v>0</v>
          </cell>
          <cell r="AH28">
            <v>957452.41449462553</v>
          </cell>
          <cell r="AI28">
            <v>9000</v>
          </cell>
          <cell r="AJ28">
            <v>734.66939864225458</v>
          </cell>
          <cell r="AK28">
            <v>967187.08389326779</v>
          </cell>
          <cell r="AL28">
            <v>9500</v>
          </cell>
          <cell r="AM28">
            <v>0</v>
          </cell>
          <cell r="AN28">
            <v>976687.08389326779</v>
          </cell>
          <cell r="AO28">
            <v>9000</v>
          </cell>
          <cell r="AP28">
            <v>0</v>
          </cell>
          <cell r="AQ28">
            <v>985687.08389326779</v>
          </cell>
          <cell r="AR28">
            <v>600000</v>
          </cell>
          <cell r="AS28">
            <v>103606.47183067317</v>
          </cell>
          <cell r="AT28">
            <v>218500</v>
          </cell>
          <cell r="AU28">
            <v>63580.612062594708</v>
          </cell>
          <cell r="AV28">
            <v>985687.08389326779</v>
          </cell>
          <cell r="AW28">
            <v>630000</v>
          </cell>
          <cell r="AX28"/>
          <cell r="AY28"/>
          <cell r="AZ28"/>
          <cell r="BA28"/>
          <cell r="BB28">
            <v>355687.08389326779</v>
          </cell>
          <cell r="BC28"/>
          <cell r="BD28">
            <v>355687.08389326779</v>
          </cell>
          <cell r="BE28">
            <v>0</v>
          </cell>
          <cell r="BF28">
            <v>355687.08389326779</v>
          </cell>
        </row>
        <row r="29">
          <cell r="A29" t="str">
            <v>AS201641</v>
          </cell>
          <cell r="B29" t="str">
            <v>TCHOUAMOU MATHIEU</v>
          </cell>
          <cell r="C29">
            <v>600000</v>
          </cell>
          <cell r="D29">
            <v>4207.8699443503283</v>
          </cell>
          <cell r="E29">
            <v>604207.86994435033</v>
          </cell>
          <cell r="F29">
            <v>38380.546364584545</v>
          </cell>
          <cell r="G29">
            <v>642588.41630893492</v>
          </cell>
          <cell r="H29">
            <v>9000</v>
          </cell>
          <cell r="I29">
            <v>0</v>
          </cell>
          <cell r="J29">
            <v>651588.41630893492</v>
          </cell>
          <cell r="K29">
            <v>9000</v>
          </cell>
          <cell r="L29">
            <v>905.12811657147677</v>
          </cell>
          <cell r="M29">
            <v>661493.54442550638</v>
          </cell>
          <cell r="N29">
            <v>9000</v>
          </cell>
          <cell r="O29">
            <v>181.30545903928808</v>
          </cell>
          <cell r="P29">
            <v>670674.84988454566</v>
          </cell>
          <cell r="Q29">
            <v>9000</v>
          </cell>
          <cell r="R29">
            <v>6168.4553398278422</v>
          </cell>
          <cell r="S29">
            <v>685843.30522437347</v>
          </cell>
          <cell r="T29">
            <v>9000</v>
          </cell>
          <cell r="U29">
            <v>903.53372437199687</v>
          </cell>
          <cell r="V29">
            <v>695746.83894874551</v>
          </cell>
          <cell r="W29">
            <v>9000</v>
          </cell>
          <cell r="X29">
            <v>2232.1955985561785</v>
          </cell>
          <cell r="Y29">
            <v>706979.03454730171</v>
          </cell>
          <cell r="Z29">
            <v>9000</v>
          </cell>
          <cell r="AA29">
            <v>1503.9769687903915</v>
          </cell>
          <cell r="AB29">
            <v>717483.01151609211</v>
          </cell>
          <cell r="AC29">
            <v>9000</v>
          </cell>
          <cell r="AD29">
            <v>1925.2664264843079</v>
          </cell>
          <cell r="AE29">
            <v>728408.27794257645</v>
          </cell>
          <cell r="AF29">
            <v>9000</v>
          </cell>
          <cell r="AG29">
            <v>0</v>
          </cell>
          <cell r="AH29">
            <v>737408.27794257645</v>
          </cell>
          <cell r="AI29">
            <v>9000</v>
          </cell>
          <cell r="AJ29">
            <v>567.39815895066283</v>
          </cell>
          <cell r="AK29">
            <v>746975.67610152706</v>
          </cell>
          <cell r="AL29">
            <v>9000</v>
          </cell>
          <cell r="AM29">
            <v>0</v>
          </cell>
          <cell r="AN29">
            <v>755975.67610152706</v>
          </cell>
          <cell r="AO29">
            <v>9000</v>
          </cell>
          <cell r="AP29">
            <v>0</v>
          </cell>
          <cell r="AQ29">
            <v>764975.67610152706</v>
          </cell>
          <cell r="AR29">
            <v>600000</v>
          </cell>
          <cell r="AS29">
            <v>4207.8699443503283</v>
          </cell>
          <cell r="AT29">
            <v>108000</v>
          </cell>
          <cell r="AU29">
            <v>52767.806157176696</v>
          </cell>
          <cell r="AV29">
            <v>764975.67610152706</v>
          </cell>
          <cell r="AW29">
            <v>630000</v>
          </cell>
          <cell r="AX29"/>
          <cell r="AY29"/>
          <cell r="AZ29"/>
          <cell r="BA29"/>
          <cell r="BB29">
            <v>134975.67610152706</v>
          </cell>
          <cell r="BC29"/>
          <cell r="BD29">
            <v>134975.67610152706</v>
          </cell>
          <cell r="BE29">
            <v>0</v>
          </cell>
          <cell r="BF29">
            <v>134975.67610152706</v>
          </cell>
        </row>
        <row r="30">
          <cell r="A30" t="str">
            <v>AS201646</v>
          </cell>
          <cell r="B30" t="str">
            <v>YEPMOU JEAN JACQUES</v>
          </cell>
          <cell r="C30">
            <v>600000</v>
          </cell>
          <cell r="D30">
            <v>914734.42229355336</v>
          </cell>
          <cell r="E30">
            <v>1514734.4222935534</v>
          </cell>
          <cell r="F30">
            <v>96219.095474914066</v>
          </cell>
          <cell r="G30">
            <v>1610953.5177684673</v>
          </cell>
          <cell r="H30">
            <v>9000</v>
          </cell>
          <cell r="I30">
            <v>0</v>
          </cell>
          <cell r="J30">
            <v>1619953.5177684673</v>
          </cell>
          <cell r="K30">
            <v>9000</v>
          </cell>
          <cell r="L30">
            <v>2231.9671267603972</v>
          </cell>
          <cell r="M30">
            <v>1631185.4848952277</v>
          </cell>
          <cell r="N30">
            <v>3000</v>
          </cell>
          <cell r="O30">
            <v>441.89351554180263</v>
          </cell>
          <cell r="P30">
            <v>1634627.3784107696</v>
          </cell>
          <cell r="Q30">
            <v>0</v>
          </cell>
          <cell r="R30">
            <v>14835.220080159637</v>
          </cell>
          <cell r="S30">
            <v>1649462.5984909292</v>
          </cell>
          <cell r="T30">
            <v>17000</v>
          </cell>
          <cell r="U30">
            <v>2166.9708074037417</v>
          </cell>
          <cell r="V30">
            <v>1668629.569298333</v>
          </cell>
          <cell r="W30">
            <v>9000</v>
          </cell>
          <cell r="X30">
            <v>5313.6773854586754</v>
          </cell>
          <cell r="Y30">
            <v>1682943.2466837917</v>
          </cell>
          <cell r="Z30">
            <v>9000</v>
          </cell>
          <cell r="AA30">
            <v>3554.0756820090223</v>
          </cell>
          <cell r="AB30">
            <v>1695497.3223658009</v>
          </cell>
          <cell r="AC30">
            <v>9000</v>
          </cell>
          <cell r="AD30">
            <v>4517.1207265189942</v>
          </cell>
          <cell r="AE30">
            <v>1709014.4430923199</v>
          </cell>
          <cell r="AF30">
            <v>9000</v>
          </cell>
          <cell r="AG30">
            <v>0</v>
          </cell>
          <cell r="AH30">
            <v>1718014.4430923199</v>
          </cell>
          <cell r="AI30">
            <v>9000</v>
          </cell>
          <cell r="AJ30">
            <v>1312.8268327795447</v>
          </cell>
          <cell r="AK30">
            <v>1728327.2699250993</v>
          </cell>
          <cell r="AL30">
            <v>6000</v>
          </cell>
          <cell r="AM30">
            <v>0</v>
          </cell>
          <cell r="AN30">
            <v>1734327.2699250993</v>
          </cell>
          <cell r="AO30">
            <v>9000</v>
          </cell>
          <cell r="AP30">
            <v>0</v>
          </cell>
          <cell r="AQ30">
            <v>1743327.2699250993</v>
          </cell>
          <cell r="AR30">
            <v>600000</v>
          </cell>
          <cell r="AS30">
            <v>914734.42229355336</v>
          </cell>
          <cell r="AT30">
            <v>98000</v>
          </cell>
          <cell r="AU30">
            <v>130592.84763154587</v>
          </cell>
          <cell r="AV30">
            <v>1743327.2699250993</v>
          </cell>
          <cell r="AW30">
            <v>630000</v>
          </cell>
          <cell r="AX30"/>
          <cell r="AY30"/>
          <cell r="AZ30"/>
          <cell r="BA30"/>
          <cell r="BB30">
            <v>1113327.2699250993</v>
          </cell>
          <cell r="BC30"/>
          <cell r="BD30">
            <v>1113327.2699250993</v>
          </cell>
          <cell r="BE30">
            <v>0</v>
          </cell>
          <cell r="BF30">
            <v>1113327.2699250993</v>
          </cell>
        </row>
        <row r="31">
          <cell r="A31" t="str">
            <v>AS201647</v>
          </cell>
          <cell r="B31" t="str">
            <v>YOUMBI EMMANUEL</v>
          </cell>
          <cell r="C31">
            <v>600000</v>
          </cell>
          <cell r="D31">
            <v>1057774.2356918815</v>
          </cell>
          <cell r="E31">
            <v>1657774.2356918815</v>
          </cell>
          <cell r="F31">
            <v>105305.28329736282</v>
          </cell>
          <cell r="G31">
            <v>1763079.5189892442</v>
          </cell>
          <cell r="H31">
            <v>9000</v>
          </cell>
          <cell r="I31">
            <v>0</v>
          </cell>
          <cell r="J31">
            <v>1772079.5189892442</v>
          </cell>
          <cell r="K31">
            <v>9000</v>
          </cell>
          <cell r="L31">
            <v>2440.4078404742104</v>
          </cell>
          <cell r="M31">
            <v>1783519.9268297185</v>
          </cell>
          <cell r="N31">
            <v>9000</v>
          </cell>
          <cell r="O31">
            <v>484.70809431788769</v>
          </cell>
          <cell r="P31">
            <v>1793004.6349240365</v>
          </cell>
          <cell r="Q31">
            <v>9000</v>
          </cell>
          <cell r="R31">
            <v>16354.268683885926</v>
          </cell>
          <cell r="S31">
            <v>1818358.9036079224</v>
          </cell>
          <cell r="T31">
            <v>9000</v>
          </cell>
          <cell r="U31">
            <v>2376.1909822359744</v>
          </cell>
          <cell r="V31">
            <v>1829735.0945901584</v>
          </cell>
          <cell r="W31">
            <v>9000</v>
          </cell>
          <cell r="X31">
            <v>5823.9585596118359</v>
          </cell>
          <cell r="Y31">
            <v>1844559.0531497702</v>
          </cell>
          <cell r="Z31">
            <v>9000</v>
          </cell>
          <cell r="AA31">
            <v>3893.5639058101601</v>
          </cell>
          <cell r="AB31">
            <v>1857452.6170555805</v>
          </cell>
          <cell r="AC31">
            <v>9000</v>
          </cell>
          <cell r="AD31">
            <v>4946.3215288982501</v>
          </cell>
          <cell r="AE31">
            <v>1871398.9385844788</v>
          </cell>
          <cell r="AF31">
            <v>9000</v>
          </cell>
          <cell r="AG31">
            <v>0</v>
          </cell>
          <cell r="AH31">
            <v>1880398.9385844788</v>
          </cell>
          <cell r="AI31">
            <v>9000</v>
          </cell>
          <cell r="AJ31">
            <v>1436.2668675529419</v>
          </cell>
          <cell r="AK31">
            <v>1890835.2054520317</v>
          </cell>
          <cell r="AL31">
            <v>9000</v>
          </cell>
          <cell r="AM31">
            <v>0</v>
          </cell>
          <cell r="AN31">
            <v>1899835.2054520317</v>
          </cell>
          <cell r="AO31">
            <v>9000</v>
          </cell>
          <cell r="AP31">
            <v>0</v>
          </cell>
          <cell r="AQ31">
            <v>1908835.2054520317</v>
          </cell>
          <cell r="AR31">
            <v>600000</v>
          </cell>
          <cell r="AS31">
            <v>1057774.2356918815</v>
          </cell>
          <cell r="AT31">
            <v>108000</v>
          </cell>
          <cell r="AU31">
            <v>143060.96976015001</v>
          </cell>
          <cell r="AV31">
            <v>1908835.2054520317</v>
          </cell>
          <cell r="AW31">
            <v>630000</v>
          </cell>
          <cell r="AX31"/>
          <cell r="AY31"/>
          <cell r="AZ31"/>
          <cell r="BA31"/>
          <cell r="BB31">
            <v>1278835.2054520317</v>
          </cell>
          <cell r="BC31"/>
          <cell r="BD31">
            <v>1278835.2054520317</v>
          </cell>
          <cell r="BE31">
            <v>0</v>
          </cell>
          <cell r="BF31">
            <v>1278835.2054520317</v>
          </cell>
        </row>
        <row r="32">
          <cell r="A32" t="str">
            <v>AS201601</v>
          </cell>
          <cell r="B32" t="str">
            <v>BAKOP ACHILLE</v>
          </cell>
          <cell r="C32">
            <v>0</v>
          </cell>
          <cell r="D32"/>
          <cell r="E32"/>
          <cell r="F32"/>
          <cell r="G32"/>
          <cell r="H32">
            <v>609000</v>
          </cell>
          <cell r="I32">
            <v>0</v>
          </cell>
          <cell r="J32">
            <v>609000</v>
          </cell>
          <cell r="K32">
            <v>9000</v>
          </cell>
          <cell r="L32">
            <v>846.77412172419099</v>
          </cell>
          <cell r="M32">
            <v>618846.77412172419</v>
          </cell>
          <cell r="N32">
            <v>9000</v>
          </cell>
          <cell r="O32">
            <v>169.77351763469881</v>
          </cell>
          <cell r="P32">
            <v>628016.54763935891</v>
          </cell>
          <cell r="Q32">
            <v>9000</v>
          </cell>
          <cell r="R32">
            <v>5781.3057604120222</v>
          </cell>
          <cell r="S32">
            <v>642797.85339977092</v>
          </cell>
          <cell r="T32">
            <v>9000</v>
          </cell>
          <cell r="U32">
            <v>847.5599283924854</v>
          </cell>
          <cell r="V32">
            <v>652645.41332816344</v>
          </cell>
          <cell r="W32">
            <v>9000</v>
          </cell>
          <cell r="X32">
            <v>2095.6773380340383</v>
          </cell>
          <cell r="Y32">
            <v>663741.09066619747</v>
          </cell>
          <cell r="Z32">
            <v>6000</v>
          </cell>
          <cell r="AA32">
            <v>1406.8500986923409</v>
          </cell>
          <cell r="AB32">
            <v>671147.94076488982</v>
          </cell>
          <cell r="AC32">
            <v>9000</v>
          </cell>
          <cell r="AD32">
            <v>1802.4729754717389</v>
          </cell>
          <cell r="AE32">
            <v>681950.41374036158</v>
          </cell>
          <cell r="AF32">
            <v>9000</v>
          </cell>
          <cell r="AG32">
            <v>0</v>
          </cell>
          <cell r="AH32">
            <v>690950.41374036158</v>
          </cell>
          <cell r="AI32">
            <v>9000</v>
          </cell>
          <cell r="AJ32">
            <v>532.08222342838212</v>
          </cell>
          <cell r="AK32">
            <v>700482.49596378999</v>
          </cell>
          <cell r="AL32">
            <v>9000</v>
          </cell>
          <cell r="AM32">
            <v>0</v>
          </cell>
          <cell r="AN32">
            <v>709482.49596378999</v>
          </cell>
          <cell r="AO32">
            <v>9000</v>
          </cell>
          <cell r="AP32">
            <v>0</v>
          </cell>
          <cell r="AQ32">
            <v>718482.49596378999</v>
          </cell>
          <cell r="AR32">
            <v>0</v>
          </cell>
          <cell r="AS32">
            <v>0</v>
          </cell>
          <cell r="AT32">
            <v>705000</v>
          </cell>
          <cell r="AU32">
            <v>13482.495963789899</v>
          </cell>
          <cell r="AV32">
            <v>718482.49596378999</v>
          </cell>
          <cell r="AW32">
            <v>630000</v>
          </cell>
          <cell r="AX32"/>
          <cell r="AY32"/>
          <cell r="AZ32"/>
          <cell r="BA32"/>
          <cell r="BB32">
            <v>88482.495963789988</v>
          </cell>
          <cell r="BC32"/>
          <cell r="BD32">
            <v>88482.495963789988</v>
          </cell>
          <cell r="BE32">
            <v>0</v>
          </cell>
          <cell r="BF32">
            <v>88482.495963789988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/>
          <cell r="E33"/>
          <cell r="F33"/>
          <cell r="G33"/>
          <cell r="H33">
            <v>9000</v>
          </cell>
          <cell r="I33">
            <v>0</v>
          </cell>
          <cell r="J33">
            <v>9000</v>
          </cell>
          <cell r="K33">
            <v>9000</v>
          </cell>
          <cell r="L33"/>
          <cell r="M33">
            <v>18000</v>
          </cell>
          <cell r="N33">
            <v>9000</v>
          </cell>
          <cell r="O33">
            <v>0</v>
          </cell>
          <cell r="P33">
            <v>27000</v>
          </cell>
          <cell r="Q33">
            <v>9000</v>
          </cell>
          <cell r="R33">
            <v>0</v>
          </cell>
          <cell r="S33">
            <v>36000</v>
          </cell>
          <cell r="T33">
            <v>6000</v>
          </cell>
          <cell r="U33">
            <v>0</v>
          </cell>
          <cell r="V33">
            <v>42000</v>
          </cell>
          <cell r="W33">
            <v>9000</v>
          </cell>
          <cell r="X33">
            <v>0</v>
          </cell>
          <cell r="Y33">
            <v>51000</v>
          </cell>
          <cell r="Z33">
            <v>9000</v>
          </cell>
          <cell r="AA33">
            <v>0</v>
          </cell>
          <cell r="AB33">
            <v>60000</v>
          </cell>
          <cell r="AC33">
            <v>0</v>
          </cell>
          <cell r="AD33">
            <v>0</v>
          </cell>
          <cell r="AE33">
            <v>60000</v>
          </cell>
          <cell r="AF33">
            <v>0</v>
          </cell>
          <cell r="AG33">
            <v>0</v>
          </cell>
          <cell r="AH33">
            <v>60000</v>
          </cell>
          <cell r="AI33">
            <v>0</v>
          </cell>
          <cell r="AJ33">
            <v>0</v>
          </cell>
          <cell r="AK33">
            <v>60000</v>
          </cell>
          <cell r="AL33">
            <v>15000</v>
          </cell>
          <cell r="AM33">
            <v>0</v>
          </cell>
          <cell r="AN33">
            <v>75000</v>
          </cell>
          <cell r="AO33">
            <v>9000</v>
          </cell>
          <cell r="AP33">
            <v>0</v>
          </cell>
          <cell r="AQ33">
            <v>84000</v>
          </cell>
          <cell r="AR33">
            <v>0</v>
          </cell>
          <cell r="AS33">
            <v>0</v>
          </cell>
          <cell r="AT33">
            <v>84000</v>
          </cell>
          <cell r="AU33">
            <v>0</v>
          </cell>
          <cell r="AV33">
            <v>84000</v>
          </cell>
          <cell r="AW33">
            <v>630000</v>
          </cell>
          <cell r="AX33"/>
          <cell r="AY33"/>
          <cell r="AZ33"/>
          <cell r="BA33"/>
          <cell r="BB33">
            <v>-546000</v>
          </cell>
          <cell r="BC33"/>
          <cell r="BD33">
            <v>-546000</v>
          </cell>
          <cell r="BE33">
            <v>0</v>
          </cell>
          <cell r="BF33">
            <v>-546000</v>
          </cell>
        </row>
        <row r="34">
          <cell r="A34" t="str">
            <v>AS201657</v>
          </cell>
          <cell r="B34" t="str">
            <v>SEUMOU POLYCARPE</v>
          </cell>
          <cell r="C34">
            <v>0</v>
          </cell>
          <cell r="D34"/>
          <cell r="E34"/>
          <cell r="F34"/>
          <cell r="G34"/>
          <cell r="H34">
            <v>9000</v>
          </cell>
          <cell r="I34">
            <v>0</v>
          </cell>
          <cell r="J34">
            <v>9000</v>
          </cell>
          <cell r="K34">
            <v>9000</v>
          </cell>
          <cell r="L34"/>
          <cell r="M34">
            <v>18000</v>
          </cell>
          <cell r="N34">
            <v>9000</v>
          </cell>
          <cell r="O34">
            <v>0</v>
          </cell>
          <cell r="P34">
            <v>27000</v>
          </cell>
          <cell r="Q34">
            <v>9000</v>
          </cell>
          <cell r="R34">
            <v>0</v>
          </cell>
          <cell r="S34">
            <v>36000</v>
          </cell>
          <cell r="T34">
            <v>9000</v>
          </cell>
          <cell r="U34">
            <v>0</v>
          </cell>
          <cell r="V34">
            <v>45000</v>
          </cell>
          <cell r="W34">
            <v>9000</v>
          </cell>
          <cell r="X34">
            <v>0</v>
          </cell>
          <cell r="Y34">
            <v>54000</v>
          </cell>
          <cell r="Z34">
            <v>9000</v>
          </cell>
          <cell r="AA34">
            <v>0</v>
          </cell>
          <cell r="AB34">
            <v>63000</v>
          </cell>
          <cell r="AC34">
            <v>9000</v>
          </cell>
          <cell r="AD34">
            <v>0</v>
          </cell>
          <cell r="AE34">
            <v>72000</v>
          </cell>
          <cell r="AF34">
            <v>186500</v>
          </cell>
          <cell r="AG34">
            <v>0</v>
          </cell>
          <cell r="AH34">
            <v>258500</v>
          </cell>
          <cell r="AI34">
            <v>9000</v>
          </cell>
          <cell r="AJ34">
            <v>0</v>
          </cell>
          <cell r="AK34">
            <v>267500</v>
          </cell>
          <cell r="AL34">
            <v>9000</v>
          </cell>
          <cell r="AM34">
            <v>0</v>
          </cell>
          <cell r="AN34">
            <v>276500</v>
          </cell>
          <cell r="AO34">
            <v>9000</v>
          </cell>
          <cell r="AP34">
            <v>0</v>
          </cell>
          <cell r="AQ34">
            <v>285500</v>
          </cell>
          <cell r="AR34">
            <v>0</v>
          </cell>
          <cell r="AS34">
            <v>0</v>
          </cell>
          <cell r="AT34">
            <v>285500</v>
          </cell>
          <cell r="AU34">
            <v>0</v>
          </cell>
          <cell r="AV34">
            <v>285500</v>
          </cell>
          <cell r="AW34">
            <v>630000</v>
          </cell>
          <cell r="AX34"/>
          <cell r="AY34"/>
          <cell r="AZ34"/>
          <cell r="BA34"/>
          <cell r="BB34">
            <v>-344500</v>
          </cell>
          <cell r="BC34"/>
          <cell r="BD34">
            <v>-344500</v>
          </cell>
          <cell r="BE34">
            <v>0</v>
          </cell>
          <cell r="BF34">
            <v>-344500</v>
          </cell>
        </row>
        <row r="35">
          <cell r="A35" t="str">
            <v>AS201656</v>
          </cell>
          <cell r="B35" t="str">
            <v>NOUBE ETIENNE</v>
          </cell>
          <cell r="C35">
            <v>0</v>
          </cell>
          <cell r="D35"/>
          <cell r="E35"/>
          <cell r="F35"/>
          <cell r="G35"/>
          <cell r="H35">
            <v>9000</v>
          </cell>
          <cell r="I35">
            <v>0</v>
          </cell>
          <cell r="J35">
            <v>9000</v>
          </cell>
          <cell r="K35">
            <v>9000</v>
          </cell>
          <cell r="L35"/>
          <cell r="M35">
            <v>18000</v>
          </cell>
          <cell r="N35">
            <v>19000</v>
          </cell>
          <cell r="O35">
            <v>0</v>
          </cell>
          <cell r="P35">
            <v>37000</v>
          </cell>
          <cell r="Q35">
            <v>19000</v>
          </cell>
          <cell r="R35">
            <v>0</v>
          </cell>
          <cell r="S35">
            <v>56000</v>
          </cell>
          <cell r="T35">
            <v>409000</v>
          </cell>
          <cell r="U35">
            <v>0</v>
          </cell>
          <cell r="V35">
            <v>465000</v>
          </cell>
          <cell r="W35">
            <v>14000</v>
          </cell>
          <cell r="X35">
            <v>0</v>
          </cell>
          <cell r="Y35">
            <v>479000</v>
          </cell>
          <cell r="Z35">
            <v>19000</v>
          </cell>
          <cell r="AA35">
            <v>0</v>
          </cell>
          <cell r="AB35">
            <v>498000</v>
          </cell>
          <cell r="AC35">
            <v>19000</v>
          </cell>
          <cell r="AD35">
            <v>0</v>
          </cell>
          <cell r="AE35">
            <v>517000</v>
          </cell>
          <cell r="AF35">
            <v>146500</v>
          </cell>
          <cell r="AG35">
            <v>0</v>
          </cell>
          <cell r="AH35">
            <v>663500</v>
          </cell>
          <cell r="AI35">
            <v>19000</v>
          </cell>
          <cell r="AJ35">
            <v>518.8169195433544</v>
          </cell>
          <cell r="AK35">
            <v>683018.81691954331</v>
          </cell>
          <cell r="AL35">
            <v>19000</v>
          </cell>
          <cell r="AM35">
            <v>0</v>
          </cell>
          <cell r="AN35">
            <v>702018.81691954331</v>
          </cell>
          <cell r="AO35">
            <v>19000</v>
          </cell>
          <cell r="AP35">
            <v>0</v>
          </cell>
          <cell r="AQ35">
            <v>721018.81691954331</v>
          </cell>
          <cell r="AR35">
            <v>0</v>
          </cell>
          <cell r="AS35">
            <v>0</v>
          </cell>
          <cell r="AT35">
            <v>720500</v>
          </cell>
          <cell r="AU35">
            <v>518.8169195433544</v>
          </cell>
          <cell r="AV35">
            <v>721018.81691954331</v>
          </cell>
          <cell r="AW35">
            <v>630000</v>
          </cell>
          <cell r="AX35"/>
          <cell r="AY35"/>
          <cell r="AZ35"/>
          <cell r="BA35"/>
          <cell r="BB35">
            <v>91018.816919543315</v>
          </cell>
          <cell r="BC35"/>
          <cell r="BD35">
            <v>91018.816919543315</v>
          </cell>
          <cell r="BE35">
            <v>0</v>
          </cell>
          <cell r="BF35">
            <v>91018.816919543315</v>
          </cell>
        </row>
        <row r="36">
          <cell r="A36" t="str">
            <v>AS201658</v>
          </cell>
          <cell r="B36" t="str">
            <v>YANTCHOU GERVAIS</v>
          </cell>
          <cell r="C36">
            <v>0</v>
          </cell>
          <cell r="D36"/>
          <cell r="E36"/>
          <cell r="F36"/>
          <cell r="G36"/>
          <cell r="H36">
            <v>9000</v>
          </cell>
          <cell r="I36">
            <v>0</v>
          </cell>
          <cell r="J36">
            <v>9000</v>
          </cell>
          <cell r="K36">
            <v>9000</v>
          </cell>
          <cell r="L36"/>
          <cell r="M36">
            <v>18000</v>
          </cell>
          <cell r="N36">
            <v>44000</v>
          </cell>
          <cell r="O36">
            <v>0</v>
          </cell>
          <cell r="P36">
            <v>62000</v>
          </cell>
          <cell r="Q36">
            <v>66000</v>
          </cell>
          <cell r="R36">
            <v>0</v>
          </cell>
          <cell r="S36">
            <v>128000</v>
          </cell>
          <cell r="T36">
            <v>69000</v>
          </cell>
          <cell r="U36">
            <v>0</v>
          </cell>
          <cell r="V36">
            <v>197000</v>
          </cell>
          <cell r="W36">
            <v>69000</v>
          </cell>
          <cell r="X36">
            <v>0</v>
          </cell>
          <cell r="Y36">
            <v>266000</v>
          </cell>
          <cell r="Z36">
            <v>69000</v>
          </cell>
          <cell r="AA36">
            <v>0</v>
          </cell>
          <cell r="AB36">
            <v>335000</v>
          </cell>
          <cell r="AC36">
            <v>69000</v>
          </cell>
          <cell r="AD36">
            <v>0</v>
          </cell>
          <cell r="AE36">
            <v>404000</v>
          </cell>
          <cell r="AF36">
            <v>9000</v>
          </cell>
          <cell r="AG36">
            <v>0</v>
          </cell>
          <cell r="AH36">
            <v>413000</v>
          </cell>
          <cell r="AI36">
            <v>276000</v>
          </cell>
          <cell r="AJ36">
            <v>523.758033062815</v>
          </cell>
          <cell r="AK36">
            <v>689523.7580330628</v>
          </cell>
          <cell r="AL36">
            <v>39000</v>
          </cell>
          <cell r="AM36">
            <v>0</v>
          </cell>
          <cell r="AN36">
            <v>728523.7580330628</v>
          </cell>
          <cell r="AO36">
            <v>9000</v>
          </cell>
          <cell r="AP36">
            <v>0</v>
          </cell>
          <cell r="AQ36">
            <v>737523.7580330628</v>
          </cell>
          <cell r="AR36">
            <v>0</v>
          </cell>
          <cell r="AS36">
            <v>0</v>
          </cell>
          <cell r="AT36">
            <v>737000</v>
          </cell>
          <cell r="AU36">
            <v>523.758033062815</v>
          </cell>
          <cell r="AV36">
            <v>737523.7580330628</v>
          </cell>
          <cell r="AW36">
            <v>630000</v>
          </cell>
          <cell r="AX36"/>
          <cell r="AY36"/>
          <cell r="AZ36"/>
          <cell r="BA36"/>
          <cell r="BB36">
            <v>107523.7580330628</v>
          </cell>
          <cell r="BC36"/>
          <cell r="BD36">
            <v>107523.7580330628</v>
          </cell>
          <cell r="BE36">
            <v>0</v>
          </cell>
          <cell r="BF36">
            <v>107523.7580330628</v>
          </cell>
        </row>
        <row r="37">
          <cell r="A37" t="str">
            <v>AS201636</v>
          </cell>
          <cell r="B37" t="str">
            <v>SIME FONGANG ERIC</v>
          </cell>
          <cell r="C37"/>
          <cell r="D37"/>
          <cell r="E37"/>
          <cell r="F37"/>
          <cell r="G37"/>
          <cell r="H37"/>
          <cell r="I37">
            <v>0</v>
          </cell>
          <cell r="J37">
            <v>0</v>
          </cell>
          <cell r="K37"/>
          <cell r="L37"/>
          <cell r="M37"/>
          <cell r="N37"/>
          <cell r="O37"/>
          <cell r="P37"/>
          <cell r="Q37"/>
          <cell r="R37"/>
          <cell r="S37"/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153468</v>
          </cell>
          <cell r="AA37">
            <v>0</v>
          </cell>
          <cell r="AB37">
            <v>153468</v>
          </cell>
          <cell r="AC37">
            <v>0</v>
          </cell>
          <cell r="AD37">
            <v>0</v>
          </cell>
          <cell r="AE37">
            <v>153468</v>
          </cell>
          <cell r="AF37">
            <v>0</v>
          </cell>
          <cell r="AG37">
            <v>0</v>
          </cell>
          <cell r="AH37">
            <v>153468</v>
          </cell>
          <cell r="AI37">
            <v>0</v>
          </cell>
          <cell r="AJ37">
            <v>0</v>
          </cell>
          <cell r="AK37">
            <v>153468</v>
          </cell>
          <cell r="AL37">
            <v>0</v>
          </cell>
          <cell r="AM37">
            <v>0</v>
          </cell>
          <cell r="AN37">
            <v>153468</v>
          </cell>
          <cell r="AO37">
            <v>0</v>
          </cell>
          <cell r="AP37">
            <v>0</v>
          </cell>
          <cell r="AQ37">
            <v>153468</v>
          </cell>
          <cell r="AR37">
            <v>0</v>
          </cell>
          <cell r="AS37">
            <v>0</v>
          </cell>
          <cell r="AT37">
            <v>153468</v>
          </cell>
          <cell r="AU37">
            <v>0</v>
          </cell>
          <cell r="AV37">
            <v>153468</v>
          </cell>
          <cell r="AW37"/>
          <cell r="AX37"/>
          <cell r="AY37"/>
          <cell r="AZ37"/>
          <cell r="BA37"/>
          <cell r="BB37">
            <v>153468</v>
          </cell>
          <cell r="BC37"/>
          <cell r="BD37">
            <v>153468</v>
          </cell>
          <cell r="BE37">
            <v>0</v>
          </cell>
          <cell r="BF37">
            <v>153468</v>
          </cell>
        </row>
        <row r="38">
          <cell r="A38"/>
          <cell r="B38"/>
          <cell r="C38"/>
          <cell r="D38"/>
          <cell r="E38"/>
          <cell r="F38"/>
          <cell r="G38"/>
          <cell r="H38"/>
          <cell r="I38">
            <v>0</v>
          </cell>
          <cell r="J38">
            <v>0</v>
          </cell>
          <cell r="K38"/>
          <cell r="L38"/>
          <cell r="M38"/>
          <cell r="N38"/>
          <cell r="O38"/>
          <cell r="P38"/>
          <cell r="Q38"/>
          <cell r="R38"/>
          <cell r="S38"/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/>
          <cell r="AX38"/>
          <cell r="AY38"/>
          <cell r="AZ38"/>
          <cell r="BA38"/>
          <cell r="BB38">
            <v>0</v>
          </cell>
          <cell r="BC38"/>
          <cell r="BD38">
            <v>0</v>
          </cell>
          <cell r="BE38">
            <v>0</v>
          </cell>
          <cell r="BF38">
            <v>0</v>
          </cell>
        </row>
        <row r="39">
          <cell r="A39" t="str">
            <v>TOTAL 1</v>
          </cell>
          <cell r="B39"/>
          <cell r="C39">
            <v>15600000</v>
          </cell>
          <cell r="D39">
            <v>4361559.5618113521</v>
          </cell>
          <cell r="E39">
            <v>19961559.561811358</v>
          </cell>
          <cell r="F39">
            <v>1267999.9721653415</v>
          </cell>
          <cell r="G39">
            <v>21229559.533976696</v>
          </cell>
          <cell r="H39">
            <v>1050000</v>
          </cell>
          <cell r="I39">
            <v>0</v>
          </cell>
          <cell r="J39">
            <v>21638858.533976696</v>
          </cell>
          <cell r="K39">
            <v>328000</v>
          </cell>
          <cell r="L39">
            <v>29999.999361462018</v>
          </cell>
          <cell r="M39">
            <v>21996858.533338156</v>
          </cell>
          <cell r="N39">
            <v>345000</v>
          </cell>
          <cell r="O39">
            <v>5999.999873811852</v>
          </cell>
          <cell r="P39">
            <v>22347858.533211969</v>
          </cell>
          <cell r="Q39">
            <v>386000</v>
          </cell>
          <cell r="R39">
            <v>203999.99576361969</v>
          </cell>
          <cell r="S39">
            <v>22937858.528975591</v>
          </cell>
          <cell r="T39">
            <v>882000</v>
          </cell>
          <cell r="U39">
            <v>29999.999387507316</v>
          </cell>
          <cell r="V39">
            <v>23849858.528363094</v>
          </cell>
          <cell r="W39">
            <v>426500</v>
          </cell>
          <cell r="X39">
            <v>74199.998506150325</v>
          </cell>
          <cell r="Y39">
            <v>24350558.526869249</v>
          </cell>
          <cell r="Z39">
            <v>561768</v>
          </cell>
          <cell r="AA39">
            <v>49999.999006147213</v>
          </cell>
          <cell r="AB39">
            <v>24962326.52587539</v>
          </cell>
          <cell r="AC39">
            <v>394000</v>
          </cell>
          <cell r="AD39">
            <v>63999.998743513395</v>
          </cell>
          <cell r="AE39">
            <v>25420326.524618912</v>
          </cell>
          <cell r="AF39">
            <v>774500</v>
          </cell>
          <cell r="AG39">
            <v>0</v>
          </cell>
          <cell r="AH39">
            <v>26194826.524618916</v>
          </cell>
          <cell r="AI39">
            <v>596000</v>
          </cell>
          <cell r="AJ39">
            <v>19999.999638628928</v>
          </cell>
          <cell r="AK39">
            <v>26810826.524257537</v>
          </cell>
          <cell r="AL39">
            <v>372500</v>
          </cell>
          <cell r="AM39">
            <v>0</v>
          </cell>
          <cell r="AN39">
            <v>27183326.524257537</v>
          </cell>
          <cell r="AO39">
            <v>338000</v>
          </cell>
          <cell r="AP39">
            <v>0</v>
          </cell>
          <cell r="AQ39">
            <v>27521326.524257533</v>
          </cell>
          <cell r="AR39">
            <v>15600000</v>
          </cell>
          <cell r="AS39">
            <v>4361559.5618113521</v>
          </cell>
          <cell r="AT39">
            <v>5813567</v>
          </cell>
          <cell r="AU39">
            <v>1746199.9624461823</v>
          </cell>
          <cell r="AV39">
            <v>27521326.524257533</v>
          </cell>
          <cell r="AW39">
            <v>18900000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8621326.5242575333</v>
          </cell>
          <cell r="BC39"/>
          <cell r="BD39">
            <v>-8621326.5242575333</v>
          </cell>
          <cell r="BE39">
            <v>0</v>
          </cell>
          <cell r="BF39">
            <v>8621326.5242575351</v>
          </cell>
        </row>
        <row r="40">
          <cell r="A40">
            <v>28</v>
          </cell>
          <cell r="B40" t="str">
            <v>SIME FONGANG ERIC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/>
          <cell r="I40">
            <v>0</v>
          </cell>
          <cell r="J40">
            <v>0</v>
          </cell>
          <cell r="K40"/>
          <cell r="L40">
            <v>0</v>
          </cell>
          <cell r="M40">
            <v>0</v>
          </cell>
          <cell r="N40"/>
          <cell r="O40">
            <v>0</v>
          </cell>
          <cell r="P40">
            <v>0</v>
          </cell>
          <cell r="Q40"/>
          <cell r="R40">
            <v>0</v>
          </cell>
          <cell r="S40">
            <v>0</v>
          </cell>
          <cell r="T40"/>
          <cell r="U40">
            <v>0</v>
          </cell>
          <cell r="V40">
            <v>0</v>
          </cell>
          <cell r="W40"/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/>
          <cell r="AD40">
            <v>0</v>
          </cell>
          <cell r="AE40">
            <v>0</v>
          </cell>
          <cell r="AF40"/>
          <cell r="AG40">
            <v>0</v>
          </cell>
          <cell r="AH40">
            <v>0</v>
          </cell>
          <cell r="AI40"/>
          <cell r="AJ40">
            <v>0</v>
          </cell>
          <cell r="AK40">
            <v>0</v>
          </cell>
          <cell r="AL40"/>
          <cell r="AM40">
            <v>0</v>
          </cell>
          <cell r="AN40">
            <v>0</v>
          </cell>
          <cell r="AO40"/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/>
          <cell r="AX40"/>
          <cell r="AY40"/>
          <cell r="AZ40"/>
          <cell r="BA40">
            <v>0</v>
          </cell>
          <cell r="BB40">
            <v>0</v>
          </cell>
          <cell r="BC40"/>
          <cell r="BD40"/>
          <cell r="BE40"/>
          <cell r="BF40">
            <v>0</v>
          </cell>
        </row>
        <row r="41">
          <cell r="A41">
            <v>29</v>
          </cell>
          <cell r="B41" t="str">
            <v>TIEYAM ERNEST</v>
          </cell>
          <cell r="C41">
            <v>0</v>
          </cell>
          <cell r="D41"/>
          <cell r="E41">
            <v>0</v>
          </cell>
          <cell r="F41">
            <v>0</v>
          </cell>
          <cell r="G41">
            <v>0</v>
          </cell>
          <cell r="H41"/>
          <cell r="I41">
            <v>0</v>
          </cell>
          <cell r="J41">
            <v>0</v>
          </cell>
          <cell r="K41"/>
          <cell r="L41">
            <v>0</v>
          </cell>
          <cell r="M41">
            <v>0</v>
          </cell>
          <cell r="N41"/>
          <cell r="O41">
            <v>0</v>
          </cell>
          <cell r="P41">
            <v>0</v>
          </cell>
          <cell r="Q41"/>
          <cell r="R41">
            <v>0</v>
          </cell>
          <cell r="S41">
            <v>0</v>
          </cell>
          <cell r="T41"/>
          <cell r="U41">
            <v>0</v>
          </cell>
          <cell r="V41">
            <v>0</v>
          </cell>
          <cell r="W41"/>
          <cell r="X41">
            <v>0</v>
          </cell>
          <cell r="Y41">
            <v>0</v>
          </cell>
          <cell r="Z41"/>
          <cell r="AA41">
            <v>0</v>
          </cell>
          <cell r="AB41">
            <v>0</v>
          </cell>
          <cell r="AC41"/>
          <cell r="AD41">
            <v>0</v>
          </cell>
          <cell r="AE41">
            <v>0</v>
          </cell>
          <cell r="AF41"/>
          <cell r="AG41">
            <v>0</v>
          </cell>
          <cell r="AH41">
            <v>0</v>
          </cell>
          <cell r="AI41"/>
          <cell r="AJ41">
            <v>0</v>
          </cell>
          <cell r="AK41">
            <v>0</v>
          </cell>
          <cell r="AL41"/>
          <cell r="AM41">
            <v>0</v>
          </cell>
          <cell r="AN41">
            <v>0</v>
          </cell>
          <cell r="AO41"/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/>
          <cell r="BD41"/>
          <cell r="BE41"/>
          <cell r="BF41">
            <v>0</v>
          </cell>
        </row>
        <row r="42">
          <cell r="A42" t="str">
            <v>AS201601</v>
          </cell>
          <cell r="B42" t="str">
            <v>BAKOP ACHILLE</v>
          </cell>
          <cell r="C42">
            <v>536000</v>
          </cell>
          <cell r="D42"/>
          <cell r="E42">
            <v>536000</v>
          </cell>
          <cell r="F42">
            <v>0</v>
          </cell>
          <cell r="G42">
            <v>536000</v>
          </cell>
          <cell r="H42">
            <v>-536000</v>
          </cell>
          <cell r="I42">
            <v>0</v>
          </cell>
          <cell r="J42">
            <v>0</v>
          </cell>
          <cell r="K42"/>
          <cell r="L42"/>
          <cell r="M42">
            <v>0</v>
          </cell>
          <cell r="N42"/>
          <cell r="O42"/>
          <cell r="P42">
            <v>0</v>
          </cell>
          <cell r="Q42"/>
          <cell r="R42"/>
          <cell r="S42">
            <v>0</v>
          </cell>
          <cell r="T42"/>
          <cell r="U42"/>
          <cell r="V42">
            <v>0</v>
          </cell>
          <cell r="W42"/>
          <cell r="X42"/>
          <cell r="Y42">
            <v>0</v>
          </cell>
          <cell r="Z42"/>
          <cell r="AA42"/>
          <cell r="AB42">
            <v>0</v>
          </cell>
          <cell r="AC42"/>
          <cell r="AD42"/>
          <cell r="AE42">
            <v>0</v>
          </cell>
          <cell r="AF42"/>
          <cell r="AG42"/>
          <cell r="AH42">
            <v>0</v>
          </cell>
          <cell r="AI42"/>
          <cell r="AJ42"/>
          <cell r="AK42">
            <v>0</v>
          </cell>
          <cell r="AL42"/>
          <cell r="AM42"/>
          <cell r="AN42">
            <v>0</v>
          </cell>
          <cell r="AO42"/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/>
          <cell r="AX42"/>
          <cell r="AY42"/>
          <cell r="AZ42"/>
          <cell r="BA42"/>
          <cell r="BB42">
            <v>0</v>
          </cell>
          <cell r="BC42"/>
          <cell r="BD42">
            <v>536000</v>
          </cell>
          <cell r="BE42"/>
          <cell r="BF42">
            <v>536000</v>
          </cell>
        </row>
        <row r="43">
          <cell r="A43">
            <v>31</v>
          </cell>
          <cell r="B43" t="str">
            <v>NGONGANG JEAN THEODORE</v>
          </cell>
          <cell r="C43">
            <v>257476</v>
          </cell>
          <cell r="D43"/>
          <cell r="E43">
            <v>257476</v>
          </cell>
          <cell r="F43">
            <v>0</v>
          </cell>
          <cell r="G43">
            <v>257476</v>
          </cell>
          <cell r="H43">
            <v>-257476</v>
          </cell>
          <cell r="I43">
            <v>0</v>
          </cell>
          <cell r="J43">
            <v>0</v>
          </cell>
          <cell r="K43"/>
          <cell r="L43"/>
          <cell r="M43">
            <v>0</v>
          </cell>
          <cell r="N43"/>
          <cell r="O43"/>
          <cell r="P43">
            <v>0</v>
          </cell>
          <cell r="Q43"/>
          <cell r="R43"/>
          <cell r="S43">
            <v>0</v>
          </cell>
          <cell r="T43"/>
          <cell r="U43"/>
          <cell r="V43">
            <v>0</v>
          </cell>
          <cell r="W43"/>
          <cell r="X43"/>
          <cell r="Y43">
            <v>0</v>
          </cell>
          <cell r="Z43"/>
          <cell r="AA43"/>
          <cell r="AB43">
            <v>0</v>
          </cell>
          <cell r="AC43"/>
          <cell r="AD43"/>
          <cell r="AE43">
            <v>0</v>
          </cell>
          <cell r="AF43"/>
          <cell r="AG43"/>
          <cell r="AH43">
            <v>0</v>
          </cell>
          <cell r="AI43"/>
          <cell r="AJ43"/>
          <cell r="AK43">
            <v>0</v>
          </cell>
          <cell r="AL43"/>
          <cell r="AM43"/>
          <cell r="AN43">
            <v>0</v>
          </cell>
          <cell r="AO43"/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/>
          <cell r="BB43">
            <v>257476</v>
          </cell>
          <cell r="BC43"/>
          <cell r="BD43">
            <v>257476</v>
          </cell>
          <cell r="BE43"/>
          <cell r="BF43">
            <v>257476</v>
          </cell>
        </row>
        <row r="44">
          <cell r="A44">
            <v>32</v>
          </cell>
          <cell r="B44" t="str">
            <v>NGANHOU JEAN</v>
          </cell>
          <cell r="C44">
            <v>0</v>
          </cell>
          <cell r="D44"/>
          <cell r="E44">
            <v>0</v>
          </cell>
          <cell r="F44">
            <v>0</v>
          </cell>
          <cell r="G44">
            <v>0</v>
          </cell>
          <cell r="H44"/>
          <cell r="I44">
            <v>0</v>
          </cell>
          <cell r="J44">
            <v>0</v>
          </cell>
          <cell r="K44"/>
          <cell r="L44"/>
          <cell r="M44">
            <v>0</v>
          </cell>
          <cell r="N44"/>
          <cell r="O44"/>
          <cell r="P44">
            <v>0</v>
          </cell>
          <cell r="Q44"/>
          <cell r="R44"/>
          <cell r="S44">
            <v>0</v>
          </cell>
          <cell r="T44"/>
          <cell r="U44"/>
          <cell r="V44">
            <v>0</v>
          </cell>
          <cell r="W44"/>
          <cell r="X44"/>
          <cell r="Y44">
            <v>0</v>
          </cell>
          <cell r="Z44"/>
          <cell r="AA44"/>
          <cell r="AB44">
            <v>0</v>
          </cell>
          <cell r="AC44"/>
          <cell r="AD44"/>
          <cell r="AE44">
            <v>0</v>
          </cell>
          <cell r="AF44"/>
          <cell r="AG44"/>
          <cell r="AH44">
            <v>0</v>
          </cell>
          <cell r="AI44"/>
          <cell r="AJ44"/>
          <cell r="AK44">
            <v>0</v>
          </cell>
          <cell r="AL44"/>
          <cell r="AM44"/>
          <cell r="AN44">
            <v>0</v>
          </cell>
          <cell r="AO44"/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/>
          <cell r="AX44"/>
          <cell r="AY44"/>
          <cell r="AZ44"/>
          <cell r="BA44"/>
          <cell r="BB44">
            <v>0</v>
          </cell>
          <cell r="BC44"/>
          <cell r="BD44">
            <v>80000</v>
          </cell>
          <cell r="BE44"/>
          <cell r="BF44">
            <v>80000</v>
          </cell>
        </row>
        <row r="45">
          <cell r="A45">
            <v>33</v>
          </cell>
          <cell r="B45" t="str">
            <v>FOTSO THOMAS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/>
          <cell r="I45">
            <v>0</v>
          </cell>
          <cell r="J45">
            <v>0</v>
          </cell>
          <cell r="K45"/>
          <cell r="L45">
            <v>0</v>
          </cell>
          <cell r="M45">
            <v>0</v>
          </cell>
          <cell r="N45"/>
          <cell r="O45">
            <v>0</v>
          </cell>
          <cell r="P45">
            <v>0</v>
          </cell>
          <cell r="Q45"/>
          <cell r="R45">
            <v>0</v>
          </cell>
          <cell r="S45">
            <v>0</v>
          </cell>
          <cell r="T45"/>
          <cell r="U45">
            <v>0</v>
          </cell>
          <cell r="V45">
            <v>0</v>
          </cell>
          <cell r="W45"/>
          <cell r="X45">
            <v>0</v>
          </cell>
          <cell r="Y45">
            <v>0</v>
          </cell>
          <cell r="Z45"/>
          <cell r="AA45">
            <v>0</v>
          </cell>
          <cell r="AB45">
            <v>0</v>
          </cell>
          <cell r="AC45"/>
          <cell r="AD45">
            <v>0</v>
          </cell>
          <cell r="AE45">
            <v>0</v>
          </cell>
          <cell r="AF45"/>
          <cell r="AG45">
            <v>0</v>
          </cell>
          <cell r="AH45">
            <v>0</v>
          </cell>
          <cell r="AI45"/>
          <cell r="AJ45">
            <v>0</v>
          </cell>
          <cell r="AK45">
            <v>0</v>
          </cell>
          <cell r="AL45"/>
          <cell r="AM45">
            <v>0</v>
          </cell>
          <cell r="AN45">
            <v>0</v>
          </cell>
          <cell r="AO45"/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/>
          <cell r="BD45"/>
          <cell r="BE45"/>
          <cell r="BF45">
            <v>0</v>
          </cell>
        </row>
        <row r="46">
          <cell r="A46"/>
          <cell r="B46" t="str">
            <v>TOTAL 2</v>
          </cell>
          <cell r="C46">
            <v>793476</v>
          </cell>
          <cell r="D46">
            <v>0</v>
          </cell>
          <cell r="E46">
            <v>793476</v>
          </cell>
          <cell r="F46">
            <v>0</v>
          </cell>
          <cell r="G46">
            <v>793476</v>
          </cell>
          <cell r="H46">
            <v>-793476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257476</v>
          </cell>
          <cell r="BC46">
            <v>0</v>
          </cell>
          <cell r="BD46">
            <v>873476</v>
          </cell>
          <cell r="BE46"/>
          <cell r="BF46">
            <v>873476</v>
          </cell>
        </row>
        <row r="47">
          <cell r="A47"/>
          <cell r="B47" t="str">
            <v>TOTAL 1+2</v>
          </cell>
          <cell r="C47">
            <v>16393476</v>
          </cell>
          <cell r="D47">
            <v>4361559.5618113521</v>
          </cell>
          <cell r="E47">
            <v>20755035.561811358</v>
          </cell>
          <cell r="F47">
            <v>1267999.9721653415</v>
          </cell>
          <cell r="G47">
            <v>22023035.533976696</v>
          </cell>
          <cell r="H47">
            <v>256524</v>
          </cell>
          <cell r="I47">
            <v>0</v>
          </cell>
          <cell r="J47">
            <v>21638858.533976696</v>
          </cell>
          <cell r="K47">
            <v>328000</v>
          </cell>
          <cell r="L47">
            <v>29999.999361462018</v>
          </cell>
          <cell r="M47">
            <v>21996858.533338156</v>
          </cell>
          <cell r="N47">
            <v>345000</v>
          </cell>
          <cell r="O47">
            <v>5999.999873811852</v>
          </cell>
          <cell r="P47">
            <v>22347858.533211969</v>
          </cell>
          <cell r="Q47">
            <v>386000</v>
          </cell>
          <cell r="R47">
            <v>203999.99576361969</v>
          </cell>
          <cell r="S47">
            <v>22937858.528975591</v>
          </cell>
          <cell r="T47">
            <v>882000</v>
          </cell>
          <cell r="U47">
            <v>29999.999387507316</v>
          </cell>
          <cell r="V47">
            <v>23849858.528363094</v>
          </cell>
          <cell r="W47">
            <v>426500</v>
          </cell>
          <cell r="X47">
            <v>74199.998506150325</v>
          </cell>
          <cell r="Y47">
            <v>24350558.526869249</v>
          </cell>
          <cell r="Z47">
            <v>561768</v>
          </cell>
          <cell r="AA47">
            <v>49999.999006147213</v>
          </cell>
          <cell r="AB47">
            <v>24962326.52587539</v>
          </cell>
          <cell r="AC47">
            <v>394000</v>
          </cell>
          <cell r="AD47">
            <v>63999.998743513395</v>
          </cell>
          <cell r="AE47">
            <v>25420326.524618912</v>
          </cell>
          <cell r="AF47">
            <v>774500</v>
          </cell>
          <cell r="AG47">
            <v>0</v>
          </cell>
          <cell r="AH47">
            <v>26194826.524618916</v>
          </cell>
          <cell r="AI47">
            <v>596000</v>
          </cell>
          <cell r="AJ47">
            <v>19999.999638628928</v>
          </cell>
          <cell r="AK47">
            <v>26810826.524257537</v>
          </cell>
          <cell r="AL47">
            <v>372500</v>
          </cell>
          <cell r="AM47">
            <v>0</v>
          </cell>
          <cell r="AN47">
            <v>27183326.524257537</v>
          </cell>
          <cell r="AO47">
            <v>338000</v>
          </cell>
          <cell r="AP47">
            <v>0</v>
          </cell>
          <cell r="AQ47">
            <v>27521326.524257533</v>
          </cell>
          <cell r="AR47">
            <v>15600000</v>
          </cell>
          <cell r="AS47">
            <v>4361559.5618113521</v>
          </cell>
          <cell r="AT47">
            <v>5813567</v>
          </cell>
          <cell r="AU47">
            <v>1746199.9624461823</v>
          </cell>
          <cell r="AV47">
            <v>27521326.524257533</v>
          </cell>
          <cell r="AW47">
            <v>18900000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8878802.5242575333</v>
          </cell>
          <cell r="BC47">
            <v>0</v>
          </cell>
          <cell r="BD47">
            <v>-7747850.5242575333</v>
          </cell>
          <cell r="BE47">
            <v>0</v>
          </cell>
          <cell r="BF47">
            <v>9494802.5242575351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  <sheetName val="HISTOJANV24"/>
      <sheetName val="HISTODEC24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T7">
            <v>20000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1105000</v>
          </cell>
          <cell r="Z8">
            <v>1000000</v>
          </cell>
          <cell r="AA8" t="str">
            <v>BANQUE</v>
          </cell>
          <cell r="AQ8">
            <v>0</v>
          </cell>
          <cell r="AR8">
            <v>0</v>
          </cell>
          <cell r="AS8">
            <v>7000</v>
          </cell>
          <cell r="AT8">
            <v>20000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T9">
            <v>20000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7000</v>
          </cell>
          <cell r="AT10">
            <v>20000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206000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8000</v>
          </cell>
          <cell r="AT11">
            <v>20000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12000</v>
          </cell>
          <cell r="AT12">
            <v>20000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C13">
            <v>23000</v>
          </cell>
          <cell r="AF13" t="str">
            <v>BANQUE</v>
          </cell>
          <cell r="AQ13">
            <v>0</v>
          </cell>
          <cell r="AR13">
            <v>0</v>
          </cell>
          <cell r="AS13">
            <v>12000</v>
          </cell>
          <cell r="AT13">
            <v>20000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D15">
            <v>75000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T15">
            <v>20000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T16">
            <v>20000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AQ17">
            <v>0</v>
          </cell>
          <cell r="AR17">
            <v>0</v>
          </cell>
          <cell r="AS17">
            <v>7000</v>
          </cell>
          <cell r="AT17">
            <v>20000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7000</v>
          </cell>
          <cell r="AT18">
            <v>20000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Z19">
            <v>1000000</v>
          </cell>
          <cell r="AA19" t="str">
            <v>BANQUE</v>
          </cell>
          <cell r="AQ19">
            <v>0</v>
          </cell>
          <cell r="AR19">
            <v>0</v>
          </cell>
          <cell r="AS19">
            <v>7000</v>
          </cell>
          <cell r="AT19">
            <v>20000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Z20">
            <v>1000000</v>
          </cell>
          <cell r="AA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T20">
            <v>20000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Z21">
            <v>500000</v>
          </cell>
          <cell r="AA21" t="str">
            <v>BANQUE</v>
          </cell>
          <cell r="AQ21">
            <v>0</v>
          </cell>
          <cell r="AR21">
            <v>0</v>
          </cell>
          <cell r="AS21">
            <v>7000</v>
          </cell>
          <cell r="AT21">
            <v>20000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T22">
            <v>20000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Z23">
            <v>600000</v>
          </cell>
          <cell r="AA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T23">
            <v>20000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42000</v>
          </cell>
          <cell r="AT24">
            <v>20000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7000</v>
          </cell>
          <cell r="AT25">
            <v>20000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F25">
            <v>120000</v>
          </cell>
          <cell r="BG25">
            <v>12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41000</v>
          </cell>
          <cell r="Q26">
            <v>38500</v>
          </cell>
          <cell r="S26">
            <v>1000000</v>
          </cell>
          <cell r="T26" t="str">
            <v>BANQUE</v>
          </cell>
          <cell r="U26">
            <v>1184500</v>
          </cell>
          <cell r="Z26">
            <v>1000000</v>
          </cell>
          <cell r="AA26" t="str">
            <v>BANQUE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T26">
            <v>20000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AQ28">
            <v>0</v>
          </cell>
          <cell r="AR28">
            <v>0</v>
          </cell>
          <cell r="AS28">
            <v>7000</v>
          </cell>
          <cell r="AT28">
            <v>20000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T29">
            <v>20000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-100000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C30">
            <v>23000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T30">
            <v>20000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B30">
            <v>100000</v>
          </cell>
          <cell r="BD30">
            <v>177000</v>
          </cell>
          <cell r="BF30">
            <v>0</v>
          </cell>
          <cell r="BG30">
            <v>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20000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800000</v>
          </cell>
          <cell r="T32" t="str">
            <v>BANQUE</v>
          </cell>
          <cell r="U32">
            <v>905000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7000</v>
          </cell>
          <cell r="AT32">
            <v>20000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Z33">
            <v>1000000</v>
          </cell>
          <cell r="AA33" t="str">
            <v>BANQUE</v>
          </cell>
          <cell r="AQ33">
            <v>0</v>
          </cell>
          <cell r="AR33">
            <v>0</v>
          </cell>
          <cell r="AS33">
            <v>7000</v>
          </cell>
          <cell r="AT33">
            <v>20000</v>
          </cell>
          <cell r="AW33">
            <v>0</v>
          </cell>
          <cell r="AX33">
            <v>0</v>
          </cell>
          <cell r="AY33">
            <v>0</v>
          </cell>
          <cell r="AZ33">
            <v>970000</v>
          </cell>
          <cell r="BD33">
            <v>970000</v>
          </cell>
          <cell r="BF33">
            <v>30000</v>
          </cell>
          <cell r="BG33">
            <v>3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AQ35">
            <v>0</v>
          </cell>
          <cell r="AR35">
            <v>0</v>
          </cell>
          <cell r="AS35">
            <v>7000</v>
          </cell>
          <cell r="AT35">
            <v>20000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T36">
            <v>20000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</row>
        <row r="38">
          <cell r="B38" t="str">
            <v>TOTAUX</v>
          </cell>
          <cell r="C38">
            <v>420000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540000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17287000</v>
          </cell>
          <cell r="BA38">
            <v>0</v>
          </cell>
          <cell r="BB38">
            <v>109000</v>
          </cell>
          <cell r="BC38">
            <v>0</v>
          </cell>
          <cell r="BD38">
            <v>17249000</v>
          </cell>
          <cell r="BF38">
            <v>1268000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  <sheetName val="MONTVERST"/>
      <sheetName val="MODEVERSEMENT"/>
      <sheetName val="COMPTE BANQUE"/>
      <sheetName val="HISTOBQUEJANV25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C36" t="str">
            <v>SIMO FONGANG ERIC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  <row r="40">
          <cell r="A40" t="str">
            <v>AS201662</v>
          </cell>
          <cell r="B40">
            <v>44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3"/>
      <sheetName val="ENTREE"/>
      <sheetName val="SORTIE"/>
      <sheetName val="DETAILFICHECASSATION"/>
      <sheetName val="SITUATION GUY"/>
      <sheetName val="SYNTHESECOMPTE"/>
      <sheetName val="DISPOFONDS"/>
      <sheetName val="DETAILFPNDSROULT"/>
      <sheetName val="DETAILFRAISEXCEPTIONNEL"/>
      <sheetName val="DETAILFONDSMUTUEL"/>
      <sheetName val="DETAILPENALITES"/>
      <sheetName val="DETAILCOLLATION"/>
      <sheetName val="DETAILFOYER"/>
      <sheetName val="DETAIL PRETENCIRCULATION"/>
      <sheetName val="DETAILLISTEROUGE"/>
      <sheetName val="DETAILINSCRIPTION"/>
      <sheetName val="INTERETTONT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816543.52134848095</v>
          </cell>
          <cell r="E6">
            <v>69979.737573760693</v>
          </cell>
          <cell r="F6">
            <v>0</v>
          </cell>
          <cell r="I6">
            <v>886523.25892224163</v>
          </cell>
          <cell r="J6">
            <v>0</v>
          </cell>
          <cell r="N6">
            <v>0</v>
          </cell>
          <cell r="O6">
            <v>886523.25892224163</v>
          </cell>
          <cell r="Q6">
            <v>886523.25892224163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13482.496361002119</v>
          </cell>
          <cell r="F7">
            <v>705000</v>
          </cell>
          <cell r="I7">
            <v>718482.49636100209</v>
          </cell>
          <cell r="J7">
            <v>0</v>
          </cell>
          <cell r="K7">
            <v>40000</v>
          </cell>
          <cell r="L7">
            <v>700000</v>
          </cell>
          <cell r="N7">
            <v>740000</v>
          </cell>
          <cell r="O7">
            <v>-21517.503638997907</v>
          </cell>
          <cell r="R7">
            <v>678482.49636100209</v>
          </cell>
        </row>
        <row r="8">
          <cell r="A8" t="str">
            <v>AS201602</v>
          </cell>
          <cell r="B8" t="str">
            <v>BOUTCHOUANG WILLIAM</v>
          </cell>
          <cell r="C8">
            <v>600000</v>
          </cell>
          <cell r="D8">
            <v>7024</v>
          </cell>
          <cell r="E8">
            <v>53009.126263205231</v>
          </cell>
          <cell r="F8">
            <v>108000</v>
          </cell>
          <cell r="I8">
            <v>168033.12626320522</v>
          </cell>
          <cell r="J8">
            <v>19000</v>
          </cell>
          <cell r="K8">
            <v>40000</v>
          </cell>
          <cell r="L8">
            <v>100000</v>
          </cell>
          <cell r="N8">
            <v>159000</v>
          </cell>
          <cell r="O8">
            <v>9033.1262632052239</v>
          </cell>
          <cell r="P8">
            <v>9000</v>
          </cell>
          <cell r="Q8">
            <v>33.12626320522395</v>
          </cell>
          <cell r="R8">
            <v>700000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600000</v>
          </cell>
          <cell r="D9">
            <v>4810</v>
          </cell>
          <cell r="E9">
            <v>53547.826243040035</v>
          </cell>
          <cell r="F9">
            <v>169000</v>
          </cell>
          <cell r="I9">
            <v>227357.82624304004</v>
          </cell>
          <cell r="J9">
            <v>9000</v>
          </cell>
          <cell r="K9">
            <v>40000</v>
          </cell>
          <cell r="L9">
            <v>100000</v>
          </cell>
          <cell r="M9">
            <v>25000</v>
          </cell>
          <cell r="N9">
            <v>174000</v>
          </cell>
          <cell r="O9">
            <v>53357.826243040035</v>
          </cell>
          <cell r="Q9">
            <v>53357.826243040035</v>
          </cell>
          <cell r="R9">
            <v>700000</v>
          </cell>
        </row>
        <row r="10">
          <cell r="A10" t="str">
            <v>AS201654</v>
          </cell>
          <cell r="B10" t="str">
            <v>DJOMOU TCHAPDA</v>
          </cell>
          <cell r="C10">
            <v>600000</v>
          </cell>
          <cell r="D10">
            <v>48710</v>
          </cell>
          <cell r="E10">
            <v>56584.679295905429</v>
          </cell>
          <cell r="F10">
            <v>106000</v>
          </cell>
          <cell r="I10">
            <v>211294.67929590543</v>
          </cell>
          <cell r="J10">
            <v>22000</v>
          </cell>
          <cell r="K10">
            <v>40000</v>
          </cell>
          <cell r="L10">
            <v>100000</v>
          </cell>
          <cell r="N10">
            <v>162000</v>
          </cell>
          <cell r="O10">
            <v>49294.679295905429</v>
          </cell>
          <cell r="P10">
            <v>49000</v>
          </cell>
          <cell r="Q10">
            <v>294.67929590542917</v>
          </cell>
          <cell r="R10">
            <v>700000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600000</v>
          </cell>
          <cell r="D11">
            <v>4750</v>
          </cell>
          <cell r="E11">
            <v>52946.76789740676</v>
          </cell>
          <cell r="F11">
            <v>117500</v>
          </cell>
          <cell r="I11">
            <v>175196.76789740677</v>
          </cell>
          <cell r="J11">
            <v>0</v>
          </cell>
          <cell r="K11">
            <v>40000</v>
          </cell>
          <cell r="L11">
            <v>100000</v>
          </cell>
          <cell r="N11">
            <v>140000</v>
          </cell>
          <cell r="O11">
            <v>35196.767897406768</v>
          </cell>
          <cell r="P11">
            <v>33000</v>
          </cell>
          <cell r="Q11">
            <v>2196.7678974067676</v>
          </cell>
          <cell r="R11">
            <v>700000</v>
          </cell>
        </row>
        <row r="12">
          <cell r="A12" t="str">
            <v>AS201608</v>
          </cell>
          <cell r="B12" t="str">
            <v>DJUOMBESSY ANTOINE</v>
          </cell>
          <cell r="C12">
            <v>600000</v>
          </cell>
          <cell r="D12">
            <v>10719</v>
          </cell>
          <cell r="E12">
            <v>55194.277451620372</v>
          </cell>
          <cell r="F12">
            <v>309600</v>
          </cell>
          <cell r="I12">
            <v>375513.27745162038</v>
          </cell>
          <cell r="J12">
            <v>0</v>
          </cell>
          <cell r="K12">
            <v>40000</v>
          </cell>
          <cell r="L12">
            <v>100000</v>
          </cell>
          <cell r="M12">
            <v>20000</v>
          </cell>
          <cell r="N12">
            <v>160000</v>
          </cell>
          <cell r="O12">
            <v>215513.27745162038</v>
          </cell>
          <cell r="P12">
            <v>201000</v>
          </cell>
          <cell r="Q12">
            <v>14513.277451620379</v>
          </cell>
          <cell r="R12">
            <v>700000</v>
          </cell>
        </row>
        <row r="13">
          <cell r="A13" t="str">
            <v>AS201651</v>
          </cell>
          <cell r="B13" t="str">
            <v>DOMOU FABIEN</v>
          </cell>
          <cell r="C13">
            <v>600000</v>
          </cell>
          <cell r="D13">
            <v>584</v>
          </cell>
          <cell r="E13">
            <v>52457.235805909797</v>
          </cell>
          <cell r="F13">
            <v>108000</v>
          </cell>
          <cell r="I13">
            <v>161041.23580590979</v>
          </cell>
          <cell r="J13">
            <v>0</v>
          </cell>
          <cell r="K13">
            <v>40000</v>
          </cell>
          <cell r="L13">
            <v>100000</v>
          </cell>
          <cell r="N13">
            <v>140000</v>
          </cell>
          <cell r="O13">
            <v>21041.23580590979</v>
          </cell>
          <cell r="P13">
            <v>21000</v>
          </cell>
          <cell r="Q13">
            <v>41.235805909789633</v>
          </cell>
          <cell r="R13">
            <v>700000</v>
          </cell>
        </row>
        <row r="14">
          <cell r="A14" t="str">
            <v>AS201609</v>
          </cell>
          <cell r="B14" t="str">
            <v>DONHOU DAVID</v>
          </cell>
          <cell r="C14">
            <v>600000</v>
          </cell>
          <cell r="D14">
            <v>458343</v>
          </cell>
          <cell r="E14">
            <v>91688.291016573858</v>
          </cell>
          <cell r="F14">
            <v>108000</v>
          </cell>
          <cell r="I14">
            <v>658031.2910165739</v>
          </cell>
          <cell r="J14">
            <v>0</v>
          </cell>
          <cell r="K14">
            <v>40000</v>
          </cell>
          <cell r="L14">
            <v>100000</v>
          </cell>
          <cell r="N14">
            <v>140000</v>
          </cell>
          <cell r="O14">
            <v>518031.2910165739</v>
          </cell>
          <cell r="Q14">
            <v>518031.2910165739</v>
          </cell>
          <cell r="R14">
            <v>700000</v>
          </cell>
        </row>
        <row r="15">
          <cell r="A15" t="str">
            <v>AS201611</v>
          </cell>
          <cell r="B15" t="str">
            <v>HENGUE PAUL OMER</v>
          </cell>
          <cell r="C15">
            <v>600000</v>
          </cell>
          <cell r="D15">
            <v>51112</v>
          </cell>
          <cell r="E15">
            <v>56787.603500921949</v>
          </cell>
          <cell r="F15">
            <v>108000</v>
          </cell>
          <cell r="I15">
            <v>215899.60350092195</v>
          </cell>
          <cell r="J15">
            <v>18000</v>
          </cell>
          <cell r="K15">
            <v>40000</v>
          </cell>
          <cell r="L15">
            <v>100000</v>
          </cell>
          <cell r="N15">
            <v>158000</v>
          </cell>
          <cell r="O15">
            <v>57899.603500921949</v>
          </cell>
          <cell r="Q15">
            <v>57899.603500921949</v>
          </cell>
          <cell r="R15">
            <v>700000</v>
          </cell>
        </row>
        <row r="16">
          <cell r="A16" t="str">
            <v>AS201613</v>
          </cell>
          <cell r="B16" t="str">
            <v>HOTCHO BENJAMIN</v>
          </cell>
          <cell r="C16">
            <v>600000</v>
          </cell>
          <cell r="D16">
            <v>16230</v>
          </cell>
          <cell r="E16">
            <v>57431.20810410157</v>
          </cell>
          <cell r="F16">
            <v>508000</v>
          </cell>
          <cell r="I16">
            <v>581661.20810410159</v>
          </cell>
          <cell r="J16">
            <v>12000</v>
          </cell>
          <cell r="K16">
            <v>40000</v>
          </cell>
          <cell r="L16">
            <v>100000</v>
          </cell>
          <cell r="N16">
            <v>152000</v>
          </cell>
          <cell r="O16">
            <v>429661.20810410159</v>
          </cell>
          <cell r="P16">
            <v>400000</v>
          </cell>
          <cell r="Q16">
            <v>29661.208104101592</v>
          </cell>
          <cell r="R16">
            <v>700000</v>
          </cell>
        </row>
        <row r="17">
          <cell r="A17" t="str">
            <v>AS201617</v>
          </cell>
          <cell r="B17" t="str">
            <v>KOUAMOU MOISE</v>
          </cell>
          <cell r="C17">
            <v>600000</v>
          </cell>
          <cell r="D17">
            <v>53293</v>
          </cell>
          <cell r="E17">
            <v>56974.505152878948</v>
          </cell>
          <cell r="F17">
            <v>108000</v>
          </cell>
          <cell r="I17">
            <v>218267.50515287893</v>
          </cell>
          <cell r="J17">
            <v>9000</v>
          </cell>
          <cell r="K17">
            <v>40000</v>
          </cell>
          <cell r="L17">
            <v>100000</v>
          </cell>
          <cell r="N17">
            <v>149000</v>
          </cell>
          <cell r="O17">
            <v>69267.505152878934</v>
          </cell>
          <cell r="P17">
            <v>60000</v>
          </cell>
          <cell r="Q17">
            <v>9267.5051528789336</v>
          </cell>
          <cell r="R17">
            <v>700000</v>
          </cell>
        </row>
        <row r="18">
          <cell r="A18" t="str">
            <v>AS201619</v>
          </cell>
          <cell r="B18" t="str">
            <v>KOUATCHO MESSACK</v>
          </cell>
          <cell r="C18">
            <v>600000</v>
          </cell>
          <cell r="D18">
            <v>6459</v>
          </cell>
          <cell r="E18">
            <v>52969.628065245146</v>
          </cell>
          <cell r="F18">
            <v>108000</v>
          </cell>
          <cell r="I18">
            <v>167428.62806524514</v>
          </cell>
          <cell r="J18">
            <v>3000</v>
          </cell>
          <cell r="K18">
            <v>40000</v>
          </cell>
          <cell r="L18">
            <v>100000</v>
          </cell>
          <cell r="N18">
            <v>143000</v>
          </cell>
          <cell r="O18">
            <v>24428.628065245139</v>
          </cell>
          <cell r="Q18">
            <v>24428.628065245139</v>
          </cell>
          <cell r="R18">
            <v>700000</v>
          </cell>
        </row>
        <row r="19">
          <cell r="A19" t="str">
            <v>AS201620</v>
          </cell>
          <cell r="B19" t="str">
            <v>LOWE JEAN</v>
          </cell>
          <cell r="C19">
            <v>600000</v>
          </cell>
          <cell r="D19">
            <v>746</v>
          </cell>
          <cell r="E19">
            <v>52471.13072703332</v>
          </cell>
          <cell r="F19">
            <v>108000</v>
          </cell>
          <cell r="I19">
            <v>161217.13072703331</v>
          </cell>
          <cell r="J19">
            <v>20000</v>
          </cell>
          <cell r="K19">
            <v>40000</v>
          </cell>
          <cell r="L19">
            <v>100000</v>
          </cell>
          <cell r="M19">
            <v>25000</v>
          </cell>
          <cell r="N19">
            <v>185000</v>
          </cell>
          <cell r="O19">
            <v>-23782.869272966695</v>
          </cell>
          <cell r="R19">
            <v>676217.13072703336</v>
          </cell>
        </row>
        <row r="20">
          <cell r="A20" t="str">
            <v>AS201649</v>
          </cell>
          <cell r="B20" t="str">
            <v>MBOGNING TUGMA GUY</v>
          </cell>
          <cell r="C20">
            <v>600000</v>
          </cell>
          <cell r="D20">
            <v>47746</v>
          </cell>
          <cell r="E20">
            <v>56463.397241182596</v>
          </cell>
          <cell r="F20">
            <v>108500</v>
          </cell>
          <cell r="I20">
            <v>212709.3972411826</v>
          </cell>
          <cell r="J20">
            <v>0</v>
          </cell>
          <cell r="K20">
            <v>40000</v>
          </cell>
          <cell r="L20">
            <v>100000</v>
          </cell>
          <cell r="N20">
            <v>140000</v>
          </cell>
          <cell r="O20">
            <v>72709.397241182596</v>
          </cell>
          <cell r="P20">
            <v>41000</v>
          </cell>
          <cell r="Q20">
            <v>31709.397241182596</v>
          </cell>
          <cell r="R20">
            <v>700000</v>
          </cell>
        </row>
        <row r="21">
          <cell r="A21" t="str">
            <v>AS201639</v>
          </cell>
          <cell r="B21" t="str">
            <v>NANGUEN MARTIN</v>
          </cell>
          <cell r="C21">
            <v>600000</v>
          </cell>
          <cell r="D21">
            <v>51343</v>
          </cell>
          <cell r="E21">
            <v>56807.362080881765</v>
          </cell>
          <cell r="F21">
            <v>108000</v>
          </cell>
          <cell r="I21">
            <v>216150.36208088178</v>
          </cell>
          <cell r="J21">
            <v>0</v>
          </cell>
          <cell r="K21">
            <v>40000</v>
          </cell>
          <cell r="L21">
            <v>100000</v>
          </cell>
          <cell r="M21">
            <v>25000</v>
          </cell>
          <cell r="N21">
            <v>165000</v>
          </cell>
          <cell r="O21">
            <v>51150.36208088178</v>
          </cell>
          <cell r="P21">
            <v>50000</v>
          </cell>
          <cell r="Q21">
            <v>1150.3620808817795</v>
          </cell>
          <cell r="R21">
            <v>700000</v>
          </cell>
        </row>
        <row r="22">
          <cell r="A22" t="str">
            <v>AS201621</v>
          </cell>
          <cell r="B22" t="str">
            <v>NANKAM APPOLINAIRE</v>
          </cell>
          <cell r="C22">
            <v>600000</v>
          </cell>
          <cell r="D22">
            <v>140918</v>
          </cell>
          <cell r="E22">
            <v>64484.234390188009</v>
          </cell>
          <cell r="F22">
            <v>108000</v>
          </cell>
          <cell r="I22">
            <v>313402.23439018801</v>
          </cell>
          <cell r="J22">
            <v>20000</v>
          </cell>
          <cell r="K22">
            <v>40000</v>
          </cell>
          <cell r="L22">
            <v>100000</v>
          </cell>
          <cell r="N22">
            <v>160000</v>
          </cell>
          <cell r="O22">
            <v>153402.23439018801</v>
          </cell>
          <cell r="P22">
            <v>53000</v>
          </cell>
          <cell r="Q22">
            <v>100402.23439018801</v>
          </cell>
          <cell r="R22">
            <v>700000</v>
          </cell>
        </row>
        <row r="23">
          <cell r="A23" t="str">
            <v>AS201622</v>
          </cell>
          <cell r="B23" t="str">
            <v>NDJOMO ETIENNE</v>
          </cell>
          <cell r="C23">
            <v>600000</v>
          </cell>
          <cell r="D23">
            <v>283210</v>
          </cell>
          <cell r="E23">
            <v>77760.61781197961</v>
          </cell>
          <cell r="F23">
            <v>224000</v>
          </cell>
          <cell r="I23">
            <v>584970.61781197961</v>
          </cell>
          <cell r="J23">
            <v>0</v>
          </cell>
          <cell r="K23">
            <v>40000</v>
          </cell>
          <cell r="L23">
            <v>100000</v>
          </cell>
          <cell r="N23">
            <v>140000</v>
          </cell>
          <cell r="O23">
            <v>444970.61781197961</v>
          </cell>
          <cell r="P23">
            <v>220000</v>
          </cell>
          <cell r="Q23">
            <v>224970.61781197961</v>
          </cell>
          <cell r="R23">
            <v>700000</v>
          </cell>
        </row>
        <row r="24">
          <cell r="A24" t="str">
            <v>AS201624</v>
          </cell>
          <cell r="B24" t="str">
            <v>NGONDIEP CLAUDE</v>
          </cell>
          <cell r="C24">
            <v>600000</v>
          </cell>
          <cell r="D24">
            <v>39787</v>
          </cell>
          <cell r="E24">
            <v>55845.73227114683</v>
          </cell>
          <cell r="F24">
            <v>117000</v>
          </cell>
          <cell r="I24">
            <v>212632.73227114684</v>
          </cell>
          <cell r="J24">
            <v>15000</v>
          </cell>
          <cell r="K24">
            <v>40000</v>
          </cell>
          <cell r="L24">
            <v>100000</v>
          </cell>
          <cell r="N24">
            <v>155000</v>
          </cell>
          <cell r="O24">
            <v>57632.732271146844</v>
          </cell>
          <cell r="Q24">
            <v>57632.732271146844</v>
          </cell>
          <cell r="R24">
            <v>700000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13696</v>
          </cell>
          <cell r="E25">
            <v>53686.784231808502</v>
          </cell>
          <cell r="F25">
            <v>408000</v>
          </cell>
          <cell r="I25">
            <v>475382.7842318085</v>
          </cell>
          <cell r="J25">
            <v>15000</v>
          </cell>
          <cell r="K25">
            <v>40000</v>
          </cell>
          <cell r="L25">
            <v>100000</v>
          </cell>
          <cell r="N25">
            <v>155000</v>
          </cell>
          <cell r="O25">
            <v>320382.7842318085</v>
          </cell>
          <cell r="P25">
            <v>300000</v>
          </cell>
          <cell r="Q25">
            <v>20382.784231808502</v>
          </cell>
          <cell r="R25">
            <v>700000</v>
          </cell>
        </row>
        <row r="26">
          <cell r="A26" t="str">
            <v>AS201628</v>
          </cell>
          <cell r="B26" t="str">
            <v>NKAMGANG JUSTIN DEJOLIE</v>
          </cell>
          <cell r="C26">
            <v>600000</v>
          </cell>
          <cell r="D26">
            <v>575</v>
          </cell>
          <cell r="E26">
            <v>52456.484583758327</v>
          </cell>
          <cell r="F26">
            <v>106000</v>
          </cell>
          <cell r="I26">
            <v>159031.48458375834</v>
          </cell>
          <cell r="J26">
            <v>0</v>
          </cell>
          <cell r="K26">
            <v>40000</v>
          </cell>
          <cell r="L26">
            <v>100000</v>
          </cell>
          <cell r="N26">
            <v>140000</v>
          </cell>
          <cell r="O26">
            <v>19031.484583758342</v>
          </cell>
          <cell r="Q26">
            <v>19031.484583758342</v>
          </cell>
          <cell r="R26">
            <v>700000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0</v>
          </cell>
          <cell r="E27">
            <v>518.81693285918482</v>
          </cell>
          <cell r="F27">
            <v>720500</v>
          </cell>
          <cell r="I27">
            <v>721018.81693285913</v>
          </cell>
          <cell r="J27">
            <v>0</v>
          </cell>
          <cell r="K27">
            <v>40000</v>
          </cell>
          <cell r="L27">
            <v>700000</v>
          </cell>
          <cell r="M27">
            <v>15000</v>
          </cell>
          <cell r="N27">
            <v>755000</v>
          </cell>
          <cell r="O27">
            <v>-33981.183067140868</v>
          </cell>
          <cell r="R27">
            <v>666018.81693285913</v>
          </cell>
        </row>
        <row r="28">
          <cell r="A28" t="str">
            <v>AS201633</v>
          </cell>
          <cell r="B28" t="str">
            <v>PATEGO NJOSSU GUSTAVE</v>
          </cell>
          <cell r="C28">
            <v>600000</v>
          </cell>
          <cell r="D28">
            <v>21452</v>
          </cell>
          <cell r="E28">
            <v>54245.666300758479</v>
          </cell>
          <cell r="F28">
            <v>108000</v>
          </cell>
          <cell r="I28">
            <v>183697.66630075849</v>
          </cell>
          <cell r="J28">
            <v>0</v>
          </cell>
          <cell r="K28">
            <v>40000</v>
          </cell>
          <cell r="L28">
            <v>100000</v>
          </cell>
          <cell r="N28">
            <v>140000</v>
          </cell>
          <cell r="O28">
            <v>43697.666300758487</v>
          </cell>
          <cell r="Q28">
            <v>43697.666300758487</v>
          </cell>
          <cell r="R28">
            <v>700000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0</v>
          </cell>
          <cell r="E29">
            <v>0</v>
          </cell>
          <cell r="F29">
            <v>285500</v>
          </cell>
          <cell r="I29">
            <v>285500</v>
          </cell>
          <cell r="J29">
            <v>0</v>
          </cell>
          <cell r="K29">
            <v>40000</v>
          </cell>
          <cell r="N29">
            <v>40000</v>
          </cell>
          <cell r="O29">
            <v>245500</v>
          </cell>
          <cell r="Q29">
            <v>245500</v>
          </cell>
          <cell r="R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600000</v>
          </cell>
          <cell r="D30">
            <v>200752</v>
          </cell>
          <cell r="E30">
            <v>69612.150550164253</v>
          </cell>
          <cell r="F30">
            <v>108000</v>
          </cell>
          <cell r="I30">
            <v>378364.15055016428</v>
          </cell>
          <cell r="J30">
            <v>34000</v>
          </cell>
          <cell r="K30">
            <v>40000</v>
          </cell>
          <cell r="L30">
            <v>100000</v>
          </cell>
          <cell r="N30">
            <v>174000</v>
          </cell>
          <cell r="O30">
            <v>204364.15055016428</v>
          </cell>
          <cell r="P30">
            <v>100000</v>
          </cell>
          <cell r="Q30">
            <v>104364.15055016428</v>
          </cell>
          <cell r="R30">
            <v>700000</v>
          </cell>
        </row>
        <row r="31">
          <cell r="A31" t="str">
            <v>AS201638</v>
          </cell>
          <cell r="B31" t="str">
            <v>SIMO PIERRE</v>
          </cell>
          <cell r="C31">
            <v>600000</v>
          </cell>
          <cell r="D31">
            <v>103606</v>
          </cell>
          <cell r="E31">
            <v>63580.612182999699</v>
          </cell>
          <cell r="F31">
            <v>218500</v>
          </cell>
          <cell r="I31">
            <v>385686.61218299973</v>
          </cell>
          <cell r="J31">
            <v>0</v>
          </cell>
          <cell r="K31">
            <v>40000</v>
          </cell>
          <cell r="L31">
            <v>100000</v>
          </cell>
          <cell r="M31">
            <v>15000</v>
          </cell>
          <cell r="N31">
            <v>155000</v>
          </cell>
          <cell r="O31">
            <v>230686.61218299973</v>
          </cell>
          <cell r="P31">
            <v>230000</v>
          </cell>
          <cell r="Q31">
            <v>686.61218299972825</v>
          </cell>
          <cell r="R31">
            <v>700000</v>
          </cell>
        </row>
        <row r="32">
          <cell r="A32" t="str">
            <v>AS201641</v>
          </cell>
          <cell r="B32" t="str">
            <v>TCHOUAMOU MATHIEU</v>
          </cell>
          <cell r="C32">
            <v>600000</v>
          </cell>
          <cell r="D32">
            <v>4208</v>
          </cell>
          <cell r="E32">
            <v>52767.8062065169</v>
          </cell>
          <cell r="F32">
            <v>108000</v>
          </cell>
          <cell r="I32">
            <v>164975.80620651689</v>
          </cell>
          <cell r="J32">
            <v>0</v>
          </cell>
          <cell r="K32">
            <v>40000</v>
          </cell>
          <cell r="L32">
            <v>100000</v>
          </cell>
          <cell r="N32">
            <v>140000</v>
          </cell>
          <cell r="O32">
            <v>24975.806206516892</v>
          </cell>
          <cell r="P32">
            <v>24000</v>
          </cell>
          <cell r="Q32">
            <v>975.80620651689242</v>
          </cell>
          <cell r="R32">
            <v>700000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D33">
            <v>0</v>
          </cell>
          <cell r="E33">
            <v>0</v>
          </cell>
          <cell r="F33">
            <v>103000</v>
          </cell>
          <cell r="I33">
            <v>103000</v>
          </cell>
          <cell r="J33">
            <v>0</v>
          </cell>
          <cell r="N33">
            <v>0</v>
          </cell>
          <cell r="O33">
            <v>103000</v>
          </cell>
          <cell r="Q33">
            <v>103000</v>
          </cell>
          <cell r="R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0</v>
          </cell>
          <cell r="E34">
            <v>524.13813217056111</v>
          </cell>
          <cell r="F34">
            <v>737500</v>
          </cell>
          <cell r="I34">
            <v>738024.13813217054</v>
          </cell>
          <cell r="J34">
            <v>0</v>
          </cell>
          <cell r="K34">
            <v>40000</v>
          </cell>
          <cell r="L34">
            <v>700000</v>
          </cell>
          <cell r="N34">
            <v>740000</v>
          </cell>
          <cell r="O34">
            <v>-1975.8618678294588</v>
          </cell>
          <cell r="R34">
            <v>698024.13813217054</v>
          </cell>
        </row>
        <row r="35">
          <cell r="A35" t="str">
            <v>AS201646</v>
          </cell>
          <cell r="B35" t="str">
            <v>YEPMOU JEAN JACQUES</v>
          </cell>
          <cell r="C35">
            <v>600000</v>
          </cell>
          <cell r="D35">
            <v>914734</v>
          </cell>
          <cell r="E35">
            <v>130592.84770588134</v>
          </cell>
          <cell r="F35">
            <v>98000</v>
          </cell>
          <cell r="I35">
            <v>1143326.8477058813</v>
          </cell>
          <cell r="J35">
            <v>0</v>
          </cell>
          <cell r="K35">
            <v>40000</v>
          </cell>
          <cell r="L35">
            <v>100000</v>
          </cell>
          <cell r="N35">
            <v>140000</v>
          </cell>
          <cell r="O35">
            <v>1003326.8477058813</v>
          </cell>
          <cell r="Q35">
            <v>1003326.8477058813</v>
          </cell>
          <cell r="R35">
            <v>700000</v>
          </cell>
        </row>
        <row r="36">
          <cell r="A36" t="str">
            <v>AS201647</v>
          </cell>
          <cell r="B36" t="str">
            <v>YOUMBI EMMANUEL</v>
          </cell>
          <cell r="C36">
            <v>600000</v>
          </cell>
          <cell r="D36">
            <v>1057774</v>
          </cell>
          <cell r="E36">
            <v>143060.96984560182</v>
          </cell>
          <cell r="F36">
            <v>108000</v>
          </cell>
          <cell r="I36">
            <v>1308834.9698456018</v>
          </cell>
          <cell r="J36">
            <v>11000</v>
          </cell>
          <cell r="K36">
            <v>40000</v>
          </cell>
          <cell r="L36">
            <v>100000</v>
          </cell>
          <cell r="N36">
            <v>151000</v>
          </cell>
          <cell r="O36">
            <v>1157834.9698456018</v>
          </cell>
          <cell r="Q36">
            <v>1157834.9698456018</v>
          </cell>
          <cell r="R36">
            <v>700000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JANV23"/>
      <sheetName val="MVTFEV23"/>
      <sheetName val="MVTMARS23"/>
      <sheetName val="MVTAVRIL23"/>
      <sheetName val="MVTMAI23"/>
      <sheetName val="MVTJUIN23"/>
      <sheetName val="MVTJUIL23"/>
      <sheetName val="MVTAOUT23"/>
      <sheetName val="MVTSEPT23"/>
      <sheetName val="MVTOCT23"/>
      <sheetName val="MVTNOV23"/>
      <sheetName val="MVTDEC23"/>
      <sheetName val="MVTRESUME23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9">
          <cell r="G39">
            <v>1267999.9999999998</v>
          </cell>
        </row>
      </sheetData>
      <sheetData sheetId="5">
        <row r="40">
          <cell r="C40">
            <v>15600000</v>
          </cell>
        </row>
      </sheetData>
      <sheetData sheetId="6">
        <row r="40">
          <cell r="G40">
            <v>30000</v>
          </cell>
        </row>
      </sheetData>
      <sheetData sheetId="7">
        <row r="40">
          <cell r="G40">
            <v>6000</v>
          </cell>
        </row>
      </sheetData>
      <sheetData sheetId="8">
        <row r="40">
          <cell r="G40">
            <v>204000.00000000009</v>
          </cell>
        </row>
      </sheetData>
      <sheetData sheetId="9">
        <row r="40">
          <cell r="G40">
            <v>29999.999999999993</v>
          </cell>
        </row>
      </sheetData>
      <sheetData sheetId="10">
        <row r="40">
          <cell r="G40">
            <v>74199.999999999985</v>
          </cell>
        </row>
      </sheetData>
      <sheetData sheetId="11">
        <row r="40">
          <cell r="G40">
            <v>49999.999999999985</v>
          </cell>
        </row>
      </sheetData>
      <sheetData sheetId="12">
        <row r="40">
          <cell r="G40">
            <v>64000</v>
          </cell>
        </row>
      </sheetData>
      <sheetData sheetId="13">
        <row r="40">
          <cell r="G40">
            <v>0</v>
          </cell>
        </row>
      </sheetData>
      <sheetData sheetId="14">
        <row r="40">
          <cell r="G40">
            <v>19999.999999999993</v>
          </cell>
        </row>
      </sheetData>
      <sheetData sheetId="15">
        <row r="6">
          <cell r="F6">
            <v>886523.25892224174</v>
          </cell>
          <cell r="G6">
            <v>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">
          <cell r="B6">
            <v>763899.37129714503</v>
          </cell>
        </row>
      </sheetData>
      <sheetData sheetId="25">
        <row r="6">
          <cell r="B6">
            <v>2518500</v>
          </cell>
        </row>
      </sheetData>
      <sheetData sheetId="26" refreshError="1"/>
      <sheetData sheetId="27">
        <row r="6">
          <cell r="B6">
            <v>319855</v>
          </cell>
        </row>
      </sheetData>
      <sheetData sheetId="28">
        <row r="6">
          <cell r="B6">
            <v>996118</v>
          </cell>
        </row>
      </sheetData>
      <sheetData sheetId="29">
        <row r="6">
          <cell r="B6">
            <v>51453.696796924203</v>
          </cell>
        </row>
      </sheetData>
      <sheetData sheetId="30" refreshError="1"/>
      <sheetData sheetId="31">
        <row r="6">
          <cell r="B6">
            <v>1667000</v>
          </cell>
        </row>
      </sheetData>
      <sheetData sheetId="32">
        <row r="6">
          <cell r="B6">
            <v>1553000</v>
          </cell>
        </row>
      </sheetData>
      <sheetData sheetId="33">
        <row r="6">
          <cell r="B6">
            <v>1132500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Q6">
            <v>0</v>
          </cell>
          <cell r="R6">
            <v>0</v>
          </cell>
          <cell r="U6">
            <v>175000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D6">
            <v>2088500</v>
          </cell>
          <cell r="BF6">
            <v>0</v>
          </cell>
          <cell r="BG6">
            <v>12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669000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40000</v>
          </cell>
          <cell r="M7">
            <v>0</v>
          </cell>
          <cell r="O7">
            <v>0</v>
          </cell>
          <cell r="P7">
            <v>29000</v>
          </cell>
          <cell r="S7">
            <v>600000</v>
          </cell>
          <cell r="T7" t="str">
            <v>BANQUE</v>
          </cell>
          <cell r="U7">
            <v>669000</v>
          </cell>
          <cell r="Z7">
            <v>600000</v>
          </cell>
          <cell r="AA7" t="str">
            <v>BANQUE</v>
          </cell>
          <cell r="AQ7">
            <v>0</v>
          </cell>
          <cell r="AR7">
            <v>0</v>
          </cell>
          <cell r="AS7">
            <v>15000</v>
          </cell>
          <cell r="AW7">
            <v>0</v>
          </cell>
          <cell r="AX7">
            <v>0</v>
          </cell>
          <cell r="AY7">
            <v>0</v>
          </cell>
          <cell r="AZ7">
            <v>564000</v>
          </cell>
          <cell r="BD7">
            <v>564000</v>
          </cell>
          <cell r="BF7">
            <v>36000</v>
          </cell>
          <cell r="BG7">
            <v>6</v>
          </cell>
          <cell r="BH7">
            <v>0</v>
          </cell>
          <cell r="BI7">
            <v>0</v>
          </cell>
          <cell r="BJ7">
            <v>0</v>
          </cell>
          <cell r="BM7">
            <v>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40000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115000</v>
          </cell>
          <cell r="V8">
            <v>19000</v>
          </cell>
          <cell r="Z8">
            <v>500000</v>
          </cell>
          <cell r="AA8" t="str">
            <v>BANQUE</v>
          </cell>
          <cell r="AQ8">
            <v>0</v>
          </cell>
          <cell r="AR8">
            <v>0</v>
          </cell>
          <cell r="AS8">
            <v>15000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D8">
            <v>485000</v>
          </cell>
          <cell r="BF8">
            <v>15000</v>
          </cell>
          <cell r="BG8">
            <v>3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221000</v>
          </cell>
          <cell r="D9">
            <v>386000</v>
          </cell>
          <cell r="E9">
            <v>1000000</v>
          </cell>
          <cell r="F9">
            <v>0</v>
          </cell>
          <cell r="G9">
            <v>0</v>
          </cell>
          <cell r="H9" t="str">
            <v>BANQUE</v>
          </cell>
          <cell r="I9">
            <v>25000</v>
          </cell>
          <cell r="J9">
            <v>1</v>
          </cell>
          <cell r="K9">
            <v>40000</v>
          </cell>
          <cell r="M9">
            <v>0</v>
          </cell>
          <cell r="N9">
            <v>1</v>
          </cell>
          <cell r="O9">
            <v>100000</v>
          </cell>
          <cell r="P9">
            <v>0</v>
          </cell>
          <cell r="R9">
            <v>0</v>
          </cell>
          <cell r="S9">
            <v>1000000</v>
          </cell>
          <cell r="T9" t="str">
            <v>BANQUE</v>
          </cell>
          <cell r="U9">
            <v>1165000</v>
          </cell>
          <cell r="V9">
            <v>9000</v>
          </cell>
          <cell r="Z9">
            <v>1000000</v>
          </cell>
          <cell r="AA9" t="str">
            <v>BANQUE</v>
          </cell>
          <cell r="AQ9">
            <v>0</v>
          </cell>
          <cell r="AR9">
            <v>0</v>
          </cell>
          <cell r="AS9">
            <v>40000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D9">
            <v>880000</v>
          </cell>
          <cell r="BF9">
            <v>120000</v>
          </cell>
          <cell r="BG9">
            <v>12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40000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40000</v>
          </cell>
          <cell r="M10">
            <v>0</v>
          </cell>
          <cell r="O10">
            <v>0</v>
          </cell>
          <cell r="P10">
            <v>0</v>
          </cell>
          <cell r="U10">
            <v>40000</v>
          </cell>
          <cell r="V10">
            <v>22000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15000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929000</v>
          </cell>
          <cell r="BF10">
            <v>120000</v>
          </cell>
          <cell r="BG10">
            <v>12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115000</v>
          </cell>
          <cell r="E11">
            <v>1077000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40000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77000</v>
          </cell>
          <cell r="S11">
            <v>1000000</v>
          </cell>
          <cell r="T11" t="str">
            <v>BANQUE</v>
          </cell>
          <cell r="U11">
            <v>1192000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15000</v>
          </cell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D11">
            <v>980000</v>
          </cell>
          <cell r="BF11">
            <v>20000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1040000</v>
          </cell>
          <cell r="E12">
            <v>257000</v>
          </cell>
          <cell r="F12">
            <v>0</v>
          </cell>
          <cell r="G12">
            <v>0</v>
          </cell>
          <cell r="H12" t="str">
            <v>BANQUE</v>
          </cell>
          <cell r="I12">
            <v>5800</v>
          </cell>
          <cell r="J12">
            <v>1</v>
          </cell>
          <cell r="K12">
            <v>40000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51000</v>
          </cell>
          <cell r="R12">
            <v>206000</v>
          </cell>
          <cell r="S12">
            <v>719200</v>
          </cell>
          <cell r="T12" t="str">
            <v>BANQUE</v>
          </cell>
          <cell r="U12">
            <v>1297000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20800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D12">
            <v>1090000</v>
          </cell>
          <cell r="BF12">
            <v>60000</v>
          </cell>
          <cell r="BG12">
            <v>6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1040000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40000</v>
          </cell>
          <cell r="M13">
            <v>0</v>
          </cell>
          <cell r="O13">
            <v>0</v>
          </cell>
          <cell r="P13">
            <v>0</v>
          </cell>
          <cell r="S13">
            <v>1000000</v>
          </cell>
          <cell r="T13" t="str">
            <v>BANQUE</v>
          </cell>
          <cell r="U13">
            <v>1040000</v>
          </cell>
          <cell r="Z13">
            <v>1000000</v>
          </cell>
          <cell r="AA13" t="str">
            <v>BANQUE</v>
          </cell>
          <cell r="AQ13">
            <v>0</v>
          </cell>
          <cell r="AR13">
            <v>0</v>
          </cell>
          <cell r="AS13">
            <v>15000</v>
          </cell>
          <cell r="AW13">
            <v>0</v>
          </cell>
          <cell r="AX13">
            <v>0</v>
          </cell>
          <cell r="AY13">
            <v>0</v>
          </cell>
          <cell r="AZ13">
            <v>880000</v>
          </cell>
          <cell r="BD13">
            <v>901000</v>
          </cell>
          <cell r="BF13">
            <v>120000</v>
          </cell>
          <cell r="BG13">
            <v>12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40000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40000</v>
          </cell>
          <cell r="M14">
            <v>0</v>
          </cell>
          <cell r="O14">
            <v>0</v>
          </cell>
          <cell r="P14">
            <v>0</v>
          </cell>
          <cell r="U14">
            <v>40000</v>
          </cell>
          <cell r="AQ14">
            <v>0</v>
          </cell>
          <cell r="AR14">
            <v>0</v>
          </cell>
          <cell r="AS14">
            <v>15000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115000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40000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115000</v>
          </cell>
          <cell r="V15">
            <v>18000</v>
          </cell>
          <cell r="AQ15">
            <v>0</v>
          </cell>
          <cell r="AR15">
            <v>0</v>
          </cell>
          <cell r="AS15">
            <v>15000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250000</v>
          </cell>
          <cell r="E16">
            <v>569500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40000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206000</v>
          </cell>
          <cell r="S16">
            <v>363500</v>
          </cell>
          <cell r="T16" t="str">
            <v>BANQUE</v>
          </cell>
          <cell r="U16">
            <v>819500</v>
          </cell>
          <cell r="V16">
            <v>12000</v>
          </cell>
          <cell r="Z16">
            <v>363500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0</v>
          </cell>
          <cell r="AZ16">
            <v>363500</v>
          </cell>
          <cell r="BD16">
            <v>763500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1140000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40000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1140000</v>
          </cell>
          <cell r="V17">
            <v>9000</v>
          </cell>
          <cell r="AQ17">
            <v>0</v>
          </cell>
          <cell r="AR17">
            <v>0</v>
          </cell>
          <cell r="AS17">
            <v>15000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1000000</v>
          </cell>
          <cell r="E18">
            <v>447500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40000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30500</v>
          </cell>
          <cell r="Q18">
            <v>202000</v>
          </cell>
          <cell r="R18">
            <v>0</v>
          </cell>
          <cell r="S18">
            <v>1000000</v>
          </cell>
          <cell r="T18" t="str">
            <v>BANQUE</v>
          </cell>
          <cell r="U18">
            <v>1447500</v>
          </cell>
          <cell r="V18">
            <v>3000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15000</v>
          </cell>
          <cell r="AW18">
            <v>0</v>
          </cell>
          <cell r="AX18">
            <v>0</v>
          </cell>
          <cell r="AY18">
            <v>0</v>
          </cell>
          <cell r="AZ18">
            <v>950000</v>
          </cell>
          <cell r="BD18">
            <v>950000</v>
          </cell>
          <cell r="BF18">
            <v>50000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40000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40000</v>
          </cell>
          <cell r="M19">
            <v>0</v>
          </cell>
          <cell r="O19">
            <v>0</v>
          </cell>
          <cell r="P19">
            <v>0</v>
          </cell>
          <cell r="U19">
            <v>40000</v>
          </cell>
          <cell r="V19">
            <v>20000</v>
          </cell>
          <cell r="AQ19">
            <v>0</v>
          </cell>
          <cell r="AR19">
            <v>0</v>
          </cell>
          <cell r="AS19">
            <v>15000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12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0</v>
          </cell>
          <cell r="E20">
            <v>1829000</v>
          </cell>
          <cell r="F20">
            <v>0</v>
          </cell>
          <cell r="G20">
            <v>0</v>
          </cell>
          <cell r="H20" t="str">
            <v>ESPECES</v>
          </cell>
          <cell r="J20">
            <v>1</v>
          </cell>
          <cell r="K20">
            <v>40000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307000</v>
          </cell>
          <cell r="R20">
            <v>307000</v>
          </cell>
          <cell r="S20">
            <v>1000000</v>
          </cell>
          <cell r="T20" t="str">
            <v>BANQUE</v>
          </cell>
          <cell r="U20">
            <v>1829000</v>
          </cell>
          <cell r="Z20">
            <v>1000000</v>
          </cell>
          <cell r="AA20" t="str">
            <v>BANQUE</v>
          </cell>
          <cell r="AQ20">
            <v>0</v>
          </cell>
          <cell r="AR20">
            <v>0</v>
          </cell>
          <cell r="AS20">
            <v>15000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540000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40000</v>
          </cell>
          <cell r="M21">
            <v>0</v>
          </cell>
          <cell r="O21">
            <v>0</v>
          </cell>
          <cell r="P21">
            <v>0</v>
          </cell>
          <cell r="S21">
            <v>500000</v>
          </cell>
          <cell r="T21" t="str">
            <v>BANQUE</v>
          </cell>
          <cell r="U21">
            <v>540000</v>
          </cell>
          <cell r="Z21">
            <v>300000</v>
          </cell>
          <cell r="AA21" t="str">
            <v>BANQUE</v>
          </cell>
          <cell r="AQ21">
            <v>0</v>
          </cell>
          <cell r="AR21">
            <v>0</v>
          </cell>
          <cell r="AS21">
            <v>15000</v>
          </cell>
          <cell r="AW21">
            <v>0</v>
          </cell>
          <cell r="AX21">
            <v>0</v>
          </cell>
          <cell r="AY21">
            <v>0</v>
          </cell>
          <cell r="AZ21">
            <v>282000</v>
          </cell>
          <cell r="BD21">
            <v>282000</v>
          </cell>
          <cell r="BF21">
            <v>18000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222500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40000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107500</v>
          </cell>
          <cell r="T22" t="str">
            <v>BANQUE</v>
          </cell>
          <cell r="U22">
            <v>222500</v>
          </cell>
          <cell r="V22">
            <v>20000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15000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933000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850000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40000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S23">
            <v>600000</v>
          </cell>
          <cell r="T23" t="str">
            <v>BANQUE</v>
          </cell>
          <cell r="U23">
            <v>850000</v>
          </cell>
          <cell r="Z23">
            <v>500000</v>
          </cell>
          <cell r="AA23" t="str">
            <v>BANQUE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690000</v>
          </cell>
          <cell r="BF23">
            <v>30000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1215000</v>
          </cell>
          <cell r="E24">
            <v>202000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40000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S24">
            <v>1000000</v>
          </cell>
          <cell r="T24" t="str">
            <v>BANQUE</v>
          </cell>
          <cell r="U24">
            <v>1417000</v>
          </cell>
          <cell r="V24">
            <v>15000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15000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678000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600000</v>
          </cell>
          <cell r="E25">
            <v>1000000</v>
          </cell>
          <cell r="F25">
            <v>0</v>
          </cell>
          <cell r="G25">
            <v>0</v>
          </cell>
          <cell r="H25" t="str">
            <v>BANQUE</v>
          </cell>
          <cell r="I25">
            <v>108000</v>
          </cell>
          <cell r="J25">
            <v>1</v>
          </cell>
          <cell r="K25">
            <v>40000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S25">
            <v>1000000</v>
          </cell>
          <cell r="T25" t="str">
            <v>BANQUE</v>
          </cell>
          <cell r="U25">
            <v>1600000</v>
          </cell>
          <cell r="V25">
            <v>15000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123000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1180000</v>
          </cell>
          <cell r="BF25">
            <v>120000</v>
          </cell>
          <cell r="BG25">
            <v>12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1040000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40000</v>
          </cell>
          <cell r="M26">
            <v>0</v>
          </cell>
          <cell r="O26">
            <v>0</v>
          </cell>
          <cell r="P26">
            <v>0</v>
          </cell>
          <cell r="S26">
            <v>1000000</v>
          </cell>
          <cell r="T26" t="str">
            <v>BANQUE</v>
          </cell>
          <cell r="U26">
            <v>1040000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15000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D26">
            <v>970000</v>
          </cell>
          <cell r="BF26">
            <v>30000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10000</v>
          </cell>
          <cell r="J27">
            <v>1</v>
          </cell>
          <cell r="K27">
            <v>40000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115000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40000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115000</v>
          </cell>
          <cell r="AQ28">
            <v>0</v>
          </cell>
          <cell r="AR28">
            <v>0</v>
          </cell>
          <cell r="AS28">
            <v>15000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N28" t="str">
            <v>S/TOTAL</v>
          </cell>
          <cell r="BP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40000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40000</v>
          </cell>
          <cell r="M29">
            <v>0</v>
          </cell>
          <cell r="O29">
            <v>0</v>
          </cell>
          <cell r="P29">
            <v>0</v>
          </cell>
          <cell r="U29">
            <v>40000</v>
          </cell>
          <cell r="AQ29">
            <v>0</v>
          </cell>
          <cell r="AR29">
            <v>0</v>
          </cell>
          <cell r="AS29">
            <v>15000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115000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40000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115000</v>
          </cell>
          <cell r="V30">
            <v>34000</v>
          </cell>
          <cell r="Z30">
            <v>1000000</v>
          </cell>
          <cell r="AA30" t="str">
            <v>BANQUE</v>
          </cell>
          <cell r="AQ30">
            <v>0</v>
          </cell>
          <cell r="AR30">
            <v>0</v>
          </cell>
          <cell r="AS30">
            <v>15000</v>
          </cell>
          <cell r="AW30">
            <v>0</v>
          </cell>
          <cell r="AX30">
            <v>0</v>
          </cell>
          <cell r="AY30">
            <v>0</v>
          </cell>
          <cell r="AZ30">
            <v>940000</v>
          </cell>
          <cell r="BD30">
            <v>168000</v>
          </cell>
          <cell r="BF30">
            <v>60000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1171000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40000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31000</v>
          </cell>
          <cell r="S31">
            <v>1000000</v>
          </cell>
          <cell r="T31" t="str">
            <v>BANQUE</v>
          </cell>
          <cell r="U31">
            <v>1171000</v>
          </cell>
          <cell r="Z31">
            <v>250000</v>
          </cell>
          <cell r="AA31" t="str">
            <v>BANQUE</v>
          </cell>
          <cell r="AQ31">
            <v>0</v>
          </cell>
          <cell r="AR31">
            <v>0</v>
          </cell>
          <cell r="AS31">
            <v>15000</v>
          </cell>
          <cell r="AW31">
            <v>0</v>
          </cell>
          <cell r="AX31">
            <v>0</v>
          </cell>
          <cell r="AY31">
            <v>0</v>
          </cell>
          <cell r="AZ31">
            <v>235000</v>
          </cell>
          <cell r="BD31">
            <v>465000</v>
          </cell>
          <cell r="BF31">
            <v>15000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416000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40000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S32">
            <v>200000</v>
          </cell>
          <cell r="T32" t="str">
            <v>BANQUE</v>
          </cell>
          <cell r="U32">
            <v>416000</v>
          </cell>
          <cell r="AQ32">
            <v>0</v>
          </cell>
          <cell r="AR32">
            <v>0</v>
          </cell>
          <cell r="AS32">
            <v>15000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12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D33">
            <v>90000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40000</v>
          </cell>
          <cell r="M33">
            <v>0</v>
          </cell>
          <cell r="O33">
            <v>0</v>
          </cell>
          <cell r="P33">
            <v>0</v>
          </cell>
          <cell r="U33">
            <v>50000</v>
          </cell>
          <cell r="AC33">
            <v>2500</v>
          </cell>
          <cell r="AQ33">
            <v>0</v>
          </cell>
          <cell r="AR33">
            <v>0</v>
          </cell>
          <cell r="AS33">
            <v>25000</v>
          </cell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B33">
            <v>70000</v>
          </cell>
          <cell r="BD33">
            <v>176000</v>
          </cell>
          <cell r="BF33">
            <v>0</v>
          </cell>
          <cell r="BG33">
            <v>12</v>
          </cell>
          <cell r="BN33" t="str">
            <v>S/TOTAL</v>
          </cell>
          <cell r="BP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0</v>
          </cell>
          <cell r="D34">
            <v>40000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40000</v>
          </cell>
          <cell r="M34">
            <v>0</v>
          </cell>
          <cell r="O34">
            <v>0</v>
          </cell>
          <cell r="P34">
            <v>0</v>
          </cell>
          <cell r="U34">
            <v>40000</v>
          </cell>
          <cell r="Z34">
            <v>700000</v>
          </cell>
          <cell r="AA34" t="str">
            <v>BANQUE</v>
          </cell>
          <cell r="AQ34">
            <v>0</v>
          </cell>
          <cell r="AR34">
            <v>0</v>
          </cell>
          <cell r="AS34">
            <v>15000</v>
          </cell>
          <cell r="AW34">
            <v>0</v>
          </cell>
          <cell r="AX34">
            <v>0</v>
          </cell>
          <cell r="AY34">
            <v>0</v>
          </cell>
          <cell r="AZ34">
            <v>616000</v>
          </cell>
          <cell r="BD34">
            <v>616000</v>
          </cell>
          <cell r="BF34">
            <v>84000</v>
          </cell>
          <cell r="BG34">
            <v>12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227500</v>
          </cell>
          <cell r="E35">
            <v>40000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40000</v>
          </cell>
          <cell r="M35">
            <v>0</v>
          </cell>
          <cell r="O35">
            <v>0</v>
          </cell>
          <cell r="P35">
            <v>0</v>
          </cell>
          <cell r="S35">
            <v>227500</v>
          </cell>
          <cell r="T35" t="str">
            <v>BANQUE</v>
          </cell>
          <cell r="U35">
            <v>267500</v>
          </cell>
          <cell r="AC35">
            <v>2500</v>
          </cell>
          <cell r="AQ35">
            <v>0</v>
          </cell>
          <cell r="AR35">
            <v>0</v>
          </cell>
          <cell r="AS35">
            <v>15000</v>
          </cell>
          <cell r="AW35">
            <v>297500</v>
          </cell>
          <cell r="AX35">
            <v>0</v>
          </cell>
          <cell r="AY35">
            <v>0</v>
          </cell>
          <cell r="AZ35">
            <v>297500</v>
          </cell>
          <cell r="BB35">
            <v>70000</v>
          </cell>
          <cell r="BD35">
            <v>227500</v>
          </cell>
          <cell r="BF35">
            <v>0</v>
          </cell>
          <cell r="BG35">
            <v>12</v>
          </cell>
          <cell r="BN35" t="str">
            <v>COLLATION</v>
          </cell>
          <cell r="BO35" t="str">
            <v>COLLATION</v>
          </cell>
          <cell r="BP35">
            <v>100000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290000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40000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290000</v>
          </cell>
          <cell r="V36">
            <v>11000</v>
          </cell>
          <cell r="AQ36">
            <v>0</v>
          </cell>
          <cell r="AR36">
            <v>0</v>
          </cell>
          <cell r="AS36">
            <v>15000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261000</v>
          </cell>
          <cell r="D38">
            <v>11438000</v>
          </cell>
          <cell r="E38">
            <v>8171000</v>
          </cell>
          <cell r="F38">
            <v>0</v>
          </cell>
          <cell r="G38">
            <v>0</v>
          </cell>
          <cell r="H38">
            <v>0</v>
          </cell>
          <cell r="I38">
            <v>203800</v>
          </cell>
          <cell r="J38">
            <v>30</v>
          </cell>
          <cell r="K38">
            <v>1200000</v>
          </cell>
          <cell r="L38">
            <v>17</v>
          </cell>
          <cell r="M38">
            <v>1275000</v>
          </cell>
          <cell r="N38">
            <v>14</v>
          </cell>
          <cell r="O38">
            <v>1400000</v>
          </cell>
          <cell r="P38">
            <v>59500</v>
          </cell>
          <cell r="Q38">
            <v>738000</v>
          </cell>
          <cell r="R38">
            <v>1154000</v>
          </cell>
          <cell r="S38">
            <v>13317700</v>
          </cell>
          <cell r="U38">
            <v>19348000</v>
          </cell>
          <cell r="V38">
            <v>207000</v>
          </cell>
          <cell r="W38">
            <v>0</v>
          </cell>
          <cell r="X38">
            <v>0</v>
          </cell>
          <cell r="Y38">
            <v>0</v>
          </cell>
          <cell r="Z38">
            <v>15213500</v>
          </cell>
          <cell r="AA38">
            <v>0</v>
          </cell>
          <cell r="AC38">
            <v>5000</v>
          </cell>
          <cell r="AD38">
            <v>7500</v>
          </cell>
          <cell r="AE38">
            <v>10000</v>
          </cell>
          <cell r="AF38">
            <v>0</v>
          </cell>
          <cell r="AG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</row>
        <row r="40">
          <cell r="C40" t="str">
            <v>BANQUE</v>
          </cell>
          <cell r="F40" t="str">
            <v>ESPECES</v>
          </cell>
        </row>
      </sheetData>
      <sheetData sheetId="16"/>
      <sheetData sheetId="1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  <sheetName val="FONDSCAISSE2020"/>
      <sheetName val="FONDSCAISSE2022"/>
    </sheetNames>
    <sheetDataSet>
      <sheetData sheetId="0">
        <row r="2">
          <cell r="A2" t="str">
            <v>AS201648</v>
          </cell>
          <cell r="B2"/>
          <cell r="C2" t="str">
            <v>ASELBY</v>
          </cell>
          <cell r="D2">
            <v>816546</v>
          </cell>
          <cell r="E2">
            <v>0</v>
          </cell>
          <cell r="F2">
            <v>0</v>
          </cell>
          <cell r="G2"/>
        </row>
        <row r="3">
          <cell r="A3" t="str">
            <v>AS201601</v>
          </cell>
          <cell r="B3">
            <v>1</v>
          </cell>
          <cell r="C3" t="str">
            <v>BAKOP ACHILLE</v>
          </cell>
          <cell r="D3">
            <v>678482.49636100209</v>
          </cell>
          <cell r="E3">
            <v>78482</v>
          </cell>
          <cell r="F3">
            <v>0</v>
          </cell>
          <cell r="G3"/>
        </row>
        <row r="4">
          <cell r="A4" t="str">
            <v>AS201602</v>
          </cell>
          <cell r="B4">
            <v>2</v>
          </cell>
          <cell r="C4" t="str">
            <v>BOUTCHOUANG WILLIAM</v>
          </cell>
          <cell r="D4">
            <v>700000</v>
          </cell>
          <cell r="E4">
            <v>100000</v>
          </cell>
          <cell r="F4">
            <v>0</v>
          </cell>
          <cell r="G4"/>
        </row>
        <row r="5">
          <cell r="A5" t="str">
            <v>AS201604</v>
          </cell>
          <cell r="B5">
            <v>3</v>
          </cell>
          <cell r="C5" t="str">
            <v xml:space="preserve">DJOMO JEAN PAUL </v>
          </cell>
          <cell r="D5">
            <v>700000</v>
          </cell>
          <cell r="E5">
            <v>100000</v>
          </cell>
          <cell r="F5">
            <v>0</v>
          </cell>
          <cell r="G5"/>
        </row>
        <row r="6">
          <cell r="A6" t="str">
            <v>AS201654</v>
          </cell>
          <cell r="B6">
            <v>4</v>
          </cell>
          <cell r="C6" t="str">
            <v>DJOMOU TCHAPDA</v>
          </cell>
          <cell r="D6">
            <v>700000</v>
          </cell>
          <cell r="E6">
            <v>100000</v>
          </cell>
          <cell r="F6">
            <v>0</v>
          </cell>
          <cell r="G6"/>
        </row>
        <row r="7">
          <cell r="A7" t="str">
            <v>AS201605</v>
          </cell>
          <cell r="B7">
            <v>5</v>
          </cell>
          <cell r="C7" t="str">
            <v>DJOUKWE NANGUEN GUY BLAISE</v>
          </cell>
          <cell r="D7">
            <v>700000</v>
          </cell>
          <cell r="E7">
            <v>100000</v>
          </cell>
          <cell r="F7">
            <v>0</v>
          </cell>
          <cell r="G7"/>
        </row>
        <row r="8">
          <cell r="A8" t="str">
            <v>AS201608</v>
          </cell>
          <cell r="B8">
            <v>6</v>
          </cell>
          <cell r="C8" t="str">
            <v>DJUOMBESSY ANTOINE</v>
          </cell>
          <cell r="D8">
            <v>700000</v>
          </cell>
          <cell r="E8">
            <v>100000</v>
          </cell>
          <cell r="F8">
            <v>0</v>
          </cell>
          <cell r="G8"/>
        </row>
        <row r="9">
          <cell r="A9" t="str">
            <v>AS201651</v>
          </cell>
          <cell r="B9">
            <v>7</v>
          </cell>
          <cell r="C9" t="str">
            <v>DOMOU FABIEN</v>
          </cell>
          <cell r="D9">
            <v>700000</v>
          </cell>
          <cell r="E9">
            <v>100000</v>
          </cell>
          <cell r="F9">
            <v>0</v>
          </cell>
          <cell r="G9"/>
        </row>
        <row r="10">
          <cell r="A10" t="str">
            <v>AS201609</v>
          </cell>
          <cell r="B10">
            <v>8</v>
          </cell>
          <cell r="C10" t="str">
            <v>DONHOU DAVID</v>
          </cell>
          <cell r="D10">
            <v>700000</v>
          </cell>
          <cell r="E10">
            <v>100000</v>
          </cell>
          <cell r="F10">
            <v>0</v>
          </cell>
          <cell r="G10"/>
        </row>
        <row r="11">
          <cell r="A11" t="str">
            <v>AS201611</v>
          </cell>
          <cell r="B11">
            <v>9</v>
          </cell>
          <cell r="C11" t="str">
            <v>HENGUE PAUL OMER</v>
          </cell>
          <cell r="D11">
            <v>700000</v>
          </cell>
          <cell r="E11">
            <v>100000</v>
          </cell>
          <cell r="F11">
            <v>0</v>
          </cell>
          <cell r="G11"/>
        </row>
        <row r="12">
          <cell r="A12" t="str">
            <v>AS201613</v>
          </cell>
          <cell r="B12">
            <v>10</v>
          </cell>
          <cell r="C12" t="str">
            <v>HOTCHO BENJAMIN</v>
          </cell>
          <cell r="D12">
            <v>700000</v>
          </cell>
          <cell r="E12">
            <v>100000</v>
          </cell>
          <cell r="F12">
            <v>0</v>
          </cell>
          <cell r="G12"/>
        </row>
        <row r="13">
          <cell r="A13" t="str">
            <v>AS201617</v>
          </cell>
          <cell r="B13">
            <v>11</v>
          </cell>
          <cell r="C13" t="str">
            <v>KOUAMOU MOISE</v>
          </cell>
          <cell r="D13">
            <v>700000</v>
          </cell>
          <cell r="E13">
            <v>100000</v>
          </cell>
          <cell r="F13">
            <v>0</v>
          </cell>
          <cell r="G13"/>
        </row>
        <row r="14">
          <cell r="A14" t="str">
            <v>AS201619</v>
          </cell>
          <cell r="B14">
            <v>12</v>
          </cell>
          <cell r="C14" t="str">
            <v>KOUATCHO MESSACK</v>
          </cell>
          <cell r="D14">
            <v>700000</v>
          </cell>
          <cell r="E14">
            <v>100000</v>
          </cell>
          <cell r="F14">
            <v>0</v>
          </cell>
          <cell r="G14"/>
        </row>
        <row r="15">
          <cell r="A15" t="str">
            <v>AS201620</v>
          </cell>
          <cell r="B15">
            <v>13</v>
          </cell>
          <cell r="C15" t="str">
            <v>LOWE JEAN</v>
          </cell>
          <cell r="D15">
            <v>676217.13072703336</v>
          </cell>
          <cell r="E15">
            <v>76217</v>
          </cell>
          <cell r="F15">
            <v>0</v>
          </cell>
          <cell r="G15"/>
        </row>
        <row r="16">
          <cell r="A16" t="str">
            <v>AS201649</v>
          </cell>
          <cell r="B16">
            <v>14</v>
          </cell>
          <cell r="C16" t="str">
            <v>MBOGNING TUGMA GUY</v>
          </cell>
          <cell r="D16">
            <v>700000</v>
          </cell>
          <cell r="E16">
            <v>100000</v>
          </cell>
          <cell r="F16">
            <v>0</v>
          </cell>
          <cell r="G16"/>
        </row>
        <row r="17">
          <cell r="A17" t="str">
            <v>AS201639</v>
          </cell>
          <cell r="B17">
            <v>15</v>
          </cell>
          <cell r="C17" t="str">
            <v>NANGUEN MARTIN</v>
          </cell>
          <cell r="D17">
            <v>700000</v>
          </cell>
          <cell r="E17">
            <v>100000</v>
          </cell>
          <cell r="F17">
            <v>0</v>
          </cell>
          <cell r="G17"/>
        </row>
        <row r="18">
          <cell r="A18" t="str">
            <v>AS201621</v>
          </cell>
          <cell r="B18">
            <v>16</v>
          </cell>
          <cell r="C18" t="str">
            <v>NANKAM APPOLINAIRE</v>
          </cell>
          <cell r="D18">
            <v>700000</v>
          </cell>
          <cell r="E18">
            <v>100000</v>
          </cell>
          <cell r="F18">
            <v>0</v>
          </cell>
          <cell r="G18"/>
        </row>
        <row r="19">
          <cell r="A19" t="str">
            <v>AS201622</v>
          </cell>
          <cell r="B19">
            <v>17</v>
          </cell>
          <cell r="C19" t="str">
            <v>NDJOMO ETIENNE</v>
          </cell>
          <cell r="D19">
            <v>700000</v>
          </cell>
          <cell r="E19">
            <v>100000</v>
          </cell>
          <cell r="F19">
            <v>0</v>
          </cell>
          <cell r="G19"/>
        </row>
        <row r="20">
          <cell r="A20" t="str">
            <v>AS201624</v>
          </cell>
          <cell r="B20">
            <v>18</v>
          </cell>
          <cell r="C20" t="str">
            <v>NGONDIEP CLAUDE</v>
          </cell>
          <cell r="D20">
            <v>700000</v>
          </cell>
          <cell r="E20">
            <v>100000</v>
          </cell>
          <cell r="F20">
            <v>0</v>
          </cell>
          <cell r="G20"/>
        </row>
        <row r="21">
          <cell r="A21" t="str">
            <v>AS201626</v>
          </cell>
          <cell r="B21">
            <v>19</v>
          </cell>
          <cell r="C21" t="str">
            <v>NGUIEMEGNI MATHIEU BLAISE</v>
          </cell>
          <cell r="D21">
            <v>700000</v>
          </cell>
          <cell r="E21">
            <v>100000</v>
          </cell>
          <cell r="F21">
            <v>0</v>
          </cell>
          <cell r="G21"/>
        </row>
        <row r="22">
          <cell r="A22" t="str">
            <v>AS201628</v>
          </cell>
          <cell r="B22">
            <v>20</v>
          </cell>
          <cell r="C22" t="str">
            <v>NKAMGANG JUSTIN DEJOLIE</v>
          </cell>
          <cell r="D22">
            <v>700000</v>
          </cell>
          <cell r="E22">
            <v>100000</v>
          </cell>
          <cell r="F22">
            <v>0</v>
          </cell>
          <cell r="G22"/>
        </row>
        <row r="23">
          <cell r="A23" t="str">
            <v>AS201656</v>
          </cell>
          <cell r="B23">
            <v>21</v>
          </cell>
          <cell r="C23" t="str">
            <v>NOUBE ETIENNE</v>
          </cell>
          <cell r="D23">
            <v>666018.81693285913</v>
          </cell>
          <cell r="E23">
            <v>700000</v>
          </cell>
          <cell r="F23">
            <v>0</v>
          </cell>
          <cell r="G23"/>
        </row>
        <row r="24">
          <cell r="A24" t="str">
            <v>AS201633</v>
          </cell>
          <cell r="B24">
            <v>22</v>
          </cell>
          <cell r="C24" t="str">
            <v>PATEGO NJOSSU GUSTAVE</v>
          </cell>
          <cell r="D24">
            <v>700000</v>
          </cell>
          <cell r="E24">
            <v>100000</v>
          </cell>
          <cell r="F24">
            <v>0</v>
          </cell>
          <cell r="G24"/>
        </row>
        <row r="25">
          <cell r="A25" t="str">
            <v>AS201657</v>
          </cell>
          <cell r="B25">
            <v>23</v>
          </cell>
          <cell r="C25" t="str">
            <v>SEUMO POLYCARPE</v>
          </cell>
          <cell r="D25">
            <v>0</v>
          </cell>
          <cell r="E25">
            <v>0</v>
          </cell>
          <cell r="F25">
            <v>0</v>
          </cell>
          <cell r="G25"/>
        </row>
        <row r="26">
          <cell r="A26" t="str">
            <v>AS201653</v>
          </cell>
          <cell r="B26">
            <v>24</v>
          </cell>
          <cell r="C26" t="str">
            <v>SIME BRICE</v>
          </cell>
          <cell r="D26">
            <v>700000</v>
          </cell>
          <cell r="E26">
            <v>100000</v>
          </cell>
          <cell r="F26">
            <v>0</v>
          </cell>
          <cell r="G26"/>
        </row>
        <row r="27">
          <cell r="A27" t="str">
            <v>AS201638</v>
          </cell>
          <cell r="B27">
            <v>25</v>
          </cell>
          <cell r="C27" t="str">
            <v>SIMO PIERRE</v>
          </cell>
          <cell r="D27">
            <v>700000</v>
          </cell>
          <cell r="E27">
            <v>100000</v>
          </cell>
          <cell r="F27">
            <v>0</v>
          </cell>
          <cell r="G27"/>
        </row>
        <row r="28">
          <cell r="A28" t="str">
            <v>AS201641</v>
          </cell>
          <cell r="B28">
            <v>26</v>
          </cell>
          <cell r="C28" t="str">
            <v>TCHOUAMOU MATHIEU</v>
          </cell>
          <cell r="D28">
            <v>700000</v>
          </cell>
          <cell r="E28">
            <v>100000</v>
          </cell>
          <cell r="F28">
            <v>0</v>
          </cell>
          <cell r="G28"/>
        </row>
        <row r="29">
          <cell r="A29" t="str">
            <v>AS201660</v>
          </cell>
          <cell r="B29">
            <v>27</v>
          </cell>
          <cell r="C29" t="str">
            <v>TCHOUATEU AUGUSTIN</v>
          </cell>
          <cell r="D29"/>
          <cell r="E29"/>
          <cell r="F29"/>
          <cell r="G29"/>
        </row>
        <row r="30">
          <cell r="A30" t="str">
            <v>AS201643</v>
          </cell>
          <cell r="B30">
            <v>28</v>
          </cell>
          <cell r="C30" t="str">
            <v>TCHOUTOU NANA CLAUDE</v>
          </cell>
          <cell r="D30">
            <v>0</v>
          </cell>
          <cell r="E30">
            <v>0</v>
          </cell>
          <cell r="F30">
            <v>0</v>
          </cell>
          <cell r="G30"/>
        </row>
        <row r="31">
          <cell r="A31" t="str">
            <v>AS201658</v>
          </cell>
          <cell r="B31">
            <v>29</v>
          </cell>
          <cell r="C31" t="str">
            <v>YANTCHOU GERVAIS</v>
          </cell>
          <cell r="D31">
            <v>698024.13813217054</v>
          </cell>
          <cell r="E31">
            <v>700000</v>
          </cell>
          <cell r="F31">
            <v>0</v>
          </cell>
          <cell r="G31"/>
        </row>
        <row r="32">
          <cell r="A32" t="str">
            <v>AS201646</v>
          </cell>
          <cell r="B32">
            <v>30</v>
          </cell>
          <cell r="C32" t="str">
            <v>YEPMOU JEAN JACQUES</v>
          </cell>
          <cell r="D32">
            <v>700000</v>
          </cell>
          <cell r="E32">
            <v>100000</v>
          </cell>
          <cell r="F32">
            <v>0</v>
          </cell>
          <cell r="G32"/>
        </row>
        <row r="33">
          <cell r="A33" t="str">
            <v>AS201647</v>
          </cell>
          <cell r="B33">
            <v>31</v>
          </cell>
          <cell r="C33" t="str">
            <v>YOUMBI EMMANUEL</v>
          </cell>
          <cell r="D33">
            <v>700000</v>
          </cell>
          <cell r="E33">
            <v>100000</v>
          </cell>
          <cell r="F33">
            <v>0</v>
          </cell>
          <cell r="G33"/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4">
          <cell r="A4" t="str">
            <v>MLE</v>
          </cell>
        </row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655592631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699984782</v>
          </cell>
          <cell r="G6"/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/>
          <cell r="F7">
            <v>677986676</v>
          </cell>
          <cell r="G7"/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/>
          <cell r="F8">
            <v>675250451</v>
          </cell>
          <cell r="G8"/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/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/>
          <cell r="F10">
            <v>699908065</v>
          </cell>
          <cell r="G10"/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/>
          <cell r="F11">
            <v>694468080</v>
          </cell>
          <cell r="G11"/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/>
          <cell r="F12">
            <v>699956355</v>
          </cell>
          <cell r="G12"/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/>
          <cell r="F13">
            <v>675836725</v>
          </cell>
          <cell r="G13"/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/>
          <cell r="F14">
            <v>677735778</v>
          </cell>
          <cell r="G14"/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/>
          <cell r="F15"/>
          <cell r="G15"/>
          <cell r="H15"/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/>
          <cell r="F16">
            <v>693055118</v>
          </cell>
          <cell r="G16"/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/>
          <cell r="F17">
            <v>677553702</v>
          </cell>
          <cell r="G17"/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/>
          <cell r="F18">
            <v>675249207</v>
          </cell>
          <cell r="G18"/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/>
          <cell r="F19">
            <v>677068360</v>
          </cell>
          <cell r="G19"/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/>
          <cell r="F20">
            <v>676659191</v>
          </cell>
          <cell r="G20"/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/>
          <cell r="F21">
            <v>699995086</v>
          </cell>
          <cell r="G21"/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/>
          <cell r="F22">
            <v>677546060</v>
          </cell>
          <cell r="G22"/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/>
          <cell r="F23">
            <v>677648306</v>
          </cell>
          <cell r="G23"/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/>
          <cell r="F24">
            <v>699778906</v>
          </cell>
          <cell r="G24"/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/>
          <cell r="F25">
            <v>677775940</v>
          </cell>
          <cell r="G25"/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/>
          <cell r="F26">
            <v>699663416</v>
          </cell>
          <cell r="G26"/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/>
          <cell r="F27">
            <v>677547311</v>
          </cell>
          <cell r="G27"/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/>
          <cell r="F28"/>
          <cell r="G28"/>
          <cell r="H28"/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/>
          <cell r="F29">
            <v>694452000</v>
          </cell>
          <cell r="G29"/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/>
          <cell r="E30"/>
          <cell r="F30">
            <v>677911165</v>
          </cell>
          <cell r="G30"/>
          <cell r="H30"/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/>
          <cell r="E31"/>
          <cell r="F31"/>
          <cell r="G31"/>
          <cell r="H31"/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/>
          <cell r="E32"/>
          <cell r="F32"/>
          <cell r="G32"/>
          <cell r="H32"/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/>
          <cell r="E33"/>
          <cell r="F33"/>
          <cell r="G33"/>
          <cell r="H33"/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/>
          <cell r="E34"/>
          <cell r="F34">
            <v>696585118</v>
          </cell>
          <cell r="G34"/>
          <cell r="H34"/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/>
          <cell r="E35"/>
          <cell r="F35">
            <v>696585018</v>
          </cell>
          <cell r="G35"/>
          <cell r="H35"/>
        </row>
        <row r="36">
          <cell r="A36" t="str">
            <v>AS201629</v>
          </cell>
          <cell r="B36">
            <v>32</v>
          </cell>
          <cell r="C36" t="str">
            <v>SIMO FONGANG ERIC</v>
          </cell>
          <cell r="D36"/>
          <cell r="E36"/>
          <cell r="F36"/>
          <cell r="G36"/>
          <cell r="H36"/>
        </row>
        <row r="37">
          <cell r="A37" t="str">
            <v>AS201659</v>
          </cell>
          <cell r="B37">
            <v>33</v>
          </cell>
          <cell r="C37" t="str">
            <v>YIALA ALAIN OSCAR</v>
          </cell>
          <cell r="D37"/>
          <cell r="E37"/>
          <cell r="F37"/>
          <cell r="G37"/>
          <cell r="H37"/>
        </row>
        <row r="38">
          <cell r="A38" t="str">
            <v>AS201660</v>
          </cell>
          <cell r="B38">
            <v>34</v>
          </cell>
          <cell r="C38" t="str">
            <v>TCHOUATEU AUGUSTIN</v>
          </cell>
          <cell r="D38"/>
          <cell r="E38"/>
          <cell r="F38"/>
          <cell r="G38"/>
          <cell r="H38"/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  <cell r="D39"/>
          <cell r="E39"/>
          <cell r="F39"/>
          <cell r="G39"/>
          <cell r="H39"/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E40"/>
          <cell r="F40">
            <v>677508603</v>
          </cell>
          <cell r="G40"/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SCAISSE"/>
      <sheetName val="FONDSCAISSEBACKUP"/>
      <sheetName val="FONDSTRANSPORT"/>
      <sheetName val="FONDSCAISSE2020"/>
      <sheetName val="FONDSCAISSE2022"/>
    </sheetNames>
    <sheetDataSet>
      <sheetData sheetId="0">
        <row r="2">
          <cell r="A2" t="str">
            <v>AS201648</v>
          </cell>
          <cell r="B2"/>
          <cell r="C2" t="str">
            <v>ASELBY</v>
          </cell>
          <cell r="D2"/>
          <cell r="E2"/>
          <cell r="F2">
            <v>1023134</v>
          </cell>
          <cell r="G2">
            <v>0</v>
          </cell>
        </row>
        <row r="3">
          <cell r="A3" t="str">
            <v>AS201601</v>
          </cell>
          <cell r="B3">
            <v>1</v>
          </cell>
          <cell r="C3" t="str">
            <v>BAKOP ACHILLE</v>
          </cell>
          <cell r="D3">
            <v>800000</v>
          </cell>
          <cell r="E3">
            <v>0</v>
          </cell>
          <cell r="F3">
            <v>18598</v>
          </cell>
          <cell r="G3">
            <v>800000</v>
          </cell>
        </row>
        <row r="4">
          <cell r="A4" t="str">
            <v>AS201602</v>
          </cell>
          <cell r="B4">
            <v>2</v>
          </cell>
          <cell r="C4" t="str">
            <v>BOUTCHOUANG WILLIAM</v>
          </cell>
          <cell r="D4">
            <v>800000</v>
          </cell>
          <cell r="E4">
            <v>0</v>
          </cell>
          <cell r="F4">
            <v>132669</v>
          </cell>
          <cell r="G4">
            <v>800000</v>
          </cell>
        </row>
        <row r="5">
          <cell r="A5" t="str">
            <v>AS201604</v>
          </cell>
          <cell r="B5">
            <v>3</v>
          </cell>
          <cell r="C5" t="str">
            <v xml:space="preserve">DJOMO JEAN PAUL </v>
          </cell>
          <cell r="D5">
            <v>800000</v>
          </cell>
          <cell r="E5">
            <v>0</v>
          </cell>
          <cell r="F5">
            <v>6643</v>
          </cell>
          <cell r="G5">
            <v>800000</v>
          </cell>
        </row>
        <row r="6">
          <cell r="A6" t="str">
            <v>AS201654</v>
          </cell>
          <cell r="B6">
            <v>4</v>
          </cell>
          <cell r="C6" t="str">
            <v>DJOMOU TCHAPDA</v>
          </cell>
          <cell r="D6">
            <v>800000</v>
          </cell>
          <cell r="E6">
            <v>0</v>
          </cell>
          <cell r="F6">
            <v>7246</v>
          </cell>
          <cell r="G6">
            <v>800000</v>
          </cell>
        </row>
        <row r="7">
          <cell r="A7" t="str">
            <v>AS201605</v>
          </cell>
          <cell r="B7">
            <v>5</v>
          </cell>
          <cell r="C7" t="str">
            <v>DJOUKWE NANGUEN GUY BLAISE</v>
          </cell>
          <cell r="D7">
            <v>800000</v>
          </cell>
          <cell r="E7">
            <v>0</v>
          </cell>
          <cell r="F7">
            <v>6032</v>
          </cell>
          <cell r="G7">
            <v>800000</v>
          </cell>
        </row>
        <row r="8">
          <cell r="A8" t="str">
            <v>AS201608</v>
          </cell>
          <cell r="B8">
            <v>6</v>
          </cell>
          <cell r="C8" t="str">
            <v>DJUOMBESSY ANTOINE</v>
          </cell>
          <cell r="D8">
            <v>800000</v>
          </cell>
          <cell r="E8">
            <v>0</v>
          </cell>
          <cell r="F8">
            <v>14486</v>
          </cell>
          <cell r="G8">
            <v>800000</v>
          </cell>
        </row>
        <row r="9">
          <cell r="A9" t="str">
            <v>AS201651</v>
          </cell>
          <cell r="B9">
            <v>7</v>
          </cell>
          <cell r="C9" t="str">
            <v>DOMOU FABIEN</v>
          </cell>
          <cell r="D9">
            <v>800000</v>
          </cell>
          <cell r="E9">
            <v>0</v>
          </cell>
          <cell r="F9">
            <v>6365</v>
          </cell>
          <cell r="G9">
            <v>800000</v>
          </cell>
        </row>
        <row r="10">
          <cell r="A10" t="str">
            <v>AS201609</v>
          </cell>
          <cell r="B10">
            <v>8</v>
          </cell>
          <cell r="C10" t="str">
            <v>DONHOU DAVID</v>
          </cell>
          <cell r="D10">
            <v>800000</v>
          </cell>
          <cell r="E10">
            <v>0</v>
          </cell>
          <cell r="F10">
            <v>702391</v>
          </cell>
          <cell r="G10">
            <v>800000</v>
          </cell>
        </row>
        <row r="11">
          <cell r="A11" t="str">
            <v>AS201663</v>
          </cell>
          <cell r="B11">
            <v>9</v>
          </cell>
          <cell r="C11" t="str">
            <v>FAMPOU PAUL</v>
          </cell>
          <cell r="D11">
            <v>800000</v>
          </cell>
          <cell r="E11">
            <v>0</v>
          </cell>
          <cell r="F11">
            <v>0</v>
          </cell>
          <cell r="G11">
            <v>0</v>
          </cell>
        </row>
        <row r="12">
          <cell r="A12" t="str">
            <v>AS201611</v>
          </cell>
          <cell r="B12">
            <v>10</v>
          </cell>
          <cell r="C12" t="str">
            <v>HENGUE PAUL OMER</v>
          </cell>
          <cell r="D12">
            <v>800000</v>
          </cell>
          <cell r="E12">
            <v>0</v>
          </cell>
          <cell r="F12">
            <v>7143</v>
          </cell>
          <cell r="G12">
            <v>800000</v>
          </cell>
        </row>
        <row r="13">
          <cell r="A13" t="str">
            <v>AS201613</v>
          </cell>
          <cell r="B13">
            <v>11</v>
          </cell>
          <cell r="C13" t="str">
            <v>HOTCHO BENJAMIN</v>
          </cell>
          <cell r="D13">
            <v>800000</v>
          </cell>
          <cell r="E13">
            <v>0</v>
          </cell>
          <cell r="F13">
            <v>6301</v>
          </cell>
          <cell r="G13">
            <v>800000</v>
          </cell>
        </row>
        <row r="14">
          <cell r="A14" t="str">
            <v>AS201617</v>
          </cell>
          <cell r="B14">
            <v>12</v>
          </cell>
          <cell r="C14" t="str">
            <v>KOUAMOU MOISE</v>
          </cell>
          <cell r="D14">
            <v>800000</v>
          </cell>
          <cell r="E14">
            <v>0</v>
          </cell>
          <cell r="F14">
            <v>6353</v>
          </cell>
          <cell r="G14">
            <v>800000</v>
          </cell>
        </row>
        <row r="15">
          <cell r="A15" t="str">
            <v>AS201619</v>
          </cell>
          <cell r="B15">
            <v>13</v>
          </cell>
          <cell r="C15" t="str">
            <v>KOUATCHO MESSACK</v>
          </cell>
          <cell r="D15">
            <v>800000</v>
          </cell>
          <cell r="E15">
            <v>0</v>
          </cell>
          <cell r="F15">
            <v>9944</v>
          </cell>
          <cell r="G15">
            <v>800000</v>
          </cell>
        </row>
        <row r="16">
          <cell r="A16" t="str">
            <v>AS201620</v>
          </cell>
          <cell r="B16">
            <v>14</v>
          </cell>
          <cell r="C16" t="str">
            <v>LOWE JEAN</v>
          </cell>
          <cell r="D16">
            <v>0</v>
          </cell>
          <cell r="E16">
            <v>0</v>
          </cell>
          <cell r="F16">
            <v>676217</v>
          </cell>
          <cell r="G16">
            <v>0</v>
          </cell>
        </row>
        <row r="17">
          <cell r="A17" t="str">
            <v>AS201661</v>
          </cell>
          <cell r="B17">
            <v>15</v>
          </cell>
          <cell r="C17" t="str">
            <v>MASSEUNGOUE DAGOBERT</v>
          </cell>
          <cell r="D17">
            <v>0</v>
          </cell>
          <cell r="E17">
            <v>0</v>
          </cell>
          <cell r="F17">
            <v>198625</v>
          </cell>
          <cell r="G17">
            <v>0</v>
          </cell>
        </row>
        <row r="18">
          <cell r="A18" t="str">
            <v>AS201649</v>
          </cell>
          <cell r="B18">
            <v>16</v>
          </cell>
          <cell r="C18" t="str">
            <v>MBOGNING TUGMA GUY</v>
          </cell>
          <cell r="D18">
            <v>800000</v>
          </cell>
          <cell r="E18">
            <v>0</v>
          </cell>
          <cell r="F18">
            <v>8501</v>
          </cell>
          <cell r="G18">
            <v>800000</v>
          </cell>
        </row>
        <row r="19">
          <cell r="A19" t="str">
            <v>AS201639</v>
          </cell>
          <cell r="B19">
            <v>17</v>
          </cell>
          <cell r="C19" t="str">
            <v>NANGUEN MARTIN</v>
          </cell>
          <cell r="D19">
            <v>800000</v>
          </cell>
          <cell r="E19">
            <v>0</v>
          </cell>
          <cell r="F19">
            <v>7819</v>
          </cell>
          <cell r="G19">
            <v>800000</v>
          </cell>
        </row>
        <row r="20">
          <cell r="A20" t="str">
            <v>AS201621</v>
          </cell>
          <cell r="B20">
            <v>18</v>
          </cell>
          <cell r="C20" t="str">
            <v>NANKAM APPOLINAIRE</v>
          </cell>
          <cell r="D20">
            <v>800000</v>
          </cell>
          <cell r="E20">
            <v>0</v>
          </cell>
          <cell r="F20">
            <v>249258</v>
          </cell>
          <cell r="G20">
            <v>800000</v>
          </cell>
        </row>
        <row r="21">
          <cell r="A21" t="str">
            <v>AS201622</v>
          </cell>
          <cell r="B21">
            <v>19</v>
          </cell>
          <cell r="C21" t="str">
            <v>NDJOMO ETIENNE</v>
          </cell>
          <cell r="D21">
            <v>800000</v>
          </cell>
          <cell r="E21">
            <v>0</v>
          </cell>
          <cell r="F21">
            <v>256158</v>
          </cell>
          <cell r="G21">
            <v>800000</v>
          </cell>
        </row>
        <row r="22">
          <cell r="A22" t="str">
            <v>AS201624</v>
          </cell>
          <cell r="B22">
            <v>20</v>
          </cell>
          <cell r="C22" t="str">
            <v>NGONDIEP CLAUDE</v>
          </cell>
          <cell r="D22">
            <v>800000</v>
          </cell>
          <cell r="E22">
            <v>0</v>
          </cell>
          <cell r="F22">
            <v>353356</v>
          </cell>
          <cell r="G22">
            <v>800000</v>
          </cell>
        </row>
        <row r="23">
          <cell r="A23" t="str">
            <v>AS201626</v>
          </cell>
          <cell r="B23">
            <v>21</v>
          </cell>
          <cell r="C23" t="str">
            <v>NGUIEMEGNI MATHIEU BLAISE</v>
          </cell>
          <cell r="D23">
            <v>800000</v>
          </cell>
          <cell r="E23">
            <v>0</v>
          </cell>
          <cell r="F23">
            <v>9175</v>
          </cell>
          <cell r="G23">
            <v>800000</v>
          </cell>
        </row>
        <row r="24">
          <cell r="A24" t="str">
            <v>AS201628</v>
          </cell>
          <cell r="B24">
            <v>22</v>
          </cell>
          <cell r="C24" t="str">
            <v>NKAMGANG JUSTIN DEJOLIE</v>
          </cell>
          <cell r="D24">
            <v>800000</v>
          </cell>
          <cell r="E24">
            <v>0</v>
          </cell>
          <cell r="F24">
            <v>10531</v>
          </cell>
          <cell r="G24">
            <v>800000</v>
          </cell>
        </row>
        <row r="25">
          <cell r="A25" t="str">
            <v>AS201656</v>
          </cell>
          <cell r="B25">
            <v>23</v>
          </cell>
          <cell r="C25" t="str">
            <v>NOUBE ETIENNE</v>
          </cell>
          <cell r="D25">
            <v>800000</v>
          </cell>
          <cell r="E25">
            <v>0</v>
          </cell>
          <cell r="F25">
            <v>-17159</v>
          </cell>
          <cell r="G25">
            <v>800000</v>
          </cell>
        </row>
        <row r="26">
          <cell r="A26" t="str">
            <v>AS201633</v>
          </cell>
          <cell r="B26">
            <v>24</v>
          </cell>
          <cell r="C26" t="str">
            <v>PATEGO NJOSSU GUSTAVE</v>
          </cell>
          <cell r="D26">
            <v>800000</v>
          </cell>
          <cell r="E26">
            <v>0</v>
          </cell>
          <cell r="F26">
            <v>133342</v>
          </cell>
          <cell r="G26">
            <v>800000</v>
          </cell>
        </row>
        <row r="27">
          <cell r="A27" t="str">
            <v>AS201657</v>
          </cell>
          <cell r="B27">
            <v>25</v>
          </cell>
          <cell r="C27" t="str">
            <v>SEUMO POLYCARPE</v>
          </cell>
          <cell r="D27">
            <v>800000</v>
          </cell>
          <cell r="E27">
            <v>0</v>
          </cell>
          <cell r="F27">
            <v>-9977</v>
          </cell>
          <cell r="G27">
            <v>800000</v>
          </cell>
        </row>
        <row r="28">
          <cell r="A28" t="str">
            <v>AS201653</v>
          </cell>
          <cell r="B28">
            <v>26</v>
          </cell>
          <cell r="C28" t="str">
            <v>SIME BRICE</v>
          </cell>
          <cell r="D28">
            <v>800000</v>
          </cell>
          <cell r="E28">
            <v>0</v>
          </cell>
          <cell r="F28">
            <v>79106</v>
          </cell>
          <cell r="G28">
            <v>800000</v>
          </cell>
        </row>
        <row r="29">
          <cell r="A29" t="str">
            <v>AS201629</v>
          </cell>
          <cell r="B29">
            <v>27</v>
          </cell>
          <cell r="C29" t="str">
            <v>SIMO FONGANG ERIC</v>
          </cell>
          <cell r="D29">
            <v>800000</v>
          </cell>
          <cell r="E29">
            <v>0</v>
          </cell>
          <cell r="F29">
            <v>46691</v>
          </cell>
          <cell r="G29">
            <v>0</v>
          </cell>
        </row>
        <row r="30">
          <cell r="A30" t="str">
            <v>AS201638</v>
          </cell>
          <cell r="B30">
            <v>28</v>
          </cell>
          <cell r="C30" t="str">
            <v>SIMO PIERRE</v>
          </cell>
          <cell r="D30">
            <v>800000</v>
          </cell>
          <cell r="E30">
            <v>0</v>
          </cell>
          <cell r="F30">
            <v>46691</v>
          </cell>
          <cell r="G30">
            <v>800000</v>
          </cell>
        </row>
        <row r="31">
          <cell r="A31" t="str">
            <v>AS201641</v>
          </cell>
          <cell r="B31">
            <v>29</v>
          </cell>
          <cell r="C31" t="str">
            <v>TCHOUAMOU MATHIEU</v>
          </cell>
          <cell r="D31">
            <v>800000</v>
          </cell>
          <cell r="E31">
            <v>0</v>
          </cell>
          <cell r="F31">
            <v>6050</v>
          </cell>
          <cell r="G31">
            <v>800000</v>
          </cell>
        </row>
        <row r="32">
          <cell r="A32" t="str">
            <v>AS201660</v>
          </cell>
          <cell r="B32">
            <v>30</v>
          </cell>
          <cell r="C32" t="str">
            <v>TCHOUATEU AUGUSTIN</v>
          </cell>
          <cell r="D32">
            <v>800000</v>
          </cell>
          <cell r="E32">
            <v>0</v>
          </cell>
          <cell r="F32">
            <v>-3392</v>
          </cell>
          <cell r="G32">
            <v>800000</v>
          </cell>
        </row>
        <row r="33">
          <cell r="A33" t="str">
            <v>AS201643</v>
          </cell>
          <cell r="B33">
            <v>31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487750</v>
          </cell>
          <cell r="G33">
            <v>0</v>
          </cell>
        </row>
        <row r="34">
          <cell r="A34" t="str">
            <v>AS201662</v>
          </cell>
          <cell r="B34">
            <v>32</v>
          </cell>
          <cell r="C34" t="str">
            <v>TIEYAM ERNEST</v>
          </cell>
          <cell r="D34">
            <v>800000</v>
          </cell>
          <cell r="E34">
            <v>0</v>
          </cell>
          <cell r="F34">
            <v>-32497</v>
          </cell>
          <cell r="G34">
            <v>0</v>
          </cell>
        </row>
        <row r="35">
          <cell r="A35" t="str">
            <v>AS201658</v>
          </cell>
          <cell r="B35">
            <v>33</v>
          </cell>
          <cell r="C35" t="str">
            <v>YANTCHOU GERVAIS</v>
          </cell>
          <cell r="D35">
            <v>800000</v>
          </cell>
          <cell r="E35">
            <v>0</v>
          </cell>
          <cell r="F35">
            <v>-32497</v>
          </cell>
          <cell r="G35">
            <v>800000</v>
          </cell>
        </row>
        <row r="36">
          <cell r="A36" t="str">
            <v>AS201646</v>
          </cell>
          <cell r="B36">
            <v>34</v>
          </cell>
          <cell r="C36" t="str">
            <v>YEPMOU JEAN JACQUES</v>
          </cell>
          <cell r="D36">
            <v>800000</v>
          </cell>
          <cell r="E36">
            <v>0</v>
          </cell>
          <cell r="F36">
            <v>739643</v>
          </cell>
          <cell r="G36">
            <v>800000</v>
          </cell>
        </row>
        <row r="37">
          <cell r="A37" t="str">
            <v>AS201659</v>
          </cell>
          <cell r="B37">
            <v>35</v>
          </cell>
          <cell r="C37" t="str">
            <v>YIALA ALAIN OSCAR</v>
          </cell>
          <cell r="D37">
            <v>800000</v>
          </cell>
          <cell r="E37">
            <v>0</v>
          </cell>
          <cell r="F37">
            <v>241</v>
          </cell>
          <cell r="G37">
            <v>800000</v>
          </cell>
        </row>
        <row r="38">
          <cell r="A38" t="str">
            <v>AS201647</v>
          </cell>
          <cell r="B38">
            <v>36</v>
          </cell>
          <cell r="C38" t="str">
            <v>YOUMBI EMMANUEL</v>
          </cell>
          <cell r="D38">
            <v>800000</v>
          </cell>
          <cell r="E38">
            <v>0</v>
          </cell>
          <cell r="F38">
            <v>1296586</v>
          </cell>
          <cell r="G38">
            <v>800000</v>
          </cell>
        </row>
        <row r="39">
          <cell r="A39" t="str">
            <v>TOTAL</v>
          </cell>
          <cell r="B39"/>
          <cell r="C39"/>
          <cell r="D39">
            <v>24800000</v>
          </cell>
          <cell r="E39">
            <v>0</v>
          </cell>
          <cell r="F39">
            <v>5234205</v>
          </cell>
          <cell r="G39">
            <v>24800000</v>
          </cell>
        </row>
        <row r="40">
          <cell r="A40" t="str">
            <v>TOTAL</v>
          </cell>
          <cell r="B40"/>
          <cell r="C40"/>
          <cell r="D40">
            <v>24000000</v>
          </cell>
          <cell r="E40">
            <v>0</v>
          </cell>
          <cell r="F40">
            <v>6443329</v>
          </cell>
          <cell r="G40">
            <v>24000000</v>
          </cell>
        </row>
        <row r="41">
          <cell r="A41"/>
          <cell r="B41" t="str">
            <v>EN ATTENTE DE LIQUIDATION</v>
          </cell>
          <cell r="C41"/>
        </row>
        <row r="42">
          <cell r="B42" t="str">
            <v>EN ATTENTE DE LIQUIDATION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  <sheetName val="HISTOJANV26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93000</v>
          </cell>
          <cell r="BD7">
            <v>93000</v>
          </cell>
          <cell r="BF7">
            <v>0</v>
          </cell>
          <cell r="BG7">
            <v>12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A8">
            <v>440000</v>
          </cell>
          <cell r="BD8">
            <v>45000</v>
          </cell>
          <cell r="BF8">
            <v>15000</v>
          </cell>
          <cell r="BG8">
            <v>3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Z11">
            <v>1135000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1135000</v>
          </cell>
          <cell r="BD11">
            <v>1135000</v>
          </cell>
          <cell r="BF11">
            <v>0</v>
          </cell>
          <cell r="BG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</row>
        <row r="15">
          <cell r="A15" t="str">
            <v>AS201663</v>
          </cell>
          <cell r="B15" t="str">
            <v>FAMPOU PAUL</v>
          </cell>
          <cell r="BF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0</v>
          </cell>
          <cell r="E16">
            <v>125000</v>
          </cell>
          <cell r="F16">
            <v>0</v>
          </cell>
          <cell r="G16">
            <v>0</v>
          </cell>
          <cell r="H16" t="str">
            <v>ESPECES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U16">
            <v>125000</v>
          </cell>
          <cell r="Z16">
            <v>1050000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1050000</v>
          </cell>
          <cell r="BD16">
            <v>1050000</v>
          </cell>
          <cell r="BF16">
            <v>0</v>
          </cell>
          <cell r="BG16">
            <v>0</v>
          </cell>
        </row>
        <row r="17">
          <cell r="A17" t="str">
            <v>AS201613</v>
          </cell>
          <cell r="B17" t="str">
            <v>HOTCHO BENJAMIN</v>
          </cell>
          <cell r="C17">
            <v>-530000</v>
          </cell>
          <cell r="D17">
            <v>952000</v>
          </cell>
          <cell r="E17">
            <v>202000</v>
          </cell>
          <cell r="F17">
            <v>0</v>
          </cell>
          <cell r="G17">
            <v>0</v>
          </cell>
          <cell r="H17" t="str">
            <v>BANQUE</v>
          </cell>
          <cell r="I17">
            <v>55000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202000</v>
          </cell>
          <cell r="R17">
            <v>202000</v>
          </cell>
          <cell r="S17">
            <v>1000000</v>
          </cell>
          <cell r="U17">
            <v>1684000</v>
          </cell>
          <cell r="AQ17">
            <v>0</v>
          </cell>
          <cell r="AR17">
            <v>0</v>
          </cell>
          <cell r="AS17">
            <v>80000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AS201617</v>
          </cell>
          <cell r="B18" t="str">
            <v>KOUAMOU MOISE</v>
          </cell>
          <cell r="C18">
            <v>-170000</v>
          </cell>
          <cell r="D18">
            <v>260000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5500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104500</v>
          </cell>
          <cell r="S18">
            <v>170000</v>
          </cell>
          <cell r="U18">
            <v>430000</v>
          </cell>
          <cell r="Z18">
            <v>346500</v>
          </cell>
          <cell r="AQ18">
            <v>0</v>
          </cell>
          <cell r="AR18">
            <v>0</v>
          </cell>
          <cell r="AS18">
            <v>30500</v>
          </cell>
          <cell r="AW18">
            <v>0</v>
          </cell>
          <cell r="AX18">
            <v>0</v>
          </cell>
          <cell r="AY18">
            <v>0</v>
          </cell>
          <cell r="AZ18">
            <v>346500</v>
          </cell>
          <cell r="BD18">
            <v>346500</v>
          </cell>
          <cell r="BF18">
            <v>0</v>
          </cell>
          <cell r="BG18">
            <v>0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611000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10000</v>
          </cell>
          <cell r="J19">
            <v>1</v>
          </cell>
          <cell r="K19">
            <v>50000</v>
          </cell>
          <cell r="M19">
            <v>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S19">
            <v>350000</v>
          </cell>
          <cell r="U19">
            <v>611000</v>
          </cell>
          <cell r="Z19">
            <v>1000000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0</v>
          </cell>
          <cell r="AZ19">
            <v>880000</v>
          </cell>
          <cell r="BD19">
            <v>880000</v>
          </cell>
          <cell r="BE19" t="str">
            <v>OK</v>
          </cell>
          <cell r="BF19">
            <v>120000</v>
          </cell>
          <cell r="BG19">
            <v>12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-487500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297500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347500</v>
          </cell>
          <cell r="AC21">
            <v>2500</v>
          </cell>
          <cell r="AQ21">
            <v>0</v>
          </cell>
          <cell r="AR21">
            <v>0</v>
          </cell>
          <cell r="AS21">
            <v>322500</v>
          </cell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297500</v>
          </cell>
          <cell r="BB21">
            <v>190000</v>
          </cell>
          <cell r="BF21">
            <v>0</v>
          </cell>
          <cell r="BG21">
            <v>12</v>
          </cell>
        </row>
        <row r="22">
          <cell r="A22" t="str">
            <v>AS201649</v>
          </cell>
          <cell r="B22" t="str">
            <v>MBOGNING TUGMA GUY</v>
          </cell>
          <cell r="C22">
            <v>-66700</v>
          </cell>
          <cell r="D22">
            <v>225000</v>
          </cell>
          <cell r="E22">
            <v>1536000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1</v>
          </cell>
          <cell r="O22">
            <v>100000</v>
          </cell>
          <cell r="P22">
            <v>132000</v>
          </cell>
          <cell r="Q22">
            <v>202000</v>
          </cell>
          <cell r="R22">
            <v>202000</v>
          </cell>
          <cell r="S22">
            <v>1000000</v>
          </cell>
          <cell r="U22">
            <v>1761000</v>
          </cell>
          <cell r="Z22">
            <v>1000000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970000</v>
          </cell>
          <cell r="BA22">
            <v>970000</v>
          </cell>
          <cell r="BB22">
            <v>66700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-283500</v>
          </cell>
          <cell r="D23">
            <v>0</v>
          </cell>
          <cell r="E23">
            <v>66500</v>
          </cell>
          <cell r="F23">
            <v>0</v>
          </cell>
          <cell r="G23">
            <v>0</v>
          </cell>
          <cell r="H23" t="str">
            <v>ESPECES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300000</v>
          </cell>
          <cell r="U23">
            <v>350000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46500</v>
          </cell>
          <cell r="BD23">
            <v>46500</v>
          </cell>
          <cell r="BF23">
            <v>0</v>
          </cell>
          <cell r="BG23">
            <v>12</v>
          </cell>
        </row>
        <row r="24">
          <cell r="A24" t="str">
            <v>AS201621</v>
          </cell>
          <cell r="B24" t="str">
            <v>NANKAM APPOLINAIRE</v>
          </cell>
          <cell r="C24">
            <v>-107500</v>
          </cell>
          <cell r="D24">
            <v>125000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107500</v>
          </cell>
          <cell r="U24">
            <v>232500</v>
          </cell>
          <cell r="Z24">
            <v>900000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792000</v>
          </cell>
          <cell r="BD24">
            <v>792000</v>
          </cell>
          <cell r="BE24" t="str">
            <v>OK</v>
          </cell>
          <cell r="BF24">
            <v>108000</v>
          </cell>
          <cell r="BG24">
            <v>12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1164000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10000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404000</v>
          </cell>
          <cell r="S25">
            <v>500000</v>
          </cell>
          <cell r="U25">
            <v>1164000</v>
          </cell>
          <cell r="Z25">
            <v>500000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D25">
            <v>470000</v>
          </cell>
          <cell r="BE25" t="str">
            <v>OK</v>
          </cell>
          <cell r="BF25">
            <v>30000</v>
          </cell>
          <cell r="BG25">
            <v>6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442000</v>
          </cell>
          <cell r="E26">
            <v>500000</v>
          </cell>
          <cell r="F26">
            <v>0</v>
          </cell>
          <cell r="G26">
            <v>0</v>
          </cell>
          <cell r="H26" t="str">
            <v>BANQUE</v>
          </cell>
          <cell r="I26">
            <v>13000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204000</v>
          </cell>
          <cell r="S26">
            <v>500000</v>
          </cell>
          <cell r="U26">
            <v>942000</v>
          </cell>
          <cell r="AQ26">
            <v>0</v>
          </cell>
          <cell r="AR26">
            <v>0</v>
          </cell>
          <cell r="AS26">
            <v>38000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12</v>
          </cell>
        </row>
        <row r="27">
          <cell r="A27" t="str">
            <v>AS201626</v>
          </cell>
          <cell r="B27" t="str">
            <v>NGUIEMEGNI MATHIEU BLAISE</v>
          </cell>
          <cell r="C27">
            <v>-1000000</v>
          </cell>
          <cell r="D27">
            <v>375000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L27">
            <v>3</v>
          </cell>
          <cell r="M27">
            <v>225000</v>
          </cell>
          <cell r="N27">
            <v>1</v>
          </cell>
          <cell r="O27">
            <v>100000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U27">
            <v>1375000</v>
          </cell>
          <cell r="Z27">
            <v>1000000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880000</v>
          </cell>
          <cell r="BD27">
            <v>880000</v>
          </cell>
          <cell r="BE27" t="str">
            <v>OK</v>
          </cell>
          <cell r="BF27">
            <v>120000</v>
          </cell>
          <cell r="BG27">
            <v>12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0</v>
          </cell>
          <cell r="E28">
            <v>1050000</v>
          </cell>
          <cell r="F28">
            <v>0</v>
          </cell>
          <cell r="G28">
            <v>0</v>
          </cell>
          <cell r="H28" t="str">
            <v>ESPECES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U28">
            <v>1050000</v>
          </cell>
          <cell r="Z28">
            <v>1000000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144500</v>
          </cell>
          <cell r="BD28">
            <v>825500</v>
          </cell>
          <cell r="BE28" t="str">
            <v>OK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-50000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50000</v>
          </cell>
          <cell r="U29">
            <v>100000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7750</v>
          </cell>
          <cell r="BD29">
            <v>7750</v>
          </cell>
          <cell r="BF29">
            <v>0</v>
          </cell>
          <cell r="BG29">
            <v>3</v>
          </cell>
        </row>
        <row r="30">
          <cell r="A30" t="str">
            <v>AS201633</v>
          </cell>
          <cell r="B30" t="str">
            <v>PATEGO NJOSSU GUSTAVE</v>
          </cell>
          <cell r="C30">
            <v>-27000</v>
          </cell>
          <cell r="D30">
            <v>125000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27000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152000</v>
          </cell>
          <cell r="AQ30">
            <v>0</v>
          </cell>
          <cell r="AR30">
            <v>0</v>
          </cell>
          <cell r="AS30">
            <v>52000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12</v>
          </cell>
        </row>
        <row r="31">
          <cell r="A31" t="str">
            <v>AS201657</v>
          </cell>
          <cell r="B31" t="str">
            <v>SEUMO POLYCARPE</v>
          </cell>
          <cell r="C31">
            <v>-115000</v>
          </cell>
          <cell r="D31">
            <v>110000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>
            <v>-1000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61000</v>
          </cell>
          <cell r="Q31">
            <v>0</v>
          </cell>
          <cell r="R31">
            <v>0</v>
          </cell>
          <cell r="U31">
            <v>110000</v>
          </cell>
          <cell r="Z31">
            <v>1000000</v>
          </cell>
          <cell r="AQ31">
            <v>0</v>
          </cell>
          <cell r="AR31">
            <v>0</v>
          </cell>
          <cell r="AS31">
            <v>24000</v>
          </cell>
          <cell r="AW31">
            <v>0</v>
          </cell>
          <cell r="AX31">
            <v>0</v>
          </cell>
          <cell r="AY31">
            <v>0</v>
          </cell>
          <cell r="AZ31">
            <v>980000</v>
          </cell>
          <cell r="BA31">
            <v>980000</v>
          </cell>
          <cell r="BB31">
            <v>115000</v>
          </cell>
          <cell r="BF31">
            <v>120000</v>
          </cell>
          <cell r="BG31">
            <v>12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452000</v>
          </cell>
          <cell r="E32">
            <v>1000000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202000</v>
          </cell>
          <cell r="S32">
            <v>1000000</v>
          </cell>
          <cell r="U32">
            <v>1452000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880000</v>
          </cell>
          <cell r="BD32">
            <v>90000</v>
          </cell>
          <cell r="BF32">
            <v>30000</v>
          </cell>
          <cell r="BG32">
            <v>3</v>
          </cell>
        </row>
        <row r="33">
          <cell r="A33" t="str">
            <v>AS201629</v>
          </cell>
          <cell r="B33" t="str">
            <v>SIMO FONGANG ERIC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1150000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>
            <v>1000000</v>
          </cell>
          <cell r="U34">
            <v>1150000</v>
          </cell>
          <cell r="Z34">
            <v>1000000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880000</v>
          </cell>
          <cell r="BD34">
            <v>880000</v>
          </cell>
          <cell r="BE34" t="str">
            <v>OK</v>
          </cell>
          <cell r="BF34">
            <v>120000</v>
          </cell>
          <cell r="BG34">
            <v>12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U35">
            <v>327000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160000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10000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160000</v>
          </cell>
          <cell r="Z36">
            <v>1000000</v>
          </cell>
          <cell r="AQ36">
            <v>0</v>
          </cell>
          <cell r="AR36">
            <v>0</v>
          </cell>
          <cell r="AS36">
            <v>35000</v>
          </cell>
          <cell r="AW36">
            <v>0</v>
          </cell>
          <cell r="AX36">
            <v>0</v>
          </cell>
          <cell r="AY36">
            <v>0</v>
          </cell>
          <cell r="AZ36">
            <v>880000</v>
          </cell>
          <cell r="BA36">
            <v>880000</v>
          </cell>
          <cell r="BD36">
            <v>0</v>
          </cell>
          <cell r="BF36">
            <v>120000</v>
          </cell>
          <cell r="BG36">
            <v>12</v>
          </cell>
        </row>
        <row r="37">
          <cell r="A37" t="str">
            <v>AS201643</v>
          </cell>
          <cell r="B37" t="str">
            <v>TCHOUTOU NANA CLAUDE</v>
          </cell>
          <cell r="C37">
            <v>-297500</v>
          </cell>
          <cell r="D37">
            <v>0</v>
          </cell>
          <cell r="E37">
            <v>50000</v>
          </cell>
          <cell r="F37">
            <v>0</v>
          </cell>
          <cell r="G37">
            <v>0</v>
          </cell>
          <cell r="H37" t="str">
            <v>ESPECES</v>
          </cell>
          <cell r="I37">
            <v>297500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347500</v>
          </cell>
          <cell r="AC37">
            <v>2500</v>
          </cell>
          <cell r="AQ37">
            <v>0</v>
          </cell>
          <cell r="AR37">
            <v>0</v>
          </cell>
          <cell r="AS37">
            <v>322500</v>
          </cell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297500</v>
          </cell>
          <cell r="BD37">
            <v>0</v>
          </cell>
          <cell r="BF37">
            <v>0</v>
          </cell>
          <cell r="BG37">
            <v>12</v>
          </cell>
        </row>
        <row r="38">
          <cell r="A38" t="str">
            <v>AS201662</v>
          </cell>
          <cell r="B38" t="str">
            <v>TIEYAM ERNEST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350000</v>
          </cell>
          <cell r="E39">
            <v>0</v>
          </cell>
          <cell r="F39">
            <v>0</v>
          </cell>
          <cell r="G39">
            <v>0</v>
          </cell>
          <cell r="H39" t="str">
            <v>BANQUE</v>
          </cell>
          <cell r="J39">
            <v>1</v>
          </cell>
          <cell r="K39">
            <v>50000</v>
          </cell>
          <cell r="M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300000</v>
          </cell>
          <cell r="U39">
            <v>350000</v>
          </cell>
          <cell r="Z39">
            <v>1000000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880000</v>
          </cell>
          <cell r="BD39">
            <v>880000</v>
          </cell>
          <cell r="BE39" t="str">
            <v>OK</v>
          </cell>
          <cell r="BF39">
            <v>120000</v>
          </cell>
          <cell r="BG39">
            <v>12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0</v>
          </cell>
          <cell r="H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AC40">
            <v>2500</v>
          </cell>
          <cell r="AQ40">
            <v>0</v>
          </cell>
          <cell r="AR40">
            <v>0</v>
          </cell>
          <cell r="AS40">
            <v>25000</v>
          </cell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297500</v>
          </cell>
          <cell r="BD40">
            <v>0</v>
          </cell>
          <cell r="BF40">
            <v>0</v>
          </cell>
          <cell r="BG40">
            <v>12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150000</v>
          </cell>
          <cell r="F41">
            <v>0</v>
          </cell>
          <cell r="G41">
            <v>0</v>
          </cell>
          <cell r="H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1</v>
          </cell>
          <cell r="O41">
            <v>100000</v>
          </cell>
          <cell r="P41">
            <v>0</v>
          </cell>
          <cell r="Q41">
            <v>0</v>
          </cell>
          <cell r="R41">
            <v>0</v>
          </cell>
          <cell r="U41">
            <v>150000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D41">
            <v>0</v>
          </cell>
          <cell r="BF41">
            <v>0</v>
          </cell>
          <cell r="BG41">
            <v>12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125000</v>
          </cell>
          <cell r="E42">
            <v>0</v>
          </cell>
          <cell r="F42">
            <v>0</v>
          </cell>
          <cell r="G42">
            <v>0</v>
          </cell>
          <cell r="H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125000</v>
          </cell>
          <cell r="Z42">
            <v>500000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485000</v>
          </cell>
          <cell r="BA42">
            <v>485000</v>
          </cell>
          <cell r="BD42">
            <v>0</v>
          </cell>
          <cell r="BF42">
            <v>15000</v>
          </cell>
          <cell r="BG42">
            <v>3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/>
          <cell r="Q6"/>
          <cell r="R6"/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673000</v>
          </cell>
          <cell r="BA6">
            <v>102000</v>
          </cell>
          <cell r="BB6"/>
          <cell r="BC6">
            <v>0</v>
          </cell>
          <cell r="BD6">
            <v>571000</v>
          </cell>
          <cell r="BE6"/>
          <cell r="BF6">
            <v>0</v>
          </cell>
          <cell r="BG6">
            <v>11</v>
          </cell>
          <cell r="BH6">
            <v>72000</v>
          </cell>
          <cell r="BI6">
            <v>200000</v>
          </cell>
          <cell r="BJ6">
            <v>0</v>
          </cell>
          <cell r="BK6"/>
          <cell r="BL6"/>
          <cell r="BM6"/>
          <cell r="BN6">
            <v>401000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/>
          <cell r="Q7"/>
          <cell r="R7"/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>
            <v>1000000</v>
          </cell>
          <cell r="AA7" t="str">
            <v>BANQUE</v>
          </cell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890000</v>
          </cell>
          <cell r="BA7"/>
          <cell r="BB7"/>
          <cell r="BC7">
            <v>0</v>
          </cell>
          <cell r="BD7">
            <v>890000</v>
          </cell>
          <cell r="BE7" t="str">
            <v>OK</v>
          </cell>
          <cell r="BF7">
            <v>110000</v>
          </cell>
          <cell r="BG7">
            <v>11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/>
          <cell r="Q8"/>
          <cell r="R8"/>
          <cell r="S8"/>
          <cell r="T8"/>
          <cell r="U8">
            <v>125000</v>
          </cell>
          <cell r="V8"/>
          <cell r="W8"/>
          <cell r="X8"/>
          <cell r="Y8">
            <v>125000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/>
          <cell r="BB8"/>
          <cell r="BC8">
            <v>0</v>
          </cell>
          <cell r="BD8">
            <v>0</v>
          </cell>
          <cell r="BE8"/>
          <cell r="BF8">
            <v>0</v>
          </cell>
          <cell r="BG8">
            <v>11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>
            <v>66000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/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/>
          <cell r="Q9"/>
          <cell r="R9"/>
          <cell r="S9"/>
          <cell r="T9"/>
          <cell r="U9">
            <v>250000</v>
          </cell>
          <cell r="V9"/>
          <cell r="W9"/>
          <cell r="X9"/>
          <cell r="Y9">
            <v>250000</v>
          </cell>
          <cell r="Z9"/>
          <cell r="AA9"/>
          <cell r="AB9"/>
          <cell r="AC9">
            <v>31000</v>
          </cell>
          <cell r="AD9"/>
          <cell r="AE9"/>
          <cell r="AF9" t="str">
            <v>BANQUE</v>
          </cell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269000</v>
          </cell>
          <cell r="AX9">
            <v>0</v>
          </cell>
          <cell r="AY9">
            <v>0</v>
          </cell>
          <cell r="AZ9">
            <v>269000</v>
          </cell>
          <cell r="BA9"/>
          <cell r="BB9"/>
          <cell r="BC9">
            <v>0</v>
          </cell>
          <cell r="BD9">
            <v>269000</v>
          </cell>
          <cell r="BE9" t="str">
            <v>OK</v>
          </cell>
          <cell r="BF9">
            <v>0</v>
          </cell>
          <cell r="BG9">
            <v>11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50000</v>
          </cell>
          <cell r="F10">
            <v>0</v>
          </cell>
          <cell r="G10"/>
          <cell r="H10">
            <v>0</v>
          </cell>
          <cell r="I10" t="str">
            <v>ESPECES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/>
          <cell r="Q10"/>
          <cell r="R10"/>
          <cell r="S10"/>
          <cell r="T10"/>
          <cell r="U10">
            <v>50000</v>
          </cell>
          <cell r="V10"/>
          <cell r="W10"/>
          <cell r="X10"/>
          <cell r="Y10">
            <v>50000</v>
          </cell>
          <cell r="Z10"/>
          <cell r="AA10"/>
          <cell r="AB10"/>
          <cell r="AC10">
            <v>30000</v>
          </cell>
          <cell r="AD10"/>
          <cell r="AE10"/>
          <cell r="AF10" t="str">
            <v>BANQUE</v>
          </cell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270000</v>
          </cell>
          <cell r="AX10">
            <v>0</v>
          </cell>
          <cell r="AY10">
            <v>0</v>
          </cell>
          <cell r="AZ10">
            <v>270000</v>
          </cell>
          <cell r="BA10"/>
          <cell r="BB10"/>
          <cell r="BC10">
            <v>0</v>
          </cell>
          <cell r="BD10">
            <v>270000</v>
          </cell>
          <cell r="BE10" t="str">
            <v>OK</v>
          </cell>
          <cell r="BF10">
            <v>0</v>
          </cell>
          <cell r="BG10">
            <v>11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/>
          <cell r="Q11"/>
          <cell r="R11"/>
          <cell r="S11"/>
          <cell r="T11"/>
          <cell r="U11">
            <v>150000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/>
          <cell r="BB11"/>
          <cell r="BC11">
            <v>0</v>
          </cell>
          <cell r="BD11">
            <v>0</v>
          </cell>
          <cell r="BE11"/>
          <cell r="BF11">
            <v>0</v>
          </cell>
          <cell r="BG11">
            <v>11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/>
          <cell r="Q12"/>
          <cell r="R12"/>
          <cell r="S12"/>
          <cell r="T12"/>
          <cell r="U12">
            <v>260000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35000</v>
          </cell>
          <cell r="AT12"/>
          <cell r="AV12"/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/>
          <cell r="BB12"/>
          <cell r="BC12">
            <v>0</v>
          </cell>
          <cell r="BD12">
            <v>0</v>
          </cell>
          <cell r="BE12"/>
          <cell r="BF12">
            <v>0</v>
          </cell>
          <cell r="BG12">
            <v>11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/>
          <cell r="Q13"/>
          <cell r="R13"/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11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/>
          <cell r="Q14"/>
          <cell r="R14"/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11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ECHEC</v>
          </cell>
          <cell r="J15">
            <v>1</v>
          </cell>
          <cell r="K15">
            <v>0</v>
          </cell>
          <cell r="L15"/>
          <cell r="M15">
            <v>0</v>
          </cell>
          <cell r="N15">
            <v>1</v>
          </cell>
          <cell r="O15">
            <v>0</v>
          </cell>
          <cell r="P15"/>
          <cell r="Q15"/>
          <cell r="R15"/>
          <cell r="S15"/>
          <cell r="T15"/>
          <cell r="U15">
            <v>0</v>
          </cell>
          <cell r="V15"/>
          <cell r="W15"/>
          <cell r="X15"/>
          <cell r="Y15">
            <v>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11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/>
          <cell r="Q16"/>
          <cell r="R16"/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11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25000</v>
          </cell>
          <cell r="F17">
            <v>0</v>
          </cell>
          <cell r="G17">
            <v>50000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/>
          <cell r="Q17"/>
          <cell r="R17"/>
          <cell r="S17"/>
          <cell r="T17"/>
          <cell r="U17">
            <v>275000</v>
          </cell>
          <cell r="V17"/>
          <cell r="W17"/>
          <cell r="X17"/>
          <cell r="Y17">
            <v>225000</v>
          </cell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>
            <v>0</v>
          </cell>
          <cell r="AR17">
            <v>0</v>
          </cell>
          <cell r="AS17">
            <v>75000</v>
          </cell>
          <cell r="AT17"/>
          <cell r="AV17"/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/>
          <cell r="BB17"/>
          <cell r="BC17">
            <v>0</v>
          </cell>
          <cell r="BD17">
            <v>0</v>
          </cell>
          <cell r="BE17"/>
          <cell r="BF17">
            <v>0</v>
          </cell>
          <cell r="BG17">
            <v>11</v>
          </cell>
          <cell r="BH17"/>
          <cell r="BI17"/>
          <cell r="BJ17"/>
          <cell r="BK17"/>
          <cell r="BL17"/>
          <cell r="BO17" t="str">
            <v>S/TOTAL</v>
          </cell>
          <cell r="BQ17">
            <v>72000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346500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/>
          <cell r="Q18"/>
          <cell r="R18"/>
          <cell r="S18">
            <v>346500</v>
          </cell>
          <cell r="T18" t="str">
            <v>BANQUE</v>
          </cell>
          <cell r="U18">
            <v>496500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>
            <v>115000</v>
          </cell>
          <cell r="AF18" t="str">
            <v>BANQUE</v>
          </cell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1085000</v>
          </cell>
          <cell r="AZ18">
            <v>1085000</v>
          </cell>
          <cell r="BA18"/>
          <cell r="BB18"/>
          <cell r="BC18">
            <v>346500</v>
          </cell>
          <cell r="BD18">
            <v>738500</v>
          </cell>
          <cell r="BE18" t="str">
            <v>OK</v>
          </cell>
          <cell r="BF18">
            <v>0</v>
          </cell>
          <cell r="BG18">
            <v>11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/>
          <cell r="Q19"/>
          <cell r="R19"/>
          <cell r="S19"/>
          <cell r="T19"/>
          <cell r="U19">
            <v>235000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>
            <v>105000</v>
          </cell>
          <cell r="AF19" t="str">
            <v>BANQUE</v>
          </cell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>
            <v>0</v>
          </cell>
          <cell r="AR19">
            <v>0</v>
          </cell>
          <cell r="AS19">
            <v>35000</v>
          </cell>
          <cell r="AT19"/>
          <cell r="AV19"/>
          <cell r="AW19">
            <v>0</v>
          </cell>
          <cell r="AX19">
            <v>0</v>
          </cell>
          <cell r="AY19">
            <v>1095000</v>
          </cell>
          <cell r="AZ19">
            <v>1095000</v>
          </cell>
          <cell r="BA19"/>
          <cell r="BB19"/>
          <cell r="BC19">
            <v>0</v>
          </cell>
          <cell r="BD19">
            <v>1095000</v>
          </cell>
          <cell r="BE19" t="str">
            <v>OK</v>
          </cell>
          <cell r="BF19">
            <v>0</v>
          </cell>
          <cell r="BG19">
            <v>11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650000</v>
          </cell>
          <cell r="E20">
            <v>0</v>
          </cell>
          <cell r="F20">
            <v>0</v>
          </cell>
          <cell r="G20">
            <v>600000</v>
          </cell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/>
          <cell r="Q20"/>
          <cell r="R20"/>
          <cell r="S20"/>
          <cell r="T20"/>
          <cell r="U20">
            <v>650000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625000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11</v>
          </cell>
          <cell r="BH20"/>
          <cell r="BI20"/>
          <cell r="BJ20"/>
          <cell r="BK20"/>
          <cell r="BL20"/>
          <cell r="BO20" t="str">
            <v>RETRAIT COMPTE FOYER</v>
          </cell>
          <cell r="BQ20">
            <v>402000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650000</v>
          </cell>
          <cell r="E21">
            <v>0</v>
          </cell>
          <cell r="F21">
            <v>0</v>
          </cell>
          <cell r="G21">
            <v>600000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/>
          <cell r="Q21"/>
          <cell r="R21"/>
          <cell r="S21"/>
          <cell r="T21"/>
          <cell r="U21">
            <v>650000</v>
          </cell>
          <cell r="V21"/>
          <cell r="W21"/>
          <cell r="X21"/>
          <cell r="Y21">
            <v>50000</v>
          </cell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>
            <v>0</v>
          </cell>
          <cell r="AR21">
            <v>0</v>
          </cell>
          <cell r="AS21">
            <v>625000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/>
          <cell r="BB21"/>
          <cell r="BC21">
            <v>0</v>
          </cell>
          <cell r="BD21">
            <v>0</v>
          </cell>
          <cell r="BE21"/>
          <cell r="BF21">
            <v>0</v>
          </cell>
          <cell r="BG21">
            <v>11</v>
          </cell>
          <cell r="BH21"/>
          <cell r="BI21"/>
          <cell r="BJ21"/>
          <cell r="BK21"/>
          <cell r="BL21"/>
          <cell r="BO21" t="str">
            <v>RETRAIT COMPTE FOYER</v>
          </cell>
          <cell r="BQ21">
            <v>371000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G22"/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/>
          <cell r="Q22"/>
          <cell r="R22"/>
          <cell r="S22"/>
          <cell r="T22"/>
          <cell r="U22">
            <v>325000</v>
          </cell>
          <cell r="V22"/>
          <cell r="W22"/>
          <cell r="X22"/>
          <cell r="Y22">
            <v>325000</v>
          </cell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/>
          <cell r="BB22"/>
          <cell r="BC22">
            <v>0</v>
          </cell>
          <cell r="BD22">
            <v>0</v>
          </cell>
          <cell r="BE22"/>
          <cell r="BF22">
            <v>0</v>
          </cell>
          <cell r="BG22">
            <v>11</v>
          </cell>
          <cell r="BH22"/>
          <cell r="BI22"/>
          <cell r="BJ22"/>
          <cell r="BK22"/>
          <cell r="BL22"/>
          <cell r="BO22" t="str">
            <v>RETRAIT AIDE</v>
          </cell>
          <cell r="BQ22">
            <v>30000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/>
          <cell r="Q23"/>
          <cell r="R23"/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>
            <v>7500</v>
          </cell>
          <cell r="AE23"/>
          <cell r="AF23" t="str">
            <v>BANQUE</v>
          </cell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32000</v>
          </cell>
          <cell r="BB23"/>
          <cell r="BC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11</v>
          </cell>
          <cell r="BH23"/>
          <cell r="BI23"/>
          <cell r="BJ23"/>
          <cell r="BK23"/>
          <cell r="BL23"/>
          <cell r="BO23" t="str">
            <v>S/TOTAL</v>
          </cell>
          <cell r="BQ23">
            <v>402000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/>
          <cell r="Q24"/>
          <cell r="R24"/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>
            <v>7500</v>
          </cell>
          <cell r="AE24"/>
          <cell r="AF24" t="str">
            <v>BANQUE</v>
          </cell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892500</v>
          </cell>
          <cell r="AY24">
            <v>0</v>
          </cell>
          <cell r="AZ24">
            <v>892500</v>
          </cell>
          <cell r="BA24">
            <v>32000</v>
          </cell>
          <cell r="BB24"/>
          <cell r="BC24">
            <v>0</v>
          </cell>
          <cell r="BD24">
            <v>860500</v>
          </cell>
          <cell r="BE24" t="str">
            <v>OK</v>
          </cell>
          <cell r="BF24">
            <v>0</v>
          </cell>
          <cell r="BG24">
            <v>11</v>
          </cell>
          <cell r="BH24"/>
          <cell r="BI24"/>
          <cell r="BJ24"/>
          <cell r="BK24"/>
          <cell r="BL24"/>
          <cell r="BO24" t="str">
            <v>S/TOTAL</v>
          </cell>
          <cell r="BQ24">
            <v>401000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/>
          <cell r="Q25"/>
          <cell r="R25"/>
          <cell r="S25"/>
          <cell r="T25"/>
          <cell r="U25">
            <v>260000</v>
          </cell>
          <cell r="V25"/>
          <cell r="W25"/>
          <cell r="X25"/>
          <cell r="Y25">
            <v>250000</v>
          </cell>
          <cell r="Z25">
            <v>1000000</v>
          </cell>
          <cell r="AA25" t="str">
            <v>BANQUE</v>
          </cell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/>
          <cell r="BB25"/>
          <cell r="BC25">
            <v>0</v>
          </cell>
          <cell r="BD25">
            <v>0</v>
          </cell>
          <cell r="BE25" t="str">
            <v>OK</v>
          </cell>
          <cell r="BF25">
            <v>0</v>
          </cell>
          <cell r="BG25">
            <v>11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>
            <v>200000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/>
          <cell r="Q26"/>
          <cell r="R26"/>
          <cell r="S26"/>
          <cell r="T26"/>
          <cell r="U26">
            <v>240000</v>
          </cell>
          <cell r="V26"/>
          <cell r="W26"/>
          <cell r="X26"/>
          <cell r="Y26">
            <v>225000</v>
          </cell>
          <cell r="Z26">
            <v>1000000</v>
          </cell>
          <cell r="AA26" t="str">
            <v>BANQUE</v>
          </cell>
          <cell r="AB26"/>
          <cell r="AC26"/>
          <cell r="AD26"/>
          <cell r="AE26">
            <v>120000</v>
          </cell>
          <cell r="AF26" t="str">
            <v>BANQUE</v>
          </cell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0</v>
          </cell>
          <cell r="AY26">
            <v>0</v>
          </cell>
          <cell r="AZ26">
            <v>890000</v>
          </cell>
          <cell r="BA26"/>
          <cell r="BB26"/>
          <cell r="BC26">
            <v>0</v>
          </cell>
          <cell r="BD26">
            <v>890000</v>
          </cell>
          <cell r="BE26" t="str">
            <v>OK</v>
          </cell>
          <cell r="BF26">
            <v>110000</v>
          </cell>
          <cell r="BG26">
            <v>11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>
            <v>200000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G27"/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/>
          <cell r="Q27"/>
          <cell r="R27"/>
          <cell r="S27"/>
          <cell r="T27"/>
          <cell r="U27">
            <v>250000</v>
          </cell>
          <cell r="V27"/>
          <cell r="W27"/>
          <cell r="X27"/>
          <cell r="Y27">
            <v>250000</v>
          </cell>
          <cell r="Z27"/>
          <cell r="AA27"/>
          <cell r="AB27"/>
          <cell r="AC27"/>
          <cell r="AD27"/>
          <cell r="AE27">
            <v>120000</v>
          </cell>
          <cell r="AF27" t="str">
            <v>BANQUE</v>
          </cell>
          <cell r="AG27"/>
          <cell r="AH27"/>
          <cell r="AI27">
            <v>41000</v>
          </cell>
          <cell r="AJ27"/>
          <cell r="AK27"/>
          <cell r="AL27">
            <v>1000</v>
          </cell>
          <cell r="AM27"/>
          <cell r="AN27"/>
          <cell r="AO27"/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T27"/>
          <cell r="AV27"/>
          <cell r="AW27">
            <v>0</v>
          </cell>
          <cell r="AX27">
            <v>0</v>
          </cell>
          <cell r="AY27">
            <v>1080000</v>
          </cell>
          <cell r="AZ27">
            <v>1080000</v>
          </cell>
          <cell r="BA27">
            <v>41000</v>
          </cell>
          <cell r="BB27"/>
          <cell r="BC27">
            <v>0</v>
          </cell>
          <cell r="BD27">
            <v>1080000</v>
          </cell>
          <cell r="BE27" t="str">
            <v>OK</v>
          </cell>
          <cell r="BF27">
            <v>0</v>
          </cell>
          <cell r="BG27">
            <v>11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/>
          <cell r="Q28"/>
          <cell r="R28"/>
          <cell r="S28"/>
          <cell r="T28"/>
          <cell r="U28">
            <v>50000</v>
          </cell>
          <cell r="V28"/>
          <cell r="W28"/>
          <cell r="X28"/>
          <cell r="Y28">
            <v>50000</v>
          </cell>
          <cell r="Z28"/>
          <cell r="AA28"/>
          <cell r="AB28"/>
          <cell r="AC28"/>
          <cell r="AD28"/>
          <cell r="AE28"/>
          <cell r="AF28"/>
          <cell r="AG28"/>
          <cell r="AH28"/>
          <cell r="AI28">
            <v>41000</v>
          </cell>
          <cell r="AJ28"/>
          <cell r="AK28"/>
          <cell r="AL28">
            <v>1000</v>
          </cell>
          <cell r="AM28"/>
          <cell r="AN28"/>
          <cell r="AO28"/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41000</v>
          </cell>
          <cell r="AX28">
            <v>0</v>
          </cell>
          <cell r="AY28">
            <v>0</v>
          </cell>
          <cell r="AZ28">
            <v>41000</v>
          </cell>
          <cell r="BA28">
            <v>41000</v>
          </cell>
          <cell r="BB28"/>
          <cell r="BC28">
            <v>0</v>
          </cell>
          <cell r="BD28">
            <v>0</v>
          </cell>
          <cell r="BE28"/>
          <cell r="BF28">
            <v>0</v>
          </cell>
          <cell r="BG28">
            <v>11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/>
          <cell r="Q29"/>
          <cell r="R29"/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100000</v>
          </cell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11</v>
          </cell>
          <cell r="BH29"/>
          <cell r="BI29"/>
          <cell r="BJ29"/>
          <cell r="BK29"/>
          <cell r="BL29"/>
          <cell r="BO29" t="str">
            <v>S/TOTAL</v>
          </cell>
          <cell r="BQ29">
            <v>200000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/>
          <cell r="Q30"/>
          <cell r="R30"/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>
            <v>30000</v>
          </cell>
          <cell r="AD30"/>
          <cell r="AE30"/>
          <cell r="AF30" t="str">
            <v>BANQUE</v>
          </cell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100000</v>
          </cell>
          <cell r="BA30">
            <v>100000</v>
          </cell>
          <cell r="BB30"/>
          <cell r="BC30">
            <v>0</v>
          </cell>
          <cell r="BD30">
            <v>0</v>
          </cell>
          <cell r="BE30" t="str">
            <v>OK</v>
          </cell>
          <cell r="BF30">
            <v>0</v>
          </cell>
          <cell r="BG30">
            <v>11</v>
          </cell>
          <cell r="BH30"/>
          <cell r="BI30"/>
          <cell r="BJ30"/>
          <cell r="BK30"/>
          <cell r="BL30"/>
          <cell r="BO30" t="str">
            <v>S/TOTAL</v>
          </cell>
          <cell r="BQ30">
            <v>200000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/>
          <cell r="Q31"/>
          <cell r="R31"/>
          <cell r="S31"/>
          <cell r="T31"/>
          <cell r="U31">
            <v>50000</v>
          </cell>
          <cell r="V31"/>
          <cell r="W31"/>
          <cell r="X31"/>
          <cell r="Y31">
            <v>50000</v>
          </cell>
          <cell r="Z31"/>
          <cell r="AA31"/>
          <cell r="AB31"/>
          <cell r="AC31">
            <v>30000</v>
          </cell>
          <cell r="AD31"/>
          <cell r="AE31"/>
          <cell r="AF31" t="str">
            <v>BANQUE</v>
          </cell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270000</v>
          </cell>
          <cell r="AX31">
            <v>0</v>
          </cell>
          <cell r="AY31">
            <v>0</v>
          </cell>
          <cell r="AZ31">
            <v>270000</v>
          </cell>
          <cell r="BA31"/>
          <cell r="BB31"/>
          <cell r="BC31">
            <v>0</v>
          </cell>
          <cell r="BD31">
            <v>270000</v>
          </cell>
          <cell r="BE31" t="str">
            <v>OK</v>
          </cell>
          <cell r="BF31">
            <v>0</v>
          </cell>
          <cell r="BG31">
            <v>11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G32"/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/>
          <cell r="Q32"/>
          <cell r="R32"/>
          <cell r="S32"/>
          <cell r="T32"/>
          <cell r="U32">
            <v>250000</v>
          </cell>
          <cell r="V32"/>
          <cell r="W32"/>
          <cell r="X32"/>
          <cell r="Y32">
            <v>250000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/>
          <cell r="BB32"/>
          <cell r="BC32">
            <v>0</v>
          </cell>
          <cell r="BD32">
            <v>0</v>
          </cell>
          <cell r="BE32"/>
          <cell r="BF32">
            <v>0</v>
          </cell>
          <cell r="BG32">
            <v>11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G33"/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/>
          <cell r="Q33"/>
          <cell r="R33"/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25000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 t="str">
            <v>OK</v>
          </cell>
          <cell r="BF33">
            <v>0</v>
          </cell>
          <cell r="BG33">
            <v>11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>
            <v>1</v>
          </cell>
          <cell r="M34">
            <v>0</v>
          </cell>
          <cell r="N34">
            <v>1</v>
          </cell>
          <cell r="O34">
            <v>100000</v>
          </cell>
          <cell r="P34"/>
          <cell r="Q34"/>
          <cell r="R34"/>
          <cell r="S34"/>
          <cell r="T34"/>
          <cell r="U34">
            <v>150000</v>
          </cell>
          <cell r="V34"/>
          <cell r="W34"/>
          <cell r="X34"/>
          <cell r="Y34">
            <v>150000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>
            <v>0</v>
          </cell>
          <cell r="AR34">
            <v>0</v>
          </cell>
          <cell r="AS34">
            <v>25000</v>
          </cell>
          <cell r="AT34"/>
          <cell r="AV34"/>
          <cell r="AW34">
            <v>0</v>
          </cell>
          <cell r="AX34">
            <v>0</v>
          </cell>
          <cell r="AY34">
            <v>0</v>
          </cell>
          <cell r="AZ34">
            <v>100000</v>
          </cell>
          <cell r="BA34"/>
          <cell r="BB34"/>
          <cell r="BC34">
            <v>0</v>
          </cell>
          <cell r="BD34">
            <v>100000</v>
          </cell>
          <cell r="BE34" t="str">
            <v>OK</v>
          </cell>
          <cell r="BF34">
            <v>0</v>
          </cell>
          <cell r="BG34">
            <v>11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/>
          <cell r="Q35"/>
          <cell r="R35"/>
          <cell r="S35"/>
          <cell r="T35"/>
          <cell r="U35">
            <v>125000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/>
          <cell r="BB35"/>
          <cell r="BC35">
            <v>0</v>
          </cell>
          <cell r="BD35">
            <v>0</v>
          </cell>
          <cell r="BE35"/>
          <cell r="BF35">
            <v>0</v>
          </cell>
          <cell r="BG35">
            <v>11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/>
          <cell r="Q36"/>
          <cell r="R36"/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/>
          <cell r="BB36"/>
          <cell r="BC36">
            <v>0</v>
          </cell>
          <cell r="BD36">
            <v>0</v>
          </cell>
          <cell r="BE36"/>
          <cell r="BF36">
            <v>0</v>
          </cell>
          <cell r="BG36">
            <v>11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/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/>
          <cell r="Q37"/>
          <cell r="R37"/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11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/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/>
          <cell r="Q38"/>
          <cell r="R38"/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0</v>
          </cell>
          <cell r="AR38">
            <v>0</v>
          </cell>
          <cell r="AS38">
            <v>25000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11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100000</v>
          </cell>
          <cell r="E39">
            <v>25000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/>
          <cell r="Q39"/>
          <cell r="R39"/>
          <cell r="S39"/>
          <cell r="T39"/>
          <cell r="U39">
            <v>125000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/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11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/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/>
          <cell r="Q40"/>
          <cell r="R40"/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 t="str">
            <v>OK</v>
          </cell>
          <cell r="BF40">
            <v>0</v>
          </cell>
          <cell r="BG40">
            <v>11</v>
          </cell>
          <cell r="BH40"/>
          <cell r="BI40"/>
          <cell r="BJ40"/>
          <cell r="BK40">
            <v>100000</v>
          </cell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G41"/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/>
          <cell r="Q41"/>
          <cell r="R41"/>
          <cell r="S41"/>
          <cell r="T41"/>
          <cell r="U41">
            <v>250000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100000</v>
          </cell>
          <cell r="BA41"/>
          <cell r="BB41"/>
          <cell r="BC41">
            <v>0</v>
          </cell>
          <cell r="BD41">
            <v>100000</v>
          </cell>
          <cell r="BE41" t="str">
            <v>OK</v>
          </cell>
          <cell r="BF41">
            <v>0</v>
          </cell>
          <cell r="BG41">
            <v>11</v>
          </cell>
          <cell r="BH41"/>
          <cell r="BI41"/>
          <cell r="BJ41"/>
          <cell r="BK41">
            <v>100000</v>
          </cell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/>
          <cell r="Q42"/>
          <cell r="R42"/>
          <cell r="S42"/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11</v>
          </cell>
        </row>
        <row r="43">
          <cell r="B43" t="str">
            <v>TOTAUX</v>
          </cell>
          <cell r="C43">
            <v>0</v>
          </cell>
          <cell r="D43">
            <v>5395000</v>
          </cell>
          <cell r="E43">
            <v>275000</v>
          </cell>
          <cell r="F43">
            <v>346500</v>
          </cell>
          <cell r="G43">
            <v>695000</v>
          </cell>
          <cell r="H43">
            <v>0</v>
          </cell>
          <cell r="I43">
            <v>0</v>
          </cell>
          <cell r="J43">
            <v>35</v>
          </cell>
          <cell r="K43">
            <v>1700000</v>
          </cell>
          <cell r="L43">
            <v>13</v>
          </cell>
          <cell r="M43">
            <v>975000</v>
          </cell>
          <cell r="N43">
            <v>24</v>
          </cell>
          <cell r="O43">
            <v>2300000</v>
          </cell>
          <cell r="P43">
            <v>0</v>
          </cell>
          <cell r="Q43">
            <v>0</v>
          </cell>
          <cell r="R43">
            <v>0</v>
          </cell>
          <cell r="S43">
            <v>346500</v>
          </cell>
          <cell r="T43"/>
          <cell r="U43">
            <v>6016500</v>
          </cell>
          <cell r="V43">
            <v>0</v>
          </cell>
          <cell r="W43">
            <v>0</v>
          </cell>
          <cell r="X43">
            <v>0</v>
          </cell>
          <cell r="Y43">
            <v>4975000</v>
          </cell>
          <cell r="Z43">
            <v>2000000</v>
          </cell>
          <cell r="AA43">
            <v>0</v>
          </cell>
          <cell r="AB43"/>
          <cell r="AC43">
            <v>91000</v>
          </cell>
          <cell r="AD43">
            <v>7500</v>
          </cell>
          <cell r="AE43">
            <v>340000</v>
          </cell>
          <cell r="AF43"/>
          <cell r="AG43">
            <v>0</v>
          </cell>
          <cell r="AH43"/>
          <cell r="AI43">
            <v>41000</v>
          </cell>
          <cell r="AJ43">
            <v>0</v>
          </cell>
          <cell r="AK43">
            <v>0</v>
          </cell>
          <cell r="AL43">
            <v>1000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1545000</v>
          </cell>
          <cell r="AT43">
            <v>0</v>
          </cell>
          <cell r="AU43">
            <v>0</v>
          </cell>
          <cell r="AV43">
            <v>0</v>
          </cell>
          <cell r="AW43">
            <v>850000</v>
          </cell>
          <cell r="AX43">
            <v>892500</v>
          </cell>
          <cell r="AY43">
            <v>3260000</v>
          </cell>
          <cell r="AZ43">
            <v>7756500</v>
          </cell>
          <cell r="BA43">
            <v>275000</v>
          </cell>
          <cell r="BB43">
            <v>0</v>
          </cell>
          <cell r="BC43">
            <v>346500</v>
          </cell>
          <cell r="BD43">
            <v>7135000</v>
          </cell>
          <cell r="BE43">
            <v>0</v>
          </cell>
          <cell r="BF43">
            <v>220000</v>
          </cell>
          <cell r="BH43">
            <v>72000</v>
          </cell>
          <cell r="BI43">
            <v>200000</v>
          </cell>
          <cell r="BJ43">
            <v>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0</v>
          </cell>
          <cell r="D44">
            <v>5395000</v>
          </cell>
          <cell r="E44">
            <v>275000</v>
          </cell>
          <cell r="F44">
            <v>346500</v>
          </cell>
          <cell r="G44">
            <v>695000</v>
          </cell>
          <cell r="H44">
            <v>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0</v>
          </cell>
          <cell r="Q44">
            <v>0</v>
          </cell>
          <cell r="R44">
            <v>0</v>
          </cell>
          <cell r="S44">
            <v>346500</v>
          </cell>
          <cell r="U44">
            <v>6016500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2000000</v>
          </cell>
          <cell r="AA44">
            <v>0</v>
          </cell>
          <cell r="AC44">
            <v>91000</v>
          </cell>
          <cell r="AD44">
            <v>7500</v>
          </cell>
          <cell r="AE44">
            <v>340000</v>
          </cell>
          <cell r="AG44">
            <v>0</v>
          </cell>
          <cell r="AI44">
            <v>41000</v>
          </cell>
          <cell r="AJ44">
            <v>0</v>
          </cell>
          <cell r="AK44">
            <v>0</v>
          </cell>
          <cell r="AL44">
            <v>1000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1545000</v>
          </cell>
          <cell r="AT44">
            <v>0</v>
          </cell>
          <cell r="AU44">
            <v>0</v>
          </cell>
          <cell r="AV44">
            <v>0</v>
          </cell>
          <cell r="AW44">
            <v>850000</v>
          </cell>
          <cell r="AX44">
            <v>892500</v>
          </cell>
          <cell r="AY44">
            <v>3260000</v>
          </cell>
          <cell r="AZ44">
            <v>7755500</v>
          </cell>
          <cell r="BA44">
            <v>275000</v>
          </cell>
          <cell r="BB44">
            <v>0</v>
          </cell>
          <cell r="BC44">
            <v>346500</v>
          </cell>
          <cell r="BD44">
            <v>7134000</v>
          </cell>
          <cell r="BE44">
            <v>0</v>
          </cell>
          <cell r="BF44">
            <v>220000</v>
          </cell>
          <cell r="BH44">
            <v>72000</v>
          </cell>
          <cell r="BI44">
            <v>200000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275000</v>
          </cell>
          <cell r="BB45" t="str">
            <v>ESPECES EN CAISSE</v>
          </cell>
          <cell r="BD45">
            <v>7134000</v>
          </cell>
          <cell r="BE45" t="str">
            <v>CHEQUE TIRE</v>
          </cell>
        </row>
        <row r="46"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275000</v>
          </cell>
          <cell r="BB46" t="str">
            <v>ESPECES EN CAISSE</v>
          </cell>
          <cell r="BD46">
            <v>7134000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0</v>
          </cell>
          <cell r="BD47">
            <v>0</v>
          </cell>
          <cell r="BO47" t="str">
            <v>S/TOTAL</v>
          </cell>
          <cell r="BQ47">
            <v>0</v>
          </cell>
        </row>
        <row r="48">
          <cell r="B48" t="str">
            <v>LIBELLE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7135000</v>
          </cell>
          <cell r="D49">
            <v>5395000</v>
          </cell>
          <cell r="E49">
            <v>1740000</v>
          </cell>
          <cell r="F49"/>
          <cell r="G49">
            <v>275000</v>
          </cell>
          <cell r="H49">
            <v>275000</v>
          </cell>
          <cell r="I49">
            <v>0</v>
          </cell>
          <cell r="J49"/>
        </row>
        <row r="50">
          <cell r="B50" t="str">
            <v>OPERATIONS DU JOUR</v>
          </cell>
          <cell r="C50">
            <v>7134000</v>
          </cell>
          <cell r="D50">
            <v>5395000</v>
          </cell>
          <cell r="E50">
            <v>1739000</v>
          </cell>
          <cell r="G50">
            <v>275000</v>
          </cell>
          <cell r="H50">
            <v>275000</v>
          </cell>
          <cell r="I50">
            <v>0</v>
          </cell>
          <cell r="BO50" t="str">
            <v>FOYER</v>
          </cell>
          <cell r="BQ50">
            <v>371000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 t="str">
            <v>BANQUE</v>
          </cell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36000</v>
          </cell>
          <cell r="BA6">
            <v>30000</v>
          </cell>
          <cell r="BB6"/>
          <cell r="BC6">
            <v>0</v>
          </cell>
          <cell r="BD6">
            <v>6000</v>
          </cell>
          <cell r="BE6" t="str">
            <v>OK</v>
          </cell>
          <cell r="BF6">
            <v>0</v>
          </cell>
          <cell r="BG6">
            <v>10</v>
          </cell>
          <cell r="BH6">
            <v>36000</v>
          </cell>
          <cell r="BI6">
            <v>0</v>
          </cell>
          <cell r="BJ6">
            <v>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>
            <v>2000</v>
          </cell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10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/>
          <cell r="T8"/>
          <cell r="U8">
            <v>125000</v>
          </cell>
          <cell r="V8"/>
          <cell r="W8"/>
          <cell r="X8"/>
          <cell r="Y8">
            <v>125000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>
            <v>100000</v>
          </cell>
          <cell r="AK8"/>
          <cell r="AL8"/>
          <cell r="AM8">
            <v>3000</v>
          </cell>
          <cell r="AN8"/>
          <cell r="AO8"/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A8"/>
          <cell r="BB8"/>
          <cell r="BC8">
            <v>0</v>
          </cell>
          <cell r="BD8">
            <v>100000</v>
          </cell>
          <cell r="BE8" t="str">
            <v>OK</v>
          </cell>
          <cell r="BF8">
            <v>0</v>
          </cell>
          <cell r="BG8">
            <v>10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>
            <v>30000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/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S9"/>
          <cell r="T9"/>
          <cell r="U9">
            <v>250000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>
            <v>80000</v>
          </cell>
          <cell r="AF9" t="str">
            <v>BANQUE</v>
          </cell>
          <cell r="AG9"/>
          <cell r="AH9"/>
          <cell r="AI9"/>
          <cell r="AJ9"/>
          <cell r="AK9">
            <v>200000</v>
          </cell>
          <cell r="AL9"/>
          <cell r="AM9"/>
          <cell r="AN9">
            <v>7500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0</v>
          </cell>
          <cell r="AX9">
            <v>0</v>
          </cell>
          <cell r="AY9">
            <v>1320000</v>
          </cell>
          <cell r="AZ9">
            <v>1320000</v>
          </cell>
          <cell r="BA9"/>
          <cell r="BB9"/>
          <cell r="BC9">
            <v>0</v>
          </cell>
          <cell r="BD9">
            <v>1320000</v>
          </cell>
          <cell r="BE9" t="str">
            <v>OK</v>
          </cell>
          <cell r="BF9">
            <v>0</v>
          </cell>
          <cell r="BG9">
            <v>10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G10"/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>
            <v>50000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40000</v>
          </cell>
          <cell r="AJ10"/>
          <cell r="AK10"/>
          <cell r="AL10">
            <v>1000</v>
          </cell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B10"/>
          <cell r="BC10">
            <v>0</v>
          </cell>
          <cell r="BD10">
            <v>0</v>
          </cell>
          <cell r="BE10"/>
          <cell r="BF10">
            <v>0</v>
          </cell>
          <cell r="BG10">
            <v>10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150375</v>
          </cell>
          <cell r="E11">
            <v>0</v>
          </cell>
          <cell r="F11">
            <v>0</v>
          </cell>
          <cell r="G11">
            <v>375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/>
          <cell r="T11"/>
          <cell r="U11">
            <v>150375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>
            <v>200000</v>
          </cell>
          <cell r="AL11"/>
          <cell r="AM11"/>
          <cell r="AN11">
            <v>4500</v>
          </cell>
          <cell r="AO11"/>
          <cell r="AP11" t="str">
            <v>BANQUE</v>
          </cell>
          <cell r="AQ11">
            <v>0</v>
          </cell>
          <cell r="AR11">
            <v>0</v>
          </cell>
          <cell r="AS11">
            <v>25375</v>
          </cell>
          <cell r="AT11"/>
          <cell r="AV11"/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A11">
            <v>149000</v>
          </cell>
          <cell r="BB11"/>
          <cell r="BC11">
            <v>0</v>
          </cell>
          <cell r="BD11">
            <v>51000</v>
          </cell>
          <cell r="BE11" t="str">
            <v>OK</v>
          </cell>
          <cell r="BF11">
            <v>0</v>
          </cell>
          <cell r="BG11">
            <v>10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910000</v>
          </cell>
          <cell r="E12">
            <v>0</v>
          </cell>
          <cell r="F12">
            <v>0</v>
          </cell>
          <cell r="G12">
            <v>660000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/>
          <cell r="T12"/>
          <cell r="U12">
            <v>910000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685000</v>
          </cell>
          <cell r="AT12"/>
          <cell r="AV12"/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/>
          <cell r="BB12"/>
          <cell r="BC12">
            <v>0</v>
          </cell>
          <cell r="BD12">
            <v>0</v>
          </cell>
          <cell r="BE12"/>
          <cell r="BF12">
            <v>0</v>
          </cell>
          <cell r="BG12">
            <v>10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10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10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-50000</v>
          </cell>
          <cell r="D15">
            <v>0</v>
          </cell>
          <cell r="E15">
            <v>125000</v>
          </cell>
          <cell r="F15">
            <v>0</v>
          </cell>
          <cell r="G15"/>
          <cell r="H15">
            <v>0</v>
          </cell>
          <cell r="I15" t="str">
            <v>ESPECES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175000</v>
          </cell>
          <cell r="V15"/>
          <cell r="W15">
            <v>25000</v>
          </cell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50000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10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10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260000</v>
          </cell>
          <cell r="E17">
            <v>0</v>
          </cell>
          <cell r="F17">
            <v>0</v>
          </cell>
          <cell r="G17">
            <v>35000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>
            <v>260000</v>
          </cell>
          <cell r="V17"/>
          <cell r="W17"/>
          <cell r="X17"/>
          <cell r="Y17">
            <v>225000</v>
          </cell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>
            <v>0</v>
          </cell>
          <cell r="AR17">
            <v>0</v>
          </cell>
          <cell r="AS17">
            <v>60000</v>
          </cell>
          <cell r="AT17"/>
          <cell r="AV17"/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/>
          <cell r="BB17"/>
          <cell r="BC17">
            <v>0</v>
          </cell>
          <cell r="BD17">
            <v>0</v>
          </cell>
          <cell r="BE17"/>
          <cell r="BF17">
            <v>0</v>
          </cell>
          <cell r="BG17">
            <v>10</v>
          </cell>
          <cell r="BH17"/>
          <cell r="BI17"/>
          <cell r="BJ17"/>
          <cell r="BK17"/>
          <cell r="BL17"/>
          <cell r="BO17" t="str">
            <v>S/TOTAL</v>
          </cell>
          <cell r="BQ17">
            <v>36000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/>
          <cell r="T18"/>
          <cell r="U18">
            <v>150000</v>
          </cell>
          <cell r="V18"/>
          <cell r="W18"/>
          <cell r="X18"/>
          <cell r="Y18">
            <v>150000</v>
          </cell>
          <cell r="Z18">
            <v>500000</v>
          </cell>
          <cell r="AA18" t="str">
            <v>BANQUE</v>
          </cell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0</v>
          </cell>
          <cell r="AZ18">
            <v>470000</v>
          </cell>
          <cell r="BA18"/>
          <cell r="BB18"/>
          <cell r="BC18">
            <v>0</v>
          </cell>
          <cell r="BD18">
            <v>470000</v>
          </cell>
          <cell r="BE18" t="str">
            <v>OK</v>
          </cell>
          <cell r="BF18">
            <v>30000</v>
          </cell>
          <cell r="BG18">
            <v>6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75000</v>
          </cell>
          <cell r="D19">
            <v>310000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S19"/>
          <cell r="T19"/>
          <cell r="U19">
            <v>235000</v>
          </cell>
          <cell r="V19"/>
          <cell r="W19"/>
          <cell r="X19"/>
          <cell r="Y19">
            <v>225000</v>
          </cell>
          <cell r="Z19"/>
          <cell r="AA19"/>
          <cell r="AB19"/>
          <cell r="AC19">
            <v>26000</v>
          </cell>
          <cell r="AD19"/>
          <cell r="AE19"/>
          <cell r="AF19" t="str">
            <v>BANQUE</v>
          </cell>
          <cell r="AG19"/>
          <cell r="AH19"/>
          <cell r="AI19"/>
          <cell r="AJ19">
            <v>53000</v>
          </cell>
          <cell r="AK19"/>
          <cell r="AL19"/>
          <cell r="AM19">
            <v>1500</v>
          </cell>
          <cell r="AN19"/>
          <cell r="AO19"/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T19"/>
          <cell r="AV19"/>
          <cell r="AW19">
            <v>274000</v>
          </cell>
          <cell r="AX19">
            <v>53000</v>
          </cell>
          <cell r="AY19">
            <v>0</v>
          </cell>
          <cell r="AZ19">
            <v>327000</v>
          </cell>
          <cell r="BA19"/>
          <cell r="BB19"/>
          <cell r="BC19">
            <v>0</v>
          </cell>
          <cell r="BD19">
            <v>327000</v>
          </cell>
          <cell r="BE19" t="str">
            <v>OK</v>
          </cell>
          <cell r="BF19">
            <v>0</v>
          </cell>
          <cell r="BG19">
            <v>10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V20"/>
          <cell r="AW20"/>
          <cell r="AX20"/>
          <cell r="AY20"/>
          <cell r="AZ20"/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10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/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/>
          <cell r="M21">
            <v>0</v>
          </cell>
          <cell r="N21"/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/>
          <cell r="T21"/>
          <cell r="U21">
            <v>50000</v>
          </cell>
          <cell r="V21"/>
          <cell r="W21"/>
          <cell r="X21"/>
          <cell r="Y21">
            <v>50000</v>
          </cell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/>
          <cell r="BB21"/>
          <cell r="BC21">
            <v>0</v>
          </cell>
          <cell r="BD21">
            <v>0</v>
          </cell>
          <cell r="BE21" t="str">
            <v>OK</v>
          </cell>
          <cell r="BF21">
            <v>0</v>
          </cell>
          <cell r="BG21">
            <v>10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G22"/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0</v>
          </cell>
          <cell r="S22"/>
          <cell r="T22"/>
          <cell r="U22">
            <v>325000</v>
          </cell>
          <cell r="V22"/>
          <cell r="W22"/>
          <cell r="X22"/>
          <cell r="Y22">
            <v>325000</v>
          </cell>
          <cell r="Z22"/>
          <cell r="AA22"/>
          <cell r="AB22"/>
          <cell r="AC22"/>
          <cell r="AD22">
            <v>45000</v>
          </cell>
          <cell r="AE22">
            <v>85000</v>
          </cell>
          <cell r="AF22" t="str">
            <v>BANQUE</v>
          </cell>
          <cell r="AG22"/>
          <cell r="AH22"/>
          <cell r="AI22"/>
          <cell r="AJ22">
            <v>50000</v>
          </cell>
          <cell r="AK22"/>
          <cell r="AL22"/>
          <cell r="AM22">
            <v>1000</v>
          </cell>
          <cell r="AN22"/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0</v>
          </cell>
          <cell r="AX22">
            <v>905000</v>
          </cell>
          <cell r="AY22">
            <v>1115000</v>
          </cell>
          <cell r="AZ22">
            <v>2020000</v>
          </cell>
          <cell r="BA22"/>
          <cell r="BB22"/>
          <cell r="BC22">
            <v>0</v>
          </cell>
          <cell r="BD22">
            <v>1127500</v>
          </cell>
          <cell r="BE22" t="str">
            <v>OK</v>
          </cell>
          <cell r="BF22">
            <v>0</v>
          </cell>
          <cell r="BG22">
            <v>10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/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10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892500</v>
          </cell>
          <cell r="G24">
            <v>892500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/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1017500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>
            <v>0</v>
          </cell>
          <cell r="AR24">
            <v>0</v>
          </cell>
          <cell r="AS24">
            <v>917500</v>
          </cell>
          <cell r="AT24"/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A24"/>
          <cell r="BB24"/>
          <cell r="BC24">
            <v>892500</v>
          </cell>
          <cell r="BD24">
            <v>600000</v>
          </cell>
          <cell r="BE24" t="str">
            <v>OK</v>
          </cell>
          <cell r="BF24">
            <v>0</v>
          </cell>
          <cell r="BG24">
            <v>10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/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0</v>
          </cell>
          <cell r="S25"/>
          <cell r="T25"/>
          <cell r="U25">
            <v>260000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>
            <v>100000</v>
          </cell>
          <cell r="AL25"/>
          <cell r="AM25"/>
          <cell r="AN25">
            <v>1000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/>
          <cell r="BB25"/>
          <cell r="BC25">
            <v>0</v>
          </cell>
          <cell r="BD25">
            <v>100000</v>
          </cell>
          <cell r="BE25" t="str">
            <v>OK</v>
          </cell>
          <cell r="BF25">
            <v>0</v>
          </cell>
          <cell r="BG25">
            <v>10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S26"/>
          <cell r="T26"/>
          <cell r="U26">
            <v>240000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/>
          <cell r="BB26"/>
          <cell r="BC26">
            <v>0</v>
          </cell>
          <cell r="BD26">
            <v>0</v>
          </cell>
          <cell r="BE26" t="str">
            <v>OK</v>
          </cell>
          <cell r="BF26">
            <v>0</v>
          </cell>
          <cell r="BG26">
            <v>10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G27"/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0</v>
          </cell>
          <cell r="S27"/>
          <cell r="T27"/>
          <cell r="U27">
            <v>250000</v>
          </cell>
          <cell r="V27"/>
          <cell r="W27"/>
          <cell r="X27"/>
          <cell r="Y27">
            <v>250000</v>
          </cell>
          <cell r="Z27"/>
          <cell r="AA27"/>
          <cell r="AB27"/>
          <cell r="AC27">
            <v>26000</v>
          </cell>
          <cell r="AD27"/>
          <cell r="AE27"/>
          <cell r="AF27" t="str">
            <v>BANQUE</v>
          </cell>
          <cell r="AG27"/>
          <cell r="AH27"/>
          <cell r="AI27"/>
          <cell r="AJ27"/>
          <cell r="AK27">
            <v>200000</v>
          </cell>
          <cell r="AL27"/>
          <cell r="AM27"/>
          <cell r="AN27">
            <v>6500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T27"/>
          <cell r="AV27"/>
          <cell r="AW27">
            <v>274000</v>
          </cell>
          <cell r="AX27">
            <v>0</v>
          </cell>
          <cell r="AY27">
            <v>200000</v>
          </cell>
          <cell r="AZ27">
            <v>474000</v>
          </cell>
          <cell r="BA27"/>
          <cell r="BB27"/>
          <cell r="BC27">
            <v>0</v>
          </cell>
          <cell r="BD27">
            <v>474000</v>
          </cell>
          <cell r="BE27" t="str">
            <v>OK</v>
          </cell>
          <cell r="BF27">
            <v>0</v>
          </cell>
          <cell r="BG27">
            <v>10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100000</v>
          </cell>
          <cell r="E28">
            <v>0</v>
          </cell>
          <cell r="F28">
            <v>0</v>
          </cell>
          <cell r="G28">
            <v>8000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/>
          <cell r="T28"/>
          <cell r="U28">
            <v>100000</v>
          </cell>
          <cell r="V28"/>
          <cell r="W28"/>
          <cell r="X28"/>
          <cell r="Y28">
            <v>50000</v>
          </cell>
          <cell r="Z28"/>
          <cell r="AA28"/>
          <cell r="AB28"/>
          <cell r="AC28">
            <v>27000</v>
          </cell>
          <cell r="AD28"/>
          <cell r="AE28"/>
          <cell r="AF28" t="str">
            <v>BANQUE</v>
          </cell>
          <cell r="AG28"/>
          <cell r="AH28"/>
          <cell r="AI28">
            <v>41000</v>
          </cell>
          <cell r="AJ28"/>
          <cell r="AK28"/>
          <cell r="AL28">
            <v>1000</v>
          </cell>
          <cell r="AM28"/>
          <cell r="AN28"/>
          <cell r="AO28"/>
          <cell r="AP28" t="str">
            <v>BANQUE</v>
          </cell>
          <cell r="AQ28">
            <v>0</v>
          </cell>
          <cell r="AR28">
            <v>0</v>
          </cell>
          <cell r="AS28">
            <v>33000</v>
          </cell>
          <cell r="AT28"/>
          <cell r="AV28"/>
          <cell r="AW28">
            <v>314000</v>
          </cell>
          <cell r="AX28">
            <v>0</v>
          </cell>
          <cell r="AY28">
            <v>0</v>
          </cell>
          <cell r="AZ28">
            <v>314000</v>
          </cell>
          <cell r="BA28">
            <v>41000</v>
          </cell>
          <cell r="BB28"/>
          <cell r="BC28">
            <v>0</v>
          </cell>
          <cell r="BD28">
            <v>273000</v>
          </cell>
          <cell r="BE28" t="str">
            <v>OK</v>
          </cell>
          <cell r="BF28">
            <v>0</v>
          </cell>
          <cell r="BG28">
            <v>10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/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10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10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/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/>
          <cell r="T31"/>
          <cell r="U31">
            <v>50000</v>
          </cell>
          <cell r="V31"/>
          <cell r="W31"/>
          <cell r="X31"/>
          <cell r="Y31">
            <v>50000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>
            <v>40000</v>
          </cell>
          <cell r="AJ31"/>
          <cell r="AK31"/>
          <cell r="AL31">
            <v>1000</v>
          </cell>
          <cell r="AM31"/>
          <cell r="AN31"/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40000</v>
          </cell>
          <cell r="AX31">
            <v>0</v>
          </cell>
          <cell r="AY31">
            <v>0</v>
          </cell>
          <cell r="AZ31">
            <v>40000</v>
          </cell>
          <cell r="BA31">
            <v>40000</v>
          </cell>
          <cell r="BB31"/>
          <cell r="BC31">
            <v>0</v>
          </cell>
          <cell r="BD31">
            <v>0</v>
          </cell>
          <cell r="BE31"/>
          <cell r="BF31">
            <v>0</v>
          </cell>
          <cell r="BG31">
            <v>10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G32"/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>
            <v>250000</v>
          </cell>
          <cell r="V32"/>
          <cell r="W32"/>
          <cell r="X32"/>
          <cell r="Y32">
            <v>250000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/>
          <cell r="BB32"/>
          <cell r="BC32">
            <v>0</v>
          </cell>
          <cell r="BD32">
            <v>0</v>
          </cell>
          <cell r="BE32"/>
          <cell r="BF32">
            <v>0</v>
          </cell>
          <cell r="BG32">
            <v>10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G33"/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L33"/>
          <cell r="M33"/>
          <cell r="N33"/>
          <cell r="O33"/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25000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 t="str">
            <v>OK</v>
          </cell>
          <cell r="BF33">
            <v>0</v>
          </cell>
          <cell r="BG33">
            <v>10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/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>
            <v>150000</v>
          </cell>
          <cell r="V34"/>
          <cell r="W34"/>
          <cell r="X34"/>
          <cell r="Y34">
            <v>150000</v>
          </cell>
          <cell r="Z34"/>
          <cell r="AA34"/>
          <cell r="AB34"/>
          <cell r="AC34"/>
          <cell r="AD34"/>
          <cell r="AE34">
            <v>70000</v>
          </cell>
          <cell r="AF34" t="str">
            <v>BANQUE</v>
          </cell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>
            <v>0</v>
          </cell>
          <cell r="AR34">
            <v>0</v>
          </cell>
          <cell r="AS34">
            <v>25000</v>
          </cell>
          <cell r="AT34"/>
          <cell r="AV34"/>
          <cell r="AW34">
            <v>0</v>
          </cell>
          <cell r="AX34">
            <v>0</v>
          </cell>
          <cell r="AY34">
            <v>1130000</v>
          </cell>
          <cell r="AZ34">
            <v>1130000</v>
          </cell>
          <cell r="BA34"/>
          <cell r="BB34"/>
          <cell r="BC34">
            <v>0</v>
          </cell>
          <cell r="BD34">
            <v>1130000</v>
          </cell>
          <cell r="BE34" t="str">
            <v>OK</v>
          </cell>
          <cell r="BF34">
            <v>0</v>
          </cell>
          <cell r="BG34">
            <v>10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/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/>
          <cell r="T35"/>
          <cell r="U35">
            <v>125000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/>
          <cell r="BB35"/>
          <cell r="BC35">
            <v>0</v>
          </cell>
          <cell r="BD35">
            <v>0</v>
          </cell>
          <cell r="BE35"/>
          <cell r="BF35">
            <v>0</v>
          </cell>
          <cell r="BG35">
            <v>10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/>
          <cell r="BB36"/>
          <cell r="BC36">
            <v>0</v>
          </cell>
          <cell r="BD36">
            <v>0</v>
          </cell>
          <cell r="BE36" t="str">
            <v>OK</v>
          </cell>
          <cell r="BF36">
            <v>0</v>
          </cell>
          <cell r="BG36">
            <v>10</v>
          </cell>
          <cell r="BH36"/>
          <cell r="BI36"/>
          <cell r="BJ36"/>
          <cell r="BK36">
            <v>100000</v>
          </cell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/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100000</v>
          </cell>
          <cell r="BA37"/>
          <cell r="BB37"/>
          <cell r="BC37">
            <v>0</v>
          </cell>
          <cell r="BD37">
            <v>100000</v>
          </cell>
          <cell r="BE37" t="str">
            <v>OK</v>
          </cell>
          <cell r="BF37">
            <v>0</v>
          </cell>
          <cell r="BG37">
            <v>10</v>
          </cell>
          <cell r="BH37"/>
          <cell r="BI37"/>
          <cell r="BJ37"/>
          <cell r="BK37">
            <v>100000</v>
          </cell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/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L38"/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0</v>
          </cell>
          <cell r="AR38">
            <v>0</v>
          </cell>
          <cell r="AS38">
            <v>25000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10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/>
          <cell r="T39"/>
          <cell r="U39">
            <v>125000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/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10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L40"/>
          <cell r="M40">
            <v>0</v>
          </cell>
          <cell r="N40"/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22000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10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G41"/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L41"/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250000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 t="str">
            <v>OK</v>
          </cell>
          <cell r="BF41">
            <v>0</v>
          </cell>
          <cell r="BG41">
            <v>10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G42"/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T42"/>
          <cell r="U42">
            <v>225000</v>
          </cell>
          <cell r="V42"/>
          <cell r="W42"/>
          <cell r="X42"/>
          <cell r="Y42">
            <v>225000</v>
          </cell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>
            <v>0</v>
          </cell>
          <cell r="AR42">
            <v>0</v>
          </cell>
          <cell r="AS42">
            <v>25000</v>
          </cell>
          <cell r="AT42"/>
          <cell r="AV42">
            <v>100000</v>
          </cell>
          <cell r="AW42">
            <v>0</v>
          </cell>
          <cell r="AX42">
            <v>0</v>
          </cell>
          <cell r="AY42">
            <v>0</v>
          </cell>
          <cell r="AZ42">
            <v>100000</v>
          </cell>
          <cell r="BA42"/>
          <cell r="BB42"/>
          <cell r="BC42">
            <v>0</v>
          </cell>
          <cell r="BD42">
            <v>100000</v>
          </cell>
          <cell r="BE42" t="str">
            <v>OK</v>
          </cell>
          <cell r="BF42">
            <v>0</v>
          </cell>
          <cell r="BG42">
            <v>10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>
            <v>892500</v>
          </cell>
          <cell r="BD43">
            <v>5578500</v>
          </cell>
          <cell r="BE43">
            <v>0</v>
          </cell>
          <cell r="BF43">
            <v>30000</v>
          </cell>
          <cell r="BH43">
            <v>36000</v>
          </cell>
          <cell r="BI43">
            <v>0</v>
          </cell>
          <cell r="BJ43">
            <v>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25000</v>
          </cell>
          <cell r="D44">
            <v>5655375</v>
          </cell>
          <cell r="E44">
            <v>300000</v>
          </cell>
          <cell r="F44">
            <v>892500</v>
          </cell>
          <cell r="G44">
            <v>1627875</v>
          </cell>
          <cell r="H44">
            <v>3000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42000</v>
          </cell>
          <cell r="Q44">
            <v>0</v>
          </cell>
          <cell r="R44">
            <v>0</v>
          </cell>
          <cell r="S44">
            <v>0</v>
          </cell>
          <cell r="T44"/>
          <cell r="U44">
            <v>6822875</v>
          </cell>
          <cell r="V44">
            <v>0</v>
          </cell>
          <cell r="W44">
            <v>25000</v>
          </cell>
          <cell r="X44">
            <v>0</v>
          </cell>
          <cell r="Y44">
            <v>5125000</v>
          </cell>
          <cell r="Z44">
            <v>500000</v>
          </cell>
          <cell r="AA44">
            <v>0</v>
          </cell>
          <cell r="AB44"/>
          <cell r="AC44">
            <v>79000</v>
          </cell>
          <cell r="AD44">
            <v>45000</v>
          </cell>
          <cell r="AE44">
            <v>235000</v>
          </cell>
          <cell r="AF44">
            <v>0</v>
          </cell>
          <cell r="AG44">
            <v>0</v>
          </cell>
          <cell r="AH44"/>
          <cell r="AI44">
            <v>121000</v>
          </cell>
          <cell r="AJ44">
            <v>203000</v>
          </cell>
          <cell r="AK44">
            <v>700000</v>
          </cell>
          <cell r="AL44">
            <v>3000</v>
          </cell>
          <cell r="AM44">
            <v>7500</v>
          </cell>
          <cell r="AN44">
            <v>19500</v>
          </cell>
          <cell r="AO44">
            <v>0</v>
          </cell>
          <cell r="AP44"/>
          <cell r="AQ44">
            <v>0</v>
          </cell>
          <cell r="AR44">
            <v>0</v>
          </cell>
          <cell r="AS44">
            <v>2527875</v>
          </cell>
          <cell r="AT44">
            <v>0</v>
          </cell>
          <cell r="AU44">
            <v>0</v>
          </cell>
          <cell r="AV44">
            <v>700000</v>
          </cell>
          <cell r="AW44">
            <v>942000</v>
          </cell>
          <cell r="AX44">
            <v>1058000</v>
          </cell>
          <cell r="AY44">
            <v>4065000</v>
          </cell>
          <cell r="AZ44">
            <v>7371000</v>
          </cell>
          <cell r="BA44">
            <v>300000</v>
          </cell>
          <cell r="BB44">
            <v>0</v>
          </cell>
          <cell r="BC44">
            <v>892500</v>
          </cell>
          <cell r="BD44">
            <v>6178500</v>
          </cell>
          <cell r="BE44">
            <v>0</v>
          </cell>
          <cell r="BF44">
            <v>30000</v>
          </cell>
          <cell r="BH44">
            <v>36000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/>
          <cell r="BB45"/>
          <cell r="BD45">
            <v>5578500</v>
          </cell>
          <cell r="BE45" t="str">
            <v>CHEQUE TIRE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300000</v>
          </cell>
          <cell r="BB46" t="str">
            <v>ESPECES EN CAISSE</v>
          </cell>
          <cell r="BD46">
            <v>5578500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/>
          <cell r="E47"/>
          <cell r="F47"/>
          <cell r="G47" t="str">
            <v>ESPECES</v>
          </cell>
          <cell r="H47"/>
          <cell r="I47"/>
          <cell r="J47"/>
          <cell r="K47"/>
          <cell r="Z47"/>
          <cell r="AI47"/>
          <cell r="AV47"/>
          <cell r="AW47"/>
          <cell r="AX47"/>
          <cell r="AY47"/>
          <cell r="AZ47"/>
          <cell r="BA47">
            <v>0</v>
          </cell>
          <cell r="BD47">
            <v>-600000</v>
          </cell>
          <cell r="BO47" t="str">
            <v>S/TOTAL</v>
          </cell>
          <cell r="BQ47">
            <v>0</v>
          </cell>
        </row>
        <row r="48">
          <cell r="B48"/>
          <cell r="C48" t="str">
            <v>SORTIE</v>
          </cell>
          <cell r="D48" t="str">
            <v>ENTREE</v>
          </cell>
          <cell r="E48" t="str">
            <v>EN COMPTE</v>
          </cell>
          <cell r="F48"/>
          <cell r="G48" t="str">
            <v>ENTREE</v>
          </cell>
          <cell r="H48" t="str">
            <v>SORTIE</v>
          </cell>
          <cell r="I48" t="str">
            <v>SOLDE</v>
          </cell>
          <cell r="J48"/>
          <cell r="K48"/>
          <cell r="Z48"/>
          <cell r="AI48"/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/>
          <cell r="D49"/>
          <cell r="E49"/>
          <cell r="F49"/>
          <cell r="G49"/>
          <cell r="H49"/>
          <cell r="I49"/>
          <cell r="J49"/>
        </row>
        <row r="50">
          <cell r="B50" t="str">
            <v>OPERATIONS DU JOUR</v>
          </cell>
          <cell r="C50">
            <v>6178500</v>
          </cell>
          <cell r="D50">
            <v>5655375</v>
          </cell>
          <cell r="E50">
            <v>523125</v>
          </cell>
          <cell r="G50">
            <v>300000</v>
          </cell>
          <cell r="H50">
            <v>300000</v>
          </cell>
          <cell r="I50">
            <v>0</v>
          </cell>
          <cell r="BO50" t="str">
            <v>FOYER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352000</v>
          </cell>
          <cell r="BA6"/>
          <cell r="BB6"/>
          <cell r="BC6">
            <v>0</v>
          </cell>
          <cell r="BD6">
            <v>352000</v>
          </cell>
          <cell r="BE6"/>
          <cell r="BF6">
            <v>0</v>
          </cell>
          <cell r="BG6">
            <v>9</v>
          </cell>
          <cell r="BH6">
            <v>52000</v>
          </cell>
          <cell r="BI6">
            <v>0</v>
          </cell>
          <cell r="BJ6">
            <v>300000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9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228000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103000</v>
          </cell>
          <cell r="R8">
            <v>0</v>
          </cell>
          <cell r="S8">
            <v>500000</v>
          </cell>
          <cell r="T8" t="str">
            <v>AUTRES</v>
          </cell>
          <cell r="U8">
            <v>728000</v>
          </cell>
          <cell r="V8"/>
          <cell r="W8"/>
          <cell r="X8"/>
          <cell r="Y8">
            <v>125000</v>
          </cell>
          <cell r="Z8">
            <v>500000</v>
          </cell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A8"/>
          <cell r="BB8"/>
          <cell r="BC8">
            <v>0</v>
          </cell>
          <cell r="BD8">
            <v>0</v>
          </cell>
          <cell r="BE8"/>
          <cell r="BF8">
            <v>15000</v>
          </cell>
          <cell r="BG8">
            <v>3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457500</v>
          </cell>
          <cell r="E9">
            <v>0</v>
          </cell>
          <cell r="F9">
            <v>0</v>
          </cell>
          <cell r="G9"/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207500</v>
          </cell>
          <cell r="S9"/>
          <cell r="T9"/>
          <cell r="U9">
            <v>457500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>
            <v>200000</v>
          </cell>
          <cell r="AL9"/>
          <cell r="AM9"/>
          <cell r="AN9">
            <v>3500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B9"/>
          <cell r="BC9">
            <v>0</v>
          </cell>
          <cell r="BD9">
            <v>0</v>
          </cell>
          <cell r="BE9"/>
          <cell r="BF9">
            <v>0</v>
          </cell>
          <cell r="BG9">
            <v>9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100500</v>
          </cell>
          <cell r="E10">
            <v>0</v>
          </cell>
          <cell r="F10">
            <v>0</v>
          </cell>
          <cell r="G10">
            <v>9500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41000</v>
          </cell>
          <cell r="Q10">
            <v>0</v>
          </cell>
          <cell r="R10">
            <v>0</v>
          </cell>
          <cell r="S10"/>
          <cell r="T10"/>
          <cell r="U10">
            <v>100500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40000</v>
          </cell>
          <cell r="AJ10"/>
          <cell r="AK10"/>
          <cell r="AL10">
            <v>2000</v>
          </cell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34500</v>
          </cell>
          <cell r="AT10"/>
          <cell r="AV10"/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B10"/>
          <cell r="BC10">
            <v>0</v>
          </cell>
          <cell r="BD10">
            <v>0</v>
          </cell>
          <cell r="BE10"/>
          <cell r="BF10">
            <v>0</v>
          </cell>
          <cell r="BG10">
            <v>9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-1339500</v>
          </cell>
          <cell r="D11">
            <v>150000</v>
          </cell>
          <cell r="E11">
            <v>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204500</v>
          </cell>
          <cell r="S11">
            <v>1135000</v>
          </cell>
          <cell r="T11" t="str">
            <v>EN COMPTE</v>
          </cell>
          <cell r="U11">
            <v>1489500</v>
          </cell>
          <cell r="V11"/>
          <cell r="W11"/>
          <cell r="X11"/>
          <cell r="Y11">
            <v>150000</v>
          </cell>
          <cell r="Z11">
            <v>1000000</v>
          </cell>
          <cell r="AA11" t="str">
            <v>BANQUE</v>
          </cell>
          <cell r="AB11"/>
          <cell r="AC11">
            <v>6500</v>
          </cell>
          <cell r="AD11"/>
          <cell r="AE11">
            <v>35000</v>
          </cell>
          <cell r="AF11" t="str">
            <v>BANQUE</v>
          </cell>
          <cell r="AG11"/>
          <cell r="AH11"/>
          <cell r="AI11"/>
          <cell r="AJ11"/>
          <cell r="AK11"/>
          <cell r="AL11"/>
          <cell r="AM11"/>
          <cell r="AN11"/>
          <cell r="AO11"/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293500</v>
          </cell>
          <cell r="AX11">
            <v>0</v>
          </cell>
          <cell r="AY11">
            <v>1165000</v>
          </cell>
          <cell r="AZ11">
            <v>2233500</v>
          </cell>
          <cell r="BA11"/>
          <cell r="BB11"/>
          <cell r="BC11">
            <v>0</v>
          </cell>
          <cell r="BD11">
            <v>894000</v>
          </cell>
          <cell r="BE11" t="str">
            <v>OK</v>
          </cell>
          <cell r="BF11">
            <v>225000</v>
          </cell>
          <cell r="BG11">
            <v>9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>
            <v>40000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/>
          <cell r="T12"/>
          <cell r="U12">
            <v>260000</v>
          </cell>
          <cell r="V12"/>
          <cell r="W12"/>
          <cell r="X12"/>
          <cell r="Y12">
            <v>250000</v>
          </cell>
          <cell r="Z12"/>
          <cell r="AA12"/>
          <cell r="AB12"/>
          <cell r="AC12">
            <v>7000</v>
          </cell>
          <cell r="AD12"/>
          <cell r="AE12">
            <v>30000</v>
          </cell>
          <cell r="AF12" t="str">
            <v>BANQUE</v>
          </cell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35000</v>
          </cell>
          <cell r="AT12"/>
          <cell r="AV12"/>
          <cell r="AW12">
            <v>293000</v>
          </cell>
          <cell r="AX12">
            <v>0</v>
          </cell>
          <cell r="AY12">
            <v>1170000</v>
          </cell>
          <cell r="AZ12">
            <v>1463000</v>
          </cell>
          <cell r="BA12"/>
          <cell r="BB12"/>
          <cell r="BC12">
            <v>0</v>
          </cell>
          <cell r="BD12">
            <v>1463000</v>
          </cell>
          <cell r="BE12" t="str">
            <v>OK</v>
          </cell>
          <cell r="BF12">
            <v>0</v>
          </cell>
          <cell r="BG12">
            <v>9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9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9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226000</v>
          </cell>
          <cell r="D15">
            <v>376000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150000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9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100000</v>
          </cell>
          <cell r="D16">
            <v>1275000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T16"/>
          <cell r="U16">
            <v>1175000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-55000</v>
          </cell>
          <cell r="BA16"/>
          <cell r="BB16"/>
          <cell r="BC16">
            <v>0</v>
          </cell>
          <cell r="BD16">
            <v>-55000</v>
          </cell>
          <cell r="BE16" t="str">
            <v>OK</v>
          </cell>
          <cell r="BF16">
            <v>155000</v>
          </cell>
          <cell r="BG16">
            <v>9</v>
          </cell>
          <cell r="BH16"/>
          <cell r="BI16"/>
          <cell r="BJ16"/>
          <cell r="BK16">
            <v>100000</v>
          </cell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>
            <v>250000</v>
          </cell>
          <cell r="V17"/>
          <cell r="W17"/>
          <cell r="X17"/>
          <cell r="Y17">
            <v>225000</v>
          </cell>
          <cell r="Z17"/>
          <cell r="AA17"/>
          <cell r="AB17"/>
          <cell r="AC17"/>
          <cell r="AD17">
            <v>7500</v>
          </cell>
          <cell r="AE17"/>
          <cell r="AF17" t="str">
            <v>BANQUE</v>
          </cell>
          <cell r="AG17"/>
          <cell r="AH17"/>
          <cell r="AI17"/>
          <cell r="AJ17">
            <v>91125</v>
          </cell>
          <cell r="AK17"/>
          <cell r="AL17"/>
          <cell r="AM17">
            <v>2000</v>
          </cell>
          <cell r="AN17"/>
          <cell r="AO17"/>
          <cell r="AP17"/>
          <cell r="AQ17">
            <v>0</v>
          </cell>
          <cell r="AR17">
            <v>0</v>
          </cell>
          <cell r="AS17">
            <v>50000</v>
          </cell>
          <cell r="AT17"/>
          <cell r="AV17"/>
          <cell r="AW17">
            <v>0</v>
          </cell>
          <cell r="AX17">
            <v>983625</v>
          </cell>
          <cell r="AY17">
            <v>0</v>
          </cell>
          <cell r="AZ17">
            <v>983625</v>
          </cell>
          <cell r="BA17">
            <v>50000</v>
          </cell>
          <cell r="BB17"/>
          <cell r="BC17">
            <v>0</v>
          </cell>
          <cell r="BD17">
            <v>933625</v>
          </cell>
          <cell r="BE17" t="str">
            <v>OK</v>
          </cell>
          <cell r="BF17">
            <v>0</v>
          </cell>
          <cell r="BG17">
            <v>9</v>
          </cell>
          <cell r="BH17"/>
          <cell r="BI17"/>
          <cell r="BJ17"/>
          <cell r="BK17"/>
          <cell r="BL17"/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/>
          <cell r="T18"/>
          <cell r="U18">
            <v>150000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/>
          <cell r="BB18"/>
          <cell r="BC18">
            <v>0</v>
          </cell>
          <cell r="BD18">
            <v>0</v>
          </cell>
          <cell r="BE18" t="str">
            <v>OK</v>
          </cell>
          <cell r="BF18">
            <v>0</v>
          </cell>
          <cell r="BG18">
            <v>9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291000</v>
          </cell>
          <cell r="E19">
            <v>0</v>
          </cell>
          <cell r="F19">
            <v>0</v>
          </cell>
          <cell r="G19">
            <v>11500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54500</v>
          </cell>
          <cell r="R19">
            <v>0</v>
          </cell>
          <cell r="S19"/>
          <cell r="T19"/>
          <cell r="U19">
            <v>291000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>
            <v>205500</v>
          </cell>
          <cell r="AL19"/>
          <cell r="AM19"/>
          <cell r="AN19">
            <v>2000</v>
          </cell>
          <cell r="AO19"/>
          <cell r="AP19" t="str">
            <v>BANQUE</v>
          </cell>
          <cell r="AQ19">
            <v>0</v>
          </cell>
          <cell r="AR19">
            <v>0</v>
          </cell>
          <cell r="AS19">
            <v>36500</v>
          </cell>
          <cell r="AT19"/>
          <cell r="AV19"/>
          <cell r="AW19">
            <v>0</v>
          </cell>
          <cell r="AX19">
            <v>0</v>
          </cell>
          <cell r="AY19">
            <v>205500</v>
          </cell>
          <cell r="AZ19">
            <v>205500</v>
          </cell>
          <cell r="BA19"/>
          <cell r="BB19"/>
          <cell r="BC19">
            <v>0</v>
          </cell>
          <cell r="BD19">
            <v>205500</v>
          </cell>
          <cell r="BE19" t="str">
            <v>OK</v>
          </cell>
          <cell r="BF19">
            <v>0</v>
          </cell>
          <cell r="BG19">
            <v>9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50000</v>
          </cell>
          <cell r="E20">
            <v>0</v>
          </cell>
          <cell r="F20">
            <v>0</v>
          </cell>
          <cell r="G20"/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/>
          <cell r="T20"/>
          <cell r="U20">
            <v>50000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9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/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1000000</v>
          </cell>
          <cell r="T21" t="str">
            <v>AUTRES</v>
          </cell>
          <cell r="U21">
            <v>50000</v>
          </cell>
          <cell r="V21"/>
          <cell r="W21"/>
          <cell r="X21"/>
          <cell r="Y21">
            <v>50000</v>
          </cell>
          <cell r="Z21">
            <v>1000000</v>
          </cell>
          <cell r="AA21"/>
          <cell r="AB21"/>
          <cell r="AC21">
            <v>7500</v>
          </cell>
          <cell r="AD21"/>
          <cell r="AE21"/>
          <cell r="AF21" t="str">
            <v>BANQUE</v>
          </cell>
          <cell r="AG21"/>
          <cell r="AH21"/>
          <cell r="AI21"/>
          <cell r="AJ21">
            <v>100000</v>
          </cell>
          <cell r="AK21">
            <v>200000</v>
          </cell>
          <cell r="AL21"/>
          <cell r="AM21">
            <v>2000</v>
          </cell>
          <cell r="AN21">
            <v>2000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166000</v>
          </cell>
          <cell r="BB21"/>
          <cell r="BC21">
            <v>0</v>
          </cell>
          <cell r="BD21">
            <v>0</v>
          </cell>
          <cell r="BE21" t="str">
            <v>OK</v>
          </cell>
          <cell r="BF21">
            <v>0</v>
          </cell>
          <cell r="BG21">
            <v>9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376000</v>
          </cell>
          <cell r="E22">
            <v>0</v>
          </cell>
          <cell r="F22">
            <v>0</v>
          </cell>
          <cell r="G22"/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51000</v>
          </cell>
          <cell r="R22">
            <v>0</v>
          </cell>
          <cell r="S22">
            <v>1000000</v>
          </cell>
          <cell r="T22" t="str">
            <v>AUTRES</v>
          </cell>
          <cell r="U22">
            <v>1376000</v>
          </cell>
          <cell r="V22"/>
          <cell r="W22"/>
          <cell r="X22"/>
          <cell r="Y22">
            <v>325000</v>
          </cell>
          <cell r="Z22">
            <v>1000000</v>
          </cell>
          <cell r="AA22"/>
          <cell r="AB22"/>
          <cell r="AC22">
            <v>7500</v>
          </cell>
          <cell r="AD22"/>
          <cell r="AE22"/>
          <cell r="AF22" t="str">
            <v>BANQUE</v>
          </cell>
          <cell r="AG22"/>
          <cell r="AH22"/>
          <cell r="AI22"/>
          <cell r="AJ22">
            <v>100000</v>
          </cell>
          <cell r="AK22">
            <v>200000</v>
          </cell>
          <cell r="AL22"/>
          <cell r="AM22">
            <v>2000</v>
          </cell>
          <cell r="AN22">
            <v>2000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292500</v>
          </cell>
          <cell r="AX22">
            <v>100000</v>
          </cell>
          <cell r="AY22">
            <v>200000</v>
          </cell>
          <cell r="AZ22">
            <v>1562500</v>
          </cell>
          <cell r="BA22">
            <v>166000</v>
          </cell>
          <cell r="BB22"/>
          <cell r="BC22">
            <v>0</v>
          </cell>
          <cell r="BD22">
            <v>426500</v>
          </cell>
          <cell r="BE22" t="str">
            <v>OK</v>
          </cell>
          <cell r="BF22">
            <v>30000</v>
          </cell>
          <cell r="BG22">
            <v>3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>
            <v>600000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9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>
            <v>100000</v>
          </cell>
          <cell r="AL24"/>
          <cell r="AM24"/>
          <cell r="AN24">
            <v>1000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A24"/>
          <cell r="BB24"/>
          <cell r="BC24">
            <v>0</v>
          </cell>
          <cell r="BD24">
            <v>600000</v>
          </cell>
          <cell r="BE24" t="str">
            <v>OK</v>
          </cell>
          <cell r="BF24">
            <v>0</v>
          </cell>
          <cell r="BG24">
            <v>9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361000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S25"/>
          <cell r="T25"/>
          <cell r="U25">
            <v>361000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>
            <v>100000</v>
          </cell>
          <cell r="AL25"/>
          <cell r="AM25"/>
          <cell r="AN25">
            <v>1000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/>
          <cell r="BB25"/>
          <cell r="BC25">
            <v>0</v>
          </cell>
          <cell r="BD25">
            <v>27000</v>
          </cell>
          <cell r="BE25" t="str">
            <v>OK</v>
          </cell>
          <cell r="BF25">
            <v>0</v>
          </cell>
          <cell r="BG25">
            <v>9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S26"/>
          <cell r="T26"/>
          <cell r="U26">
            <v>240000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>
            <v>200000</v>
          </cell>
          <cell r="AL26"/>
          <cell r="AM26"/>
          <cell r="AN26">
            <v>2500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100000</v>
          </cell>
          <cell r="BB26"/>
          <cell r="BC26">
            <v>0</v>
          </cell>
          <cell r="BD26">
            <v>0</v>
          </cell>
          <cell r="BE26" t="str">
            <v>OK</v>
          </cell>
          <cell r="BF26">
            <v>0</v>
          </cell>
          <cell r="BG26">
            <v>9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S27">
            <v>1000000</v>
          </cell>
          <cell r="T27"/>
          <cell r="U27">
            <v>450000</v>
          </cell>
          <cell r="V27"/>
          <cell r="W27"/>
          <cell r="X27"/>
          <cell r="Y27">
            <v>250000</v>
          </cell>
          <cell r="Z27">
            <v>1000000</v>
          </cell>
          <cell r="AA27" t="str">
            <v>AUTRES</v>
          </cell>
          <cell r="AB27"/>
          <cell r="AC27"/>
          <cell r="AD27"/>
          <cell r="AE27"/>
          <cell r="AF27"/>
          <cell r="AG27"/>
          <cell r="AH27"/>
          <cell r="AI27"/>
          <cell r="AJ27"/>
          <cell r="AK27">
            <v>200000</v>
          </cell>
          <cell r="AL27"/>
          <cell r="AM27"/>
          <cell r="AN27">
            <v>2500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T27"/>
          <cell r="AV27"/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>
            <v>100000</v>
          </cell>
          <cell r="BB27"/>
          <cell r="BC27">
            <v>0</v>
          </cell>
          <cell r="BD27">
            <v>100000</v>
          </cell>
          <cell r="BE27" t="str">
            <v>OK</v>
          </cell>
          <cell r="BF27">
            <v>0</v>
          </cell>
          <cell r="BG27">
            <v>9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-970000</v>
          </cell>
          <cell r="D28">
            <v>122000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>
            <v>1000000</v>
          </cell>
          <cell r="T28"/>
          <cell r="U28">
            <v>1092000</v>
          </cell>
          <cell r="V28"/>
          <cell r="W28"/>
          <cell r="X28"/>
          <cell r="Y28">
            <v>50000</v>
          </cell>
          <cell r="Z28">
            <v>1000000</v>
          </cell>
          <cell r="AA28" t="str">
            <v>AUTRES</v>
          </cell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1000000</v>
          </cell>
          <cell r="BA28"/>
          <cell r="BB28"/>
          <cell r="BC28">
            <v>0</v>
          </cell>
          <cell r="BD28">
            <v>0</v>
          </cell>
          <cell r="BE28" t="str">
            <v>OK</v>
          </cell>
          <cell r="BF28">
            <v>30000</v>
          </cell>
          <cell r="BG28">
            <v>3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>
            <v>150000</v>
          </cell>
          <cell r="AA29" t="str">
            <v>BANQUE</v>
          </cell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136500</v>
          </cell>
          <cell r="BA29"/>
          <cell r="BB29"/>
          <cell r="BC29">
            <v>0</v>
          </cell>
          <cell r="BD29">
            <v>136500</v>
          </cell>
          <cell r="BE29" t="str">
            <v>OK</v>
          </cell>
          <cell r="BF29">
            <v>13500</v>
          </cell>
          <cell r="BG29">
            <v>9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>
            <v>80000</v>
          </cell>
          <cell r="AJ30"/>
          <cell r="AK30"/>
          <cell r="AL30">
            <v>3000</v>
          </cell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80000</v>
          </cell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9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91000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41000</v>
          </cell>
          <cell r="Q31">
            <v>0</v>
          </cell>
          <cell r="R31">
            <v>0</v>
          </cell>
          <cell r="S31">
            <v>1000000</v>
          </cell>
          <cell r="T31" t="str">
            <v>AUTRES</v>
          </cell>
          <cell r="U31">
            <v>91000</v>
          </cell>
          <cell r="V31"/>
          <cell r="W31"/>
          <cell r="X31"/>
          <cell r="Y31">
            <v>50000</v>
          </cell>
          <cell r="Z31">
            <v>1000000</v>
          </cell>
          <cell r="AA31" t="str">
            <v>AUTRES</v>
          </cell>
          <cell r="AB31"/>
          <cell r="AC31"/>
          <cell r="AD31"/>
          <cell r="AE31"/>
          <cell r="AF31"/>
          <cell r="AG31"/>
          <cell r="AH31"/>
          <cell r="AI31">
            <v>80000</v>
          </cell>
          <cell r="AJ31"/>
          <cell r="AK31"/>
          <cell r="AL31">
            <v>3000</v>
          </cell>
          <cell r="AM31"/>
          <cell r="AN31"/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80000</v>
          </cell>
          <cell r="AX31">
            <v>0</v>
          </cell>
          <cell r="AY31">
            <v>0</v>
          </cell>
          <cell r="AZ31">
            <v>80000</v>
          </cell>
          <cell r="BA31">
            <v>80000</v>
          </cell>
          <cell r="BB31"/>
          <cell r="BC31">
            <v>0</v>
          </cell>
          <cell r="BD31">
            <v>0</v>
          </cell>
          <cell r="BE31"/>
          <cell r="BF31">
            <v>0</v>
          </cell>
          <cell r="BG31">
            <v>9</v>
          </cell>
          <cell r="BH31"/>
          <cell r="BI31"/>
          <cell r="BJ31"/>
          <cell r="BK31"/>
          <cell r="BL31"/>
          <cell r="BO31" t="str">
            <v>DECES ELLE MERE DJOUKWE</v>
          </cell>
          <cell r="BP31" t="str">
            <v>MUTUELLE</v>
          </cell>
          <cell r="BQ31">
            <v>100000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0</v>
          </cell>
          <cell r="E32">
            <v>253000</v>
          </cell>
          <cell r="F32">
            <v>0</v>
          </cell>
          <cell r="G32"/>
          <cell r="H32">
            <v>3000</v>
          </cell>
          <cell r="I32" t="str">
            <v>ESPECES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AUTRES</v>
          </cell>
          <cell r="U32">
            <v>1253000</v>
          </cell>
          <cell r="V32"/>
          <cell r="W32"/>
          <cell r="X32"/>
          <cell r="Y32">
            <v>250000</v>
          </cell>
          <cell r="Z32">
            <v>1000000</v>
          </cell>
          <cell r="AA32" t="str">
            <v>AUTRES</v>
          </cell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/>
          <cell r="BB32"/>
          <cell r="BC32">
            <v>0</v>
          </cell>
          <cell r="BD32">
            <v>0</v>
          </cell>
          <cell r="BE32"/>
          <cell r="BF32">
            <v>30000</v>
          </cell>
          <cell r="BG32">
            <v>3</v>
          </cell>
          <cell r="BH32"/>
          <cell r="BI32"/>
          <cell r="BJ32"/>
          <cell r="BK32"/>
          <cell r="BL32"/>
          <cell r="BO32" t="str">
            <v>DECES ELLE MERE DJOUKWE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G33"/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25000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/>
          <cell r="BF33">
            <v>0</v>
          </cell>
          <cell r="BG33">
            <v>9</v>
          </cell>
          <cell r="BH33"/>
          <cell r="BI33"/>
          <cell r="BJ33"/>
          <cell r="BK33"/>
          <cell r="BL33"/>
          <cell r="BO33" t="str">
            <v>DECES ELLE MERE MASSEUGO</v>
          </cell>
          <cell r="BQ33">
            <v>100000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>
            <v>1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>
            <v>150000</v>
          </cell>
          <cell r="V34"/>
          <cell r="W34"/>
          <cell r="X34"/>
          <cell r="Y34">
            <v>150000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>
            <v>100000</v>
          </cell>
          <cell r="AK34"/>
          <cell r="AL34"/>
          <cell r="AM34">
            <v>2000</v>
          </cell>
          <cell r="AN34"/>
          <cell r="AO34"/>
          <cell r="AP34"/>
          <cell r="AQ34">
            <v>0</v>
          </cell>
          <cell r="AR34">
            <v>0</v>
          </cell>
          <cell r="AS34">
            <v>25000</v>
          </cell>
          <cell r="AT34"/>
          <cell r="AV34"/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/>
          <cell r="BB34"/>
          <cell r="BC34">
            <v>0</v>
          </cell>
          <cell r="BD34">
            <v>0</v>
          </cell>
          <cell r="BE34" t="str">
            <v>OK</v>
          </cell>
          <cell r="BF34">
            <v>0</v>
          </cell>
          <cell r="BG34">
            <v>9</v>
          </cell>
          <cell r="BH34"/>
          <cell r="BI34"/>
          <cell r="BJ34"/>
          <cell r="BK34"/>
          <cell r="BL34"/>
          <cell r="BO34" t="str">
            <v>DECES ELLE MERE MBONING</v>
          </cell>
          <cell r="BQ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/>
          <cell r="T35"/>
          <cell r="U35">
            <v>125000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>
            <v>100000</v>
          </cell>
          <cell r="AK35"/>
          <cell r="AL35"/>
          <cell r="AM35">
            <v>2000</v>
          </cell>
          <cell r="AN35"/>
          <cell r="AO35"/>
          <cell r="AP35"/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A35"/>
          <cell r="BB35"/>
          <cell r="BC35">
            <v>0</v>
          </cell>
          <cell r="BD35">
            <v>100000</v>
          </cell>
          <cell r="BE35" t="str">
            <v>OK</v>
          </cell>
          <cell r="BF35">
            <v>0</v>
          </cell>
          <cell r="BG35">
            <v>9</v>
          </cell>
          <cell r="BH35"/>
          <cell r="BI35"/>
          <cell r="BJ35"/>
          <cell r="BK35"/>
          <cell r="BL35"/>
          <cell r="BO35" t="str">
            <v>S/TOTAL</v>
          </cell>
          <cell r="BQ35">
            <v>300000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/>
          <cell r="BB36"/>
          <cell r="BC36">
            <v>0</v>
          </cell>
          <cell r="BD36">
            <v>0</v>
          </cell>
          <cell r="BE36"/>
          <cell r="BF36">
            <v>0</v>
          </cell>
          <cell r="BG36">
            <v>9</v>
          </cell>
          <cell r="BH36"/>
          <cell r="BI36"/>
          <cell r="BJ36"/>
          <cell r="BK36"/>
          <cell r="BL36"/>
          <cell r="BO36" t="str">
            <v>S/TOTAL</v>
          </cell>
          <cell r="BQ36">
            <v>300000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9</v>
          </cell>
          <cell r="BH37"/>
          <cell r="BI37"/>
          <cell r="BJ37"/>
          <cell r="BK37"/>
          <cell r="BL37"/>
          <cell r="BO37" t="str">
            <v>S/TOTAL</v>
          </cell>
          <cell r="BQ37">
            <v>400000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0</v>
          </cell>
          <cell r="AR38">
            <v>0</v>
          </cell>
          <cell r="AS38">
            <v>22000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9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130000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/>
          <cell r="T39"/>
          <cell r="U39">
            <v>130000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>
            <v>0</v>
          </cell>
          <cell r="AR39">
            <v>0</v>
          </cell>
          <cell r="AS39">
            <v>30000</v>
          </cell>
          <cell r="AT39"/>
          <cell r="AV39"/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/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9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G40"/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9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G41"/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>
            <v>500000</v>
          </cell>
          <cell r="T41" t="str">
            <v>BANQUE</v>
          </cell>
          <cell r="U41">
            <v>253000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/>
          <cell r="BF41">
            <v>0</v>
          </cell>
          <cell r="BG41">
            <v>9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725000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>
            <v>500000</v>
          </cell>
          <cell r="T42" t="str">
            <v>BANQUE</v>
          </cell>
          <cell r="U42">
            <v>725000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9</v>
          </cell>
        </row>
        <row r="43">
          <cell r="B43" t="str">
            <v>TOTAUX</v>
          </cell>
          <cell r="C43">
            <v>-4583500</v>
          </cell>
          <cell r="D43">
            <v>6208000</v>
          </cell>
          <cell r="E43">
            <v>636000</v>
          </cell>
          <cell r="F43">
            <v>0</v>
          </cell>
          <cell r="G43">
            <v>76500</v>
          </cell>
          <cell r="H43">
            <v>9000</v>
          </cell>
          <cell r="I43">
            <v>0</v>
          </cell>
          <cell r="J43">
            <v>35</v>
          </cell>
          <cell r="K43">
            <v>1750000</v>
          </cell>
          <cell r="L43">
            <v>13</v>
          </cell>
          <cell r="M43">
            <v>975000</v>
          </cell>
          <cell r="N43">
            <v>24</v>
          </cell>
          <cell r="O43">
            <v>2400000</v>
          </cell>
          <cell r="P43">
            <v>124000</v>
          </cell>
          <cell r="Q43">
            <v>208500</v>
          </cell>
          <cell r="R43">
            <v>719500</v>
          </cell>
          <cell r="S43">
            <v>5135000</v>
          </cell>
          <cell r="T43"/>
          <cell r="U43">
            <v>11397500</v>
          </cell>
          <cell r="V43">
            <v>0</v>
          </cell>
          <cell r="W43">
            <v>0</v>
          </cell>
          <cell r="X43">
            <v>0</v>
          </cell>
          <cell r="Y43">
            <v>5125000</v>
          </cell>
          <cell r="Z43">
            <v>4650000</v>
          </cell>
          <cell r="AA43">
            <v>0</v>
          </cell>
          <cell r="AB43"/>
          <cell r="AC43">
            <v>21000</v>
          </cell>
          <cell r="AD43">
            <v>7500</v>
          </cell>
          <cell r="AE43">
            <v>65000</v>
          </cell>
          <cell r="AF43">
            <v>0</v>
          </cell>
          <cell r="AG43">
            <v>0</v>
          </cell>
          <cell r="AH43"/>
          <cell r="AI43">
            <v>120000</v>
          </cell>
          <cell r="AJ43">
            <v>291125</v>
          </cell>
          <cell r="AK43">
            <v>905500</v>
          </cell>
          <cell r="AL43">
            <v>5000</v>
          </cell>
          <cell r="AM43">
            <v>6000</v>
          </cell>
          <cell r="AN43">
            <v>11000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951500</v>
          </cell>
          <cell r="AT43">
            <v>0</v>
          </cell>
          <cell r="AU43">
            <v>0</v>
          </cell>
          <cell r="AV43">
            <v>600000</v>
          </cell>
          <cell r="AW43">
            <v>999000</v>
          </cell>
          <cell r="AX43">
            <v>1183625</v>
          </cell>
          <cell r="AY43">
            <v>3240500</v>
          </cell>
          <cell r="AZ43">
            <v>10946625</v>
          </cell>
          <cell r="BA43">
            <v>636000</v>
          </cell>
          <cell r="BB43">
            <v>0</v>
          </cell>
          <cell r="BC43">
            <v>0</v>
          </cell>
          <cell r="BD43">
            <v>5473125</v>
          </cell>
          <cell r="BE43">
            <v>0</v>
          </cell>
          <cell r="BF43">
            <v>208500</v>
          </cell>
          <cell r="BH43">
            <v>52000</v>
          </cell>
          <cell r="BI43">
            <v>0</v>
          </cell>
          <cell r="BJ43">
            <v>300000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-4483500</v>
          </cell>
          <cell r="D44">
            <v>7358000</v>
          </cell>
          <cell r="E44">
            <v>636000</v>
          </cell>
          <cell r="F44">
            <v>0</v>
          </cell>
          <cell r="G44">
            <v>76500</v>
          </cell>
          <cell r="H44">
            <v>9000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124000</v>
          </cell>
          <cell r="Q44">
            <v>208500</v>
          </cell>
          <cell r="R44">
            <v>719500</v>
          </cell>
          <cell r="S44">
            <v>6185000</v>
          </cell>
          <cell r="U44">
            <v>12447500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4650000</v>
          </cell>
          <cell r="AA44">
            <v>0</v>
          </cell>
          <cell r="AC44">
            <v>21000</v>
          </cell>
          <cell r="AD44">
            <v>7500</v>
          </cell>
          <cell r="AE44">
            <v>65000</v>
          </cell>
          <cell r="AF44">
            <v>0</v>
          </cell>
          <cell r="AG44">
            <v>0</v>
          </cell>
          <cell r="AI44">
            <v>120000</v>
          </cell>
          <cell r="AJ44">
            <v>291125</v>
          </cell>
          <cell r="AK44">
            <v>905500</v>
          </cell>
          <cell r="AL44">
            <v>5000</v>
          </cell>
          <cell r="AM44">
            <v>6000</v>
          </cell>
          <cell r="AN44">
            <v>11000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951500</v>
          </cell>
          <cell r="AT44">
            <v>0</v>
          </cell>
          <cell r="AU44">
            <v>0</v>
          </cell>
          <cell r="AV44">
            <v>600000</v>
          </cell>
          <cell r="AW44">
            <v>999000</v>
          </cell>
          <cell r="AX44">
            <v>1183625</v>
          </cell>
          <cell r="AY44">
            <v>3240500</v>
          </cell>
          <cell r="AZ44">
            <v>10656625</v>
          </cell>
          <cell r="BA44">
            <v>636000</v>
          </cell>
          <cell r="BB44">
            <v>0</v>
          </cell>
          <cell r="BC44">
            <v>0</v>
          </cell>
          <cell r="BD44">
            <v>5183125</v>
          </cell>
          <cell r="BE44">
            <v>0</v>
          </cell>
          <cell r="BF44">
            <v>498500</v>
          </cell>
          <cell r="BH44">
            <v>52000</v>
          </cell>
          <cell r="BI44">
            <v>0</v>
          </cell>
          <cell r="BJ44">
            <v>300000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636000</v>
          </cell>
          <cell r="BB45" t="str">
            <v>ESPECES EN CAISSE</v>
          </cell>
          <cell r="BD45"/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636000</v>
          </cell>
          <cell r="BB46" t="str">
            <v>ESPECES EN CAISSE</v>
          </cell>
          <cell r="BD46">
            <v>-5473125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0</v>
          </cell>
          <cell r="BD47">
            <v>-5183125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5473125</v>
          </cell>
          <cell r="D49">
            <v>6208000</v>
          </cell>
          <cell r="E49">
            <v>-734875</v>
          </cell>
          <cell r="F49"/>
          <cell r="G49">
            <v>636000</v>
          </cell>
          <cell r="H49">
            <v>636000</v>
          </cell>
          <cell r="I49">
            <v>0</v>
          </cell>
          <cell r="J49"/>
        </row>
        <row r="50">
          <cell r="B50" t="str">
            <v>OPERATIONS DU JOUR</v>
          </cell>
          <cell r="C50">
            <v>5183125</v>
          </cell>
          <cell r="D50">
            <v>7358000</v>
          </cell>
          <cell r="E50">
            <v>-2174875</v>
          </cell>
          <cell r="G50">
            <v>636000</v>
          </cell>
          <cell r="H50">
            <v>636000</v>
          </cell>
          <cell r="I50">
            <v>0</v>
          </cell>
          <cell r="BO50" t="str">
            <v>FOYER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406000</v>
          </cell>
          <cell r="BA6"/>
          <cell r="BB6"/>
          <cell r="BC6">
            <v>0</v>
          </cell>
          <cell r="BD6">
            <v>406000</v>
          </cell>
          <cell r="BE6" t="str">
            <v>0K</v>
          </cell>
          <cell r="BF6">
            <v>0</v>
          </cell>
          <cell r="BG6">
            <v>8</v>
          </cell>
          <cell r="BH6">
            <v>6000</v>
          </cell>
          <cell r="BI6">
            <v>0</v>
          </cell>
          <cell r="BJ6">
            <v>0</v>
          </cell>
          <cell r="BK6"/>
          <cell r="BL6"/>
          <cell r="BM6"/>
          <cell r="BN6">
            <v>400000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/>
          <cell r="H7">
            <v>0</v>
          </cell>
          <cell r="I7" t="str">
            <v>ECHEC</v>
          </cell>
          <cell r="J7">
            <v>1</v>
          </cell>
          <cell r="K7">
            <v>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0</v>
          </cell>
          <cell r="V7"/>
          <cell r="W7"/>
          <cell r="X7"/>
          <cell r="Y7">
            <v>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8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/>
          <cell r="T8"/>
          <cell r="U8">
            <v>125000</v>
          </cell>
          <cell r="V8"/>
          <cell r="W8"/>
          <cell r="X8"/>
          <cell r="Y8">
            <v>125000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/>
          <cell r="BB8"/>
          <cell r="BC8">
            <v>0</v>
          </cell>
          <cell r="BD8">
            <v>0</v>
          </cell>
          <cell r="BE8"/>
          <cell r="BF8">
            <v>0</v>
          </cell>
          <cell r="BG8">
            <v>8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-205000</v>
          </cell>
          <cell r="D9">
            <v>0</v>
          </cell>
          <cell r="E9">
            <v>253500</v>
          </cell>
          <cell r="F9">
            <v>0</v>
          </cell>
          <cell r="G9"/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S9"/>
          <cell r="T9"/>
          <cell r="U9">
            <v>458500</v>
          </cell>
          <cell r="V9">
            <v>5000</v>
          </cell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>
            <v>200000</v>
          </cell>
          <cell r="AL9"/>
          <cell r="AM9"/>
          <cell r="AN9">
            <v>2000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/>
          <cell r="BB9"/>
          <cell r="BC9">
            <v>0</v>
          </cell>
          <cell r="BD9">
            <v>200000</v>
          </cell>
          <cell r="BE9"/>
          <cell r="BF9">
            <v>0</v>
          </cell>
          <cell r="BG9">
            <v>8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-42000</v>
          </cell>
          <cell r="D10">
            <v>50000</v>
          </cell>
          <cell r="E10">
            <v>0</v>
          </cell>
          <cell r="F10">
            <v>0</v>
          </cell>
          <cell r="G10"/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42000</v>
          </cell>
          <cell r="Q10">
            <v>0</v>
          </cell>
          <cell r="R10">
            <v>0</v>
          </cell>
          <cell r="S10"/>
          <cell r="T10"/>
          <cell r="U10">
            <v>92000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30000</v>
          </cell>
          <cell r="AJ10"/>
          <cell r="AK10"/>
          <cell r="AL10">
            <v>2500</v>
          </cell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/>
          <cell r="BB10"/>
          <cell r="BC10">
            <v>0</v>
          </cell>
          <cell r="BD10">
            <v>30000</v>
          </cell>
          <cell r="BE10"/>
          <cell r="BF10">
            <v>0</v>
          </cell>
          <cell r="BG10">
            <v>8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50000</v>
          </cell>
          <cell r="E11">
            <v>100000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/>
          <cell r="T11"/>
          <cell r="U11">
            <v>150000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/>
          <cell r="BB11"/>
          <cell r="BC11">
            <v>0</v>
          </cell>
          <cell r="BD11">
            <v>0</v>
          </cell>
          <cell r="BE11"/>
          <cell r="BF11">
            <v>0</v>
          </cell>
          <cell r="BG11">
            <v>8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/>
          <cell r="T12"/>
          <cell r="U12">
            <v>260000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35000</v>
          </cell>
          <cell r="AT12"/>
          <cell r="AV12"/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/>
          <cell r="BB12"/>
          <cell r="BC12">
            <v>0</v>
          </cell>
          <cell r="BD12">
            <v>0</v>
          </cell>
          <cell r="BE12"/>
          <cell r="BF12">
            <v>0</v>
          </cell>
          <cell r="BG12">
            <v>8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8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8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>
            <v>400000</v>
          </cell>
        </row>
        <row r="15">
          <cell r="A15" t="str">
            <v>AS201663</v>
          </cell>
          <cell r="B15" t="str">
            <v>FAMPOU PAUL</v>
          </cell>
          <cell r="C15">
            <v>-26000</v>
          </cell>
          <cell r="D15">
            <v>150000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26000</v>
          </cell>
          <cell r="S15"/>
          <cell r="T15"/>
          <cell r="U15">
            <v>176000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8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5000</v>
          </cell>
          <cell r="D16">
            <v>125000</v>
          </cell>
          <cell r="E16">
            <v>0</v>
          </cell>
          <cell r="F16">
            <v>0</v>
          </cell>
          <cell r="G16">
            <v>-5000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1000000</v>
          </cell>
          <cell r="T16" t="str">
            <v>BANQUE</v>
          </cell>
          <cell r="U16">
            <v>120000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20000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150000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8</v>
          </cell>
          <cell r="BH16"/>
          <cell r="BI16"/>
          <cell r="BJ16"/>
          <cell r="BK16"/>
          <cell r="BL16">
            <v>150000</v>
          </cell>
          <cell r="BQ16"/>
        </row>
        <row r="17">
          <cell r="A17" t="str">
            <v>AS201613</v>
          </cell>
          <cell r="B17" t="str">
            <v>HOTCHO BENJAMIN</v>
          </cell>
          <cell r="C17">
            <v>-93125</v>
          </cell>
          <cell r="D17">
            <v>220000</v>
          </cell>
          <cell r="E17">
            <v>0</v>
          </cell>
          <cell r="F17">
            <v>0</v>
          </cell>
          <cell r="G17">
            <v>-5000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93125</v>
          </cell>
          <cell r="R17">
            <v>0</v>
          </cell>
          <cell r="S17"/>
          <cell r="T17"/>
          <cell r="U17">
            <v>313125</v>
          </cell>
          <cell r="V17"/>
          <cell r="W17"/>
          <cell r="X17"/>
          <cell r="Y17">
            <v>225000</v>
          </cell>
          <cell r="Z17"/>
          <cell r="AA17"/>
          <cell r="AB17"/>
          <cell r="AC17"/>
          <cell r="AD17"/>
          <cell r="AE17">
            <v>30000</v>
          </cell>
          <cell r="AF17" t="str">
            <v>BANQUE</v>
          </cell>
          <cell r="AG17"/>
          <cell r="AH17"/>
          <cell r="AI17"/>
          <cell r="AJ17">
            <v>50000</v>
          </cell>
          <cell r="AK17">
            <v>100000</v>
          </cell>
          <cell r="AL17"/>
          <cell r="AM17">
            <v>1000</v>
          </cell>
          <cell r="AN17">
            <v>1000</v>
          </cell>
          <cell r="AO17"/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T17"/>
          <cell r="AV17"/>
          <cell r="AW17">
            <v>0</v>
          </cell>
          <cell r="AX17">
            <v>50000</v>
          </cell>
          <cell r="AY17">
            <v>1270000</v>
          </cell>
          <cell r="AZ17">
            <v>1320000</v>
          </cell>
          <cell r="BA17"/>
          <cell r="BB17"/>
          <cell r="BC17">
            <v>0</v>
          </cell>
          <cell r="BD17">
            <v>1320000</v>
          </cell>
          <cell r="BE17" t="str">
            <v>OK</v>
          </cell>
          <cell r="BF17">
            <v>0</v>
          </cell>
          <cell r="BG17">
            <v>8</v>
          </cell>
          <cell r="BH17"/>
          <cell r="BI17"/>
          <cell r="BJ17"/>
          <cell r="BK17"/>
          <cell r="BL17"/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/>
          <cell r="T18"/>
          <cell r="U18">
            <v>150000</v>
          </cell>
          <cell r="V18"/>
          <cell r="W18"/>
          <cell r="X18"/>
          <cell r="Y18">
            <v>150000</v>
          </cell>
          <cell r="Z18"/>
          <cell r="AA18"/>
          <cell r="AB18"/>
          <cell r="AC18">
            <v>20000</v>
          </cell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280000</v>
          </cell>
          <cell r="AX18">
            <v>0</v>
          </cell>
          <cell r="AY18">
            <v>0</v>
          </cell>
          <cell r="AZ18">
            <v>280000</v>
          </cell>
          <cell r="BA18"/>
          <cell r="BB18"/>
          <cell r="BC18">
            <v>0</v>
          </cell>
          <cell r="BD18">
            <v>280000</v>
          </cell>
          <cell r="BE18"/>
          <cell r="BF18">
            <v>0</v>
          </cell>
          <cell r="BG18">
            <v>8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-290500</v>
          </cell>
          <cell r="D19">
            <v>150000</v>
          </cell>
          <cell r="E19">
            <v>0</v>
          </cell>
          <cell r="F19">
            <v>0</v>
          </cell>
          <cell r="G19">
            <v>8000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207500</v>
          </cell>
          <cell r="S19"/>
          <cell r="T19"/>
          <cell r="U19">
            <v>440500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>
            <v>7500</v>
          </cell>
          <cell r="AE19"/>
          <cell r="AF19" t="str">
            <v>BANQUE</v>
          </cell>
          <cell r="AG19"/>
          <cell r="AH19"/>
          <cell r="AI19"/>
          <cell r="AJ19"/>
          <cell r="AK19">
            <v>100000</v>
          </cell>
          <cell r="AL19"/>
          <cell r="AM19"/>
          <cell r="AN19">
            <v>1000</v>
          </cell>
          <cell r="AO19"/>
          <cell r="AP19" t="str">
            <v>BANQUE</v>
          </cell>
          <cell r="AQ19">
            <v>0</v>
          </cell>
          <cell r="AR19">
            <v>0</v>
          </cell>
          <cell r="AS19">
            <v>33000</v>
          </cell>
          <cell r="AT19"/>
          <cell r="AV19"/>
          <cell r="AW19">
            <v>0</v>
          </cell>
          <cell r="AX19">
            <v>892500</v>
          </cell>
          <cell r="AY19">
            <v>100000</v>
          </cell>
          <cell r="AZ19">
            <v>992500</v>
          </cell>
          <cell r="BA19"/>
          <cell r="BB19"/>
          <cell r="BC19">
            <v>0</v>
          </cell>
          <cell r="BD19">
            <v>992500</v>
          </cell>
          <cell r="BE19" t="str">
            <v>OK</v>
          </cell>
          <cell r="BF19">
            <v>0</v>
          </cell>
          <cell r="BG19">
            <v>8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>
            <v>50000</v>
          </cell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50000</v>
          </cell>
          <cell r="E20">
            <v>0</v>
          </cell>
          <cell r="F20">
            <v>0</v>
          </cell>
          <cell r="G20">
            <v>200000</v>
          </cell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/>
          <cell r="T20"/>
          <cell r="U20">
            <v>50000</v>
          </cell>
          <cell r="V20"/>
          <cell r="W20"/>
          <cell r="X20"/>
          <cell r="Y20">
            <v>50000</v>
          </cell>
          <cell r="Z20">
            <v>300000</v>
          </cell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291000</v>
          </cell>
          <cell r="BA20"/>
          <cell r="BB20"/>
          <cell r="BC20">
            <v>0</v>
          </cell>
          <cell r="BD20">
            <v>291000</v>
          </cell>
          <cell r="BE20" t="str">
            <v>OK</v>
          </cell>
          <cell r="BF20">
            <v>9000</v>
          </cell>
          <cell r="BG20">
            <v>3</v>
          </cell>
          <cell r="BH20"/>
          <cell r="BI20"/>
          <cell r="BJ20"/>
          <cell r="BK20"/>
          <cell r="BL20"/>
          <cell r="BO20" t="str">
            <v>SOLDE TERRAIN</v>
          </cell>
          <cell r="BQ20">
            <v>350000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/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/>
          <cell r="T21"/>
          <cell r="U21">
            <v>50000</v>
          </cell>
          <cell r="V21"/>
          <cell r="W21"/>
          <cell r="X21"/>
          <cell r="Y21">
            <v>50000</v>
          </cell>
          <cell r="Z21">
            <v>300000</v>
          </cell>
          <cell r="AA21"/>
          <cell r="AB21"/>
          <cell r="AC21"/>
          <cell r="AD21"/>
          <cell r="AE21"/>
          <cell r="AF21"/>
          <cell r="AG21"/>
          <cell r="AH21"/>
          <cell r="AI21"/>
          <cell r="AJ21">
            <v>100000</v>
          </cell>
          <cell r="AK21">
            <v>200000</v>
          </cell>
          <cell r="AL21"/>
          <cell r="AM21">
            <v>2000</v>
          </cell>
          <cell r="AN21">
            <v>2000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291000</v>
          </cell>
          <cell r="BA21"/>
          <cell r="BB21"/>
          <cell r="BC21">
            <v>0</v>
          </cell>
          <cell r="BD21">
            <v>291000</v>
          </cell>
          <cell r="BE21" t="str">
            <v>OK</v>
          </cell>
          <cell r="BF21">
            <v>9000</v>
          </cell>
          <cell r="BG21">
            <v>3</v>
          </cell>
          <cell r="BH21"/>
          <cell r="BI21"/>
          <cell r="BJ21"/>
          <cell r="BK21"/>
          <cell r="BL21"/>
          <cell r="BO21" t="str">
            <v>SOLDE TERRAIN</v>
          </cell>
          <cell r="BQ21">
            <v>350000</v>
          </cell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G22"/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S22"/>
          <cell r="T22"/>
          <cell r="U22">
            <v>629000</v>
          </cell>
          <cell r="V22"/>
          <cell r="W22"/>
          <cell r="X22"/>
          <cell r="Y22">
            <v>325000</v>
          </cell>
          <cell r="Z22"/>
          <cell r="AA22"/>
          <cell r="AB22"/>
          <cell r="AC22">
            <v>10000</v>
          </cell>
          <cell r="AD22"/>
          <cell r="AE22"/>
          <cell r="AF22"/>
          <cell r="AG22"/>
          <cell r="AH22"/>
          <cell r="AI22"/>
          <cell r="AJ22">
            <v>100000</v>
          </cell>
          <cell r="AK22">
            <v>200000</v>
          </cell>
          <cell r="AL22"/>
          <cell r="AM22">
            <v>2000</v>
          </cell>
          <cell r="AN22">
            <v>2000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A22"/>
          <cell r="BB22"/>
          <cell r="BC22">
            <v>0</v>
          </cell>
          <cell r="BD22">
            <v>300000</v>
          </cell>
          <cell r="BE22" t="str">
            <v>OK</v>
          </cell>
          <cell r="BF22">
            <v>0</v>
          </cell>
          <cell r="BG22">
            <v>8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>
            <v>10000</v>
          </cell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290000</v>
          </cell>
          <cell r="AX23">
            <v>0</v>
          </cell>
          <cell r="AY23">
            <v>0</v>
          </cell>
          <cell r="AZ23">
            <v>290000</v>
          </cell>
          <cell r="BA23"/>
          <cell r="BB23"/>
          <cell r="BC23">
            <v>0</v>
          </cell>
          <cell r="BD23">
            <v>290000</v>
          </cell>
          <cell r="BE23"/>
          <cell r="BF23">
            <v>0</v>
          </cell>
          <cell r="BG23">
            <v>8</v>
          </cell>
          <cell r="BH23"/>
          <cell r="BI23"/>
          <cell r="BJ23"/>
          <cell r="BK23"/>
          <cell r="BL23"/>
          <cell r="BO23" t="str">
            <v>S/TOTAL</v>
          </cell>
          <cell r="BQ23">
            <v>400000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>
            <v>193000</v>
          </cell>
          <cell r="AL24"/>
          <cell r="AM24"/>
          <cell r="AN24">
            <v>2500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/>
          <cell r="BB24"/>
          <cell r="BC24">
            <v>0</v>
          </cell>
          <cell r="BD24">
            <v>0</v>
          </cell>
          <cell r="BE24" t="str">
            <v>OK</v>
          </cell>
          <cell r="BF24">
            <v>0</v>
          </cell>
          <cell r="BG24">
            <v>8</v>
          </cell>
          <cell r="BH24"/>
          <cell r="BI24"/>
          <cell r="BJ24"/>
          <cell r="BK24"/>
          <cell r="BL24"/>
          <cell r="BO24" t="str">
            <v>S/TOTAL</v>
          </cell>
          <cell r="BQ24">
            <v>400000</v>
          </cell>
        </row>
        <row r="25">
          <cell r="A25" t="str">
            <v>AS201622</v>
          </cell>
          <cell r="B25" t="str">
            <v>NDJOMO ETIENNE</v>
          </cell>
          <cell r="C25">
            <v>-101000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S25"/>
          <cell r="T25"/>
          <cell r="U25">
            <v>361000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/>
          <cell r="AE25">
            <v>40000</v>
          </cell>
          <cell r="AF25" t="str">
            <v>BANQUE</v>
          </cell>
          <cell r="AG25"/>
          <cell r="AH25"/>
          <cell r="AI25"/>
          <cell r="AJ25">
            <v>79625</v>
          </cell>
          <cell r="AK25">
            <v>193000</v>
          </cell>
          <cell r="AL25"/>
          <cell r="AM25">
            <v>1000</v>
          </cell>
          <cell r="AN25">
            <v>2500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193000</v>
          </cell>
          <cell r="AZ25">
            <v>193000</v>
          </cell>
          <cell r="BA25"/>
          <cell r="BB25"/>
          <cell r="BC25">
            <v>0</v>
          </cell>
          <cell r="BD25">
            <v>193000</v>
          </cell>
          <cell r="BE25" t="str">
            <v>OK</v>
          </cell>
          <cell r="BF25">
            <v>0</v>
          </cell>
          <cell r="BG25">
            <v>8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S26"/>
          <cell r="T26"/>
          <cell r="U26">
            <v>240000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>
            <v>40000</v>
          </cell>
          <cell r="AF26" t="str">
            <v>BANQUE</v>
          </cell>
          <cell r="AG26"/>
          <cell r="AH26"/>
          <cell r="AI26">
            <v>32000</v>
          </cell>
          <cell r="AJ26">
            <v>79625</v>
          </cell>
          <cell r="AK26">
            <v>200000</v>
          </cell>
          <cell r="AL26">
            <v>3000</v>
          </cell>
          <cell r="AM26">
            <v>1000</v>
          </cell>
          <cell r="AN26">
            <v>3000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79625</v>
          </cell>
          <cell r="AY26">
            <v>1360000</v>
          </cell>
          <cell r="AZ26">
            <v>1439625</v>
          </cell>
          <cell r="BA26"/>
          <cell r="BB26"/>
          <cell r="BC26">
            <v>0</v>
          </cell>
          <cell r="BD26">
            <v>1439625</v>
          </cell>
          <cell r="BE26" t="str">
            <v>OK</v>
          </cell>
          <cell r="BF26">
            <v>0</v>
          </cell>
          <cell r="BG26">
            <v>8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-118000</v>
          </cell>
          <cell r="D27">
            <v>300000</v>
          </cell>
          <cell r="E27">
            <v>35000</v>
          </cell>
          <cell r="F27">
            <v>0</v>
          </cell>
          <cell r="G27">
            <v>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202500</v>
          </cell>
          <cell r="S27"/>
          <cell r="T27"/>
          <cell r="U27">
            <v>453000</v>
          </cell>
          <cell r="V27"/>
          <cell r="W27"/>
          <cell r="X27"/>
          <cell r="Y27">
            <v>250000</v>
          </cell>
          <cell r="Z27"/>
          <cell r="AA27"/>
          <cell r="AB27"/>
          <cell r="AC27"/>
          <cell r="AD27"/>
          <cell r="AE27"/>
          <cell r="AF27"/>
          <cell r="AG27"/>
          <cell r="AH27"/>
          <cell r="AI27">
            <v>32000</v>
          </cell>
          <cell r="AJ27"/>
          <cell r="AK27"/>
          <cell r="AL27">
            <v>3000</v>
          </cell>
          <cell r="AM27"/>
          <cell r="AN27"/>
          <cell r="AO27"/>
          <cell r="AP27" t="str">
            <v>BANQUE</v>
          </cell>
          <cell r="AQ27">
            <v>0</v>
          </cell>
          <cell r="AR27">
            <v>0</v>
          </cell>
          <cell r="AS27">
            <v>25500</v>
          </cell>
          <cell r="AT27"/>
          <cell r="AV27"/>
          <cell r="AW27">
            <v>32000</v>
          </cell>
          <cell r="AX27">
            <v>0</v>
          </cell>
          <cell r="AY27">
            <v>0</v>
          </cell>
          <cell r="AZ27">
            <v>32000</v>
          </cell>
          <cell r="BA27"/>
          <cell r="BB27"/>
          <cell r="BC27">
            <v>0</v>
          </cell>
          <cell r="BD27">
            <v>32000</v>
          </cell>
          <cell r="BE27"/>
          <cell r="BF27">
            <v>0</v>
          </cell>
          <cell r="BG27">
            <v>8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/>
          <cell r="T28"/>
          <cell r="U28">
            <v>50000</v>
          </cell>
          <cell r="V28"/>
          <cell r="W28"/>
          <cell r="X28"/>
          <cell r="Y28">
            <v>50000</v>
          </cell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/>
          <cell r="BB28"/>
          <cell r="BC28">
            <v>0</v>
          </cell>
          <cell r="BD28">
            <v>0</v>
          </cell>
          <cell r="BE28"/>
          <cell r="BF28">
            <v>0</v>
          </cell>
          <cell r="BG28">
            <v>8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8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>
            <v>83000</v>
          </cell>
          <cell r="AJ30"/>
          <cell r="AK30"/>
          <cell r="AL30">
            <v>6000</v>
          </cell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8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-83000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83000</v>
          </cell>
          <cell r="Q31">
            <v>0</v>
          </cell>
          <cell r="R31">
            <v>0</v>
          </cell>
          <cell r="S31"/>
          <cell r="T31"/>
          <cell r="U31">
            <v>133000</v>
          </cell>
          <cell r="V31"/>
          <cell r="W31"/>
          <cell r="X31"/>
          <cell r="Y31">
            <v>50000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>
            <v>83000</v>
          </cell>
          <cell r="AJ31"/>
          <cell r="AK31"/>
          <cell r="AL31">
            <v>6000</v>
          </cell>
          <cell r="AM31"/>
          <cell r="AN31"/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83000</v>
          </cell>
          <cell r="AX31">
            <v>0</v>
          </cell>
          <cell r="AY31">
            <v>0</v>
          </cell>
          <cell r="AZ31">
            <v>83000</v>
          </cell>
          <cell r="BA31"/>
          <cell r="BB31"/>
          <cell r="BC31">
            <v>0</v>
          </cell>
          <cell r="BD31">
            <v>83000</v>
          </cell>
          <cell r="BE31" t="str">
            <v>0K</v>
          </cell>
          <cell r="BF31">
            <v>0</v>
          </cell>
          <cell r="BG31">
            <v>8</v>
          </cell>
          <cell r="BH31"/>
          <cell r="BI31"/>
          <cell r="BJ31"/>
          <cell r="BK31">
            <v>100000</v>
          </cell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50000</v>
          </cell>
          <cell r="D32">
            <v>250000</v>
          </cell>
          <cell r="E32">
            <v>50000</v>
          </cell>
          <cell r="F32">
            <v>0</v>
          </cell>
          <cell r="G32">
            <v>-3000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>
            <v>250000</v>
          </cell>
          <cell r="V32"/>
          <cell r="W32"/>
          <cell r="X32"/>
          <cell r="Y32">
            <v>250000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A32"/>
          <cell r="BB32"/>
          <cell r="BC32">
            <v>0</v>
          </cell>
          <cell r="BD32">
            <v>100000</v>
          </cell>
          <cell r="BE32" t="str">
            <v>0K</v>
          </cell>
          <cell r="BF32">
            <v>0</v>
          </cell>
          <cell r="BG32">
            <v>8</v>
          </cell>
          <cell r="BH32"/>
          <cell r="BI32"/>
          <cell r="BJ32"/>
          <cell r="BK32">
            <v>100000</v>
          </cell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22000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/>
          <cell r="BF33">
            <v>0</v>
          </cell>
          <cell r="BG33">
            <v>8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-50000</v>
          </cell>
          <cell r="D34">
            <v>100000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>
            <v>1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>
            <v>150000</v>
          </cell>
          <cell r="V34"/>
          <cell r="W34"/>
          <cell r="X34"/>
          <cell r="Y34">
            <v>150000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>
            <v>50000</v>
          </cell>
          <cell r="AK34"/>
          <cell r="AL34"/>
          <cell r="AM34">
            <v>1000</v>
          </cell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25000</v>
          </cell>
          <cell r="AT34"/>
          <cell r="AV34"/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/>
          <cell r="BB34"/>
          <cell r="BC34">
            <v>0</v>
          </cell>
          <cell r="BD34">
            <v>0</v>
          </cell>
          <cell r="BE34" t="str">
            <v>OK</v>
          </cell>
          <cell r="BF34">
            <v>0</v>
          </cell>
          <cell r="BG34">
            <v>8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-102000</v>
          </cell>
          <cell r="D35">
            <v>125000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S35"/>
          <cell r="T35"/>
          <cell r="U35">
            <v>227000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>
            <v>50000</v>
          </cell>
          <cell r="AK35">
            <v>100000</v>
          </cell>
          <cell r="AL35"/>
          <cell r="AM35">
            <v>1000</v>
          </cell>
          <cell r="AN35">
            <v>1000</v>
          </cell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50000</v>
          </cell>
          <cell r="AY35">
            <v>0</v>
          </cell>
          <cell r="AZ35">
            <v>50000</v>
          </cell>
          <cell r="BA35"/>
          <cell r="BB35"/>
          <cell r="BC35">
            <v>0</v>
          </cell>
          <cell r="BD35">
            <v>50000</v>
          </cell>
          <cell r="BE35" t="str">
            <v>OK</v>
          </cell>
          <cell r="BF35">
            <v>0</v>
          </cell>
          <cell r="BG35">
            <v>8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102000</v>
          </cell>
          <cell r="D36">
            <v>150000</v>
          </cell>
          <cell r="E36">
            <v>102000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>
            <v>100000</v>
          </cell>
          <cell r="AL36"/>
          <cell r="AM36"/>
          <cell r="AN36">
            <v>1000</v>
          </cell>
          <cell r="AO36"/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/>
          <cell r="BB36"/>
          <cell r="BC36">
            <v>0</v>
          </cell>
          <cell r="BD36">
            <v>100000</v>
          </cell>
          <cell r="BE36" t="str">
            <v>OK</v>
          </cell>
          <cell r="BF36">
            <v>0</v>
          </cell>
          <cell r="BG36">
            <v>8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3000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47000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22000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8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>
            <v>40000</v>
          </cell>
          <cell r="AD38"/>
          <cell r="AE38"/>
          <cell r="AF38"/>
          <cell r="AG38"/>
          <cell r="AH38"/>
          <cell r="AI38"/>
          <cell r="AJ38">
            <v>100000</v>
          </cell>
          <cell r="AK38"/>
          <cell r="AL38"/>
          <cell r="AM38">
            <v>2000</v>
          </cell>
          <cell r="AN38"/>
          <cell r="AO38"/>
          <cell r="AP38"/>
          <cell r="AQ38">
            <v>0</v>
          </cell>
          <cell r="AR38">
            <v>0</v>
          </cell>
          <cell r="AS38">
            <v>22000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 t="str">
            <v>OK</v>
          </cell>
          <cell r="BF38">
            <v>0</v>
          </cell>
          <cell r="BG38">
            <v>8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/>
          <cell r="T39"/>
          <cell r="U39">
            <v>125000</v>
          </cell>
          <cell r="V39"/>
          <cell r="W39"/>
          <cell r="X39"/>
          <cell r="Y39">
            <v>125000</v>
          </cell>
          <cell r="Z39"/>
          <cell r="AA39"/>
          <cell r="AB39"/>
          <cell r="AC39">
            <v>40000</v>
          </cell>
          <cell r="AD39"/>
          <cell r="AE39"/>
          <cell r="AF39"/>
          <cell r="AG39"/>
          <cell r="AH39"/>
          <cell r="AI39"/>
          <cell r="AJ39">
            <v>100000</v>
          </cell>
          <cell r="AK39"/>
          <cell r="AL39"/>
          <cell r="AM39">
            <v>2000</v>
          </cell>
          <cell r="AN39"/>
          <cell r="AO39"/>
          <cell r="AP39"/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260000</v>
          </cell>
          <cell r="AX39">
            <v>100000</v>
          </cell>
          <cell r="AY39">
            <v>0</v>
          </cell>
          <cell r="AZ39">
            <v>360000</v>
          </cell>
          <cell r="BA39"/>
          <cell r="BB39"/>
          <cell r="BC39">
            <v>0</v>
          </cell>
          <cell r="BD39">
            <v>360000</v>
          </cell>
          <cell r="BE39" t="str">
            <v>OK</v>
          </cell>
          <cell r="BF39">
            <v>0</v>
          </cell>
          <cell r="BG39">
            <v>8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-3000</v>
          </cell>
          <cell r="D40">
            <v>0</v>
          </cell>
          <cell r="E40">
            <v>50000</v>
          </cell>
          <cell r="F40">
            <v>0</v>
          </cell>
          <cell r="G40"/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53000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8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G41"/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253000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/>
          <cell r="BF41">
            <v>0</v>
          </cell>
          <cell r="BG41">
            <v>8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8</v>
          </cell>
        </row>
        <row r="43">
          <cell r="B43" t="str">
            <v>TOTAUX</v>
          </cell>
          <cell r="C43">
            <v>-908625</v>
          </cell>
          <cell r="D43">
            <v>5430000</v>
          </cell>
          <cell r="E43">
            <v>1145500</v>
          </cell>
          <cell r="F43">
            <v>0</v>
          </cell>
          <cell r="G43">
            <v>27500</v>
          </cell>
          <cell r="H43">
            <v>12000</v>
          </cell>
          <cell r="I43">
            <v>0</v>
          </cell>
          <cell r="J43">
            <v>35</v>
          </cell>
          <cell r="K43">
            <v>1700000</v>
          </cell>
          <cell r="L43">
            <v>13</v>
          </cell>
          <cell r="M43">
            <v>975000</v>
          </cell>
          <cell r="N43">
            <v>24</v>
          </cell>
          <cell r="O43">
            <v>2400000</v>
          </cell>
          <cell r="P43">
            <v>125000</v>
          </cell>
          <cell r="Q43">
            <v>297125</v>
          </cell>
          <cell r="R43">
            <v>942500</v>
          </cell>
          <cell r="S43">
            <v>1000000</v>
          </cell>
          <cell r="T43"/>
          <cell r="U43">
            <v>7484125</v>
          </cell>
          <cell r="V43">
            <v>5000</v>
          </cell>
          <cell r="W43">
            <v>0</v>
          </cell>
          <cell r="X43">
            <v>0</v>
          </cell>
          <cell r="Y43">
            <v>5075000</v>
          </cell>
          <cell r="Z43">
            <v>300000</v>
          </cell>
          <cell r="AA43">
            <v>0</v>
          </cell>
          <cell r="AB43"/>
          <cell r="AC43">
            <v>70000</v>
          </cell>
          <cell r="AD43">
            <v>7500</v>
          </cell>
          <cell r="AE43">
            <v>70000</v>
          </cell>
          <cell r="AF43">
            <v>0</v>
          </cell>
          <cell r="AG43">
            <v>0</v>
          </cell>
          <cell r="AH43"/>
          <cell r="AI43">
            <v>145000</v>
          </cell>
          <cell r="AJ43">
            <v>379625</v>
          </cell>
          <cell r="AK43">
            <v>1093000</v>
          </cell>
          <cell r="AL43">
            <v>11500</v>
          </cell>
          <cell r="AM43">
            <v>7000</v>
          </cell>
          <cell r="AN43">
            <v>12500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877500</v>
          </cell>
          <cell r="AT43">
            <v>0</v>
          </cell>
          <cell r="AU43">
            <v>0</v>
          </cell>
          <cell r="AV43">
            <v>0</v>
          </cell>
          <cell r="AW43">
            <v>975000</v>
          </cell>
          <cell r="AX43">
            <v>1272125</v>
          </cell>
          <cell r="AY43">
            <v>3423000</v>
          </cell>
          <cell r="AZ43">
            <v>6856125</v>
          </cell>
          <cell r="BA43">
            <v>0</v>
          </cell>
          <cell r="BB43">
            <v>0</v>
          </cell>
          <cell r="BC43">
            <v>0</v>
          </cell>
          <cell r="BD43">
            <v>6706125</v>
          </cell>
          <cell r="BE43">
            <v>0</v>
          </cell>
          <cell r="BF43">
            <v>164000</v>
          </cell>
          <cell r="BH43">
            <v>400000</v>
          </cell>
          <cell r="BI43">
            <v>0</v>
          </cell>
          <cell r="BJ43">
            <v>0</v>
          </cell>
          <cell r="BK43">
            <v>100000</v>
          </cell>
          <cell r="BL43">
            <v>150000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-1055625</v>
          </cell>
          <cell r="D44">
            <v>4280000</v>
          </cell>
          <cell r="E44">
            <v>1145500</v>
          </cell>
          <cell r="F44">
            <v>0</v>
          </cell>
          <cell r="G44">
            <v>224500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125000</v>
          </cell>
          <cell r="Q44">
            <v>297125</v>
          </cell>
          <cell r="R44">
            <v>942500</v>
          </cell>
          <cell r="S44">
            <v>0</v>
          </cell>
          <cell r="U44">
            <v>6481125</v>
          </cell>
          <cell r="V44">
            <v>5000</v>
          </cell>
          <cell r="W44">
            <v>0</v>
          </cell>
          <cell r="X44">
            <v>0</v>
          </cell>
          <cell r="Y44">
            <v>5075000</v>
          </cell>
          <cell r="Z44">
            <v>300000</v>
          </cell>
          <cell r="AA44">
            <v>0</v>
          </cell>
          <cell r="AC44">
            <v>70000</v>
          </cell>
          <cell r="AD44">
            <v>7500</v>
          </cell>
          <cell r="AE44">
            <v>70000</v>
          </cell>
          <cell r="AF44">
            <v>0</v>
          </cell>
          <cell r="AG44">
            <v>0</v>
          </cell>
          <cell r="AI44">
            <v>145000</v>
          </cell>
          <cell r="AJ44">
            <v>379625</v>
          </cell>
          <cell r="AK44">
            <v>1093000</v>
          </cell>
          <cell r="AL44">
            <v>11500</v>
          </cell>
          <cell r="AM44">
            <v>7000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874500</v>
          </cell>
          <cell r="AT44">
            <v>0</v>
          </cell>
          <cell r="AU44">
            <v>0</v>
          </cell>
          <cell r="AV44">
            <v>0</v>
          </cell>
          <cell r="AW44">
            <v>975000</v>
          </cell>
          <cell r="AX44">
            <v>1272125</v>
          </cell>
          <cell r="AY44">
            <v>3423000</v>
          </cell>
          <cell r="AZ44">
            <v>6617125</v>
          </cell>
          <cell r="BA44">
            <v>0</v>
          </cell>
          <cell r="BB44">
            <v>0</v>
          </cell>
          <cell r="BC44">
            <v>0</v>
          </cell>
          <cell r="BD44">
            <v>6467125</v>
          </cell>
          <cell r="BE44">
            <v>0</v>
          </cell>
          <cell r="BF44">
            <v>9000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150000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1145500</v>
          </cell>
          <cell r="BB45" t="str">
            <v>ESPECES EN CAISSE</v>
          </cell>
          <cell r="BD45">
            <v>5069625</v>
          </cell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1145500</v>
          </cell>
          <cell r="BB46" t="str">
            <v>ESPECES EN CAISSE</v>
          </cell>
          <cell r="BD46">
            <v>5069625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1145500</v>
          </cell>
          <cell r="BD47">
            <v>-1397500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6706125</v>
          </cell>
          <cell r="D49">
            <v>5430000</v>
          </cell>
          <cell r="E49">
            <v>1276125</v>
          </cell>
          <cell r="F49"/>
          <cell r="G49">
            <v>1145500</v>
          </cell>
          <cell r="H49">
            <v>0</v>
          </cell>
          <cell r="I49">
            <v>1145500</v>
          </cell>
          <cell r="J49"/>
        </row>
        <row r="50">
          <cell r="B50" t="str">
            <v>OPERATIONS DU JOUR</v>
          </cell>
          <cell r="C50">
            <v>6467125</v>
          </cell>
          <cell r="D50">
            <v>4280000</v>
          </cell>
          <cell r="E50">
            <v>2187125</v>
          </cell>
          <cell r="G50">
            <v>1145500</v>
          </cell>
          <cell r="H50">
            <v>0</v>
          </cell>
          <cell r="I50">
            <v>1145500</v>
          </cell>
          <cell r="BO50" t="str">
            <v>FOYER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A6"/>
          <cell r="BB6"/>
          <cell r="BC6">
            <v>0</v>
          </cell>
          <cell r="BD6">
            <v>6000</v>
          </cell>
          <cell r="BE6"/>
          <cell r="BF6">
            <v>0</v>
          </cell>
          <cell r="BG6">
            <v>7</v>
          </cell>
          <cell r="BH6">
            <v>6000</v>
          </cell>
          <cell r="BI6">
            <v>0</v>
          </cell>
          <cell r="BJ6">
            <v>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50000</v>
          </cell>
          <cell r="D7">
            <v>100000</v>
          </cell>
          <cell r="E7">
            <v>0</v>
          </cell>
          <cell r="F7">
            <v>0</v>
          </cell>
          <cell r="G7">
            <v>-5000</v>
          </cell>
          <cell r="H7">
            <v>5000</v>
          </cell>
          <cell r="I7" t="str">
            <v>BANQUE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45000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7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/>
          <cell r="T8"/>
          <cell r="U8">
            <v>125000</v>
          </cell>
          <cell r="V8"/>
          <cell r="W8"/>
          <cell r="X8"/>
          <cell r="Y8">
            <v>125000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/>
          <cell r="BB8"/>
          <cell r="BC8">
            <v>0</v>
          </cell>
          <cell r="BD8">
            <v>0</v>
          </cell>
          <cell r="BE8"/>
          <cell r="BF8">
            <v>0</v>
          </cell>
          <cell r="BG8">
            <v>7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50000</v>
          </cell>
          <cell r="D9">
            <v>250000</v>
          </cell>
          <cell r="E9">
            <v>252000</v>
          </cell>
          <cell r="F9">
            <v>0</v>
          </cell>
          <cell r="G9"/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202000</v>
          </cell>
          <cell r="S9"/>
          <cell r="T9"/>
          <cell r="U9">
            <v>452000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>
            <v>100000</v>
          </cell>
          <cell r="AL9"/>
          <cell r="AM9"/>
          <cell r="AN9">
            <v>1000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/>
          <cell r="BB9"/>
          <cell r="BC9">
            <v>0</v>
          </cell>
          <cell r="BD9">
            <v>100000</v>
          </cell>
          <cell r="BE9"/>
          <cell r="BF9">
            <v>0</v>
          </cell>
          <cell r="BG9">
            <v>7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1500</v>
          </cell>
          <cell r="F10">
            <v>0</v>
          </cell>
          <cell r="G10"/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32500</v>
          </cell>
          <cell r="Q10">
            <v>0</v>
          </cell>
          <cell r="R10">
            <v>0</v>
          </cell>
          <cell r="S10"/>
          <cell r="T10"/>
          <cell r="U10">
            <v>82500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30000</v>
          </cell>
          <cell r="AJ10"/>
          <cell r="AK10"/>
          <cell r="AL10">
            <v>500</v>
          </cell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/>
          <cell r="BB10"/>
          <cell r="BC10">
            <v>0</v>
          </cell>
          <cell r="BD10">
            <v>30000</v>
          </cell>
          <cell r="BE10"/>
          <cell r="BF10">
            <v>0</v>
          </cell>
          <cell r="BG10">
            <v>7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/>
          <cell r="T11"/>
          <cell r="U11">
            <v>150000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>
            <v>100000</v>
          </cell>
          <cell r="AL11"/>
          <cell r="AM11"/>
          <cell r="AN11">
            <v>1000</v>
          </cell>
          <cell r="AO11"/>
          <cell r="AP11"/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0</v>
          </cell>
          <cell r="AX11">
            <v>0</v>
          </cell>
          <cell r="AY11">
            <v>100000</v>
          </cell>
          <cell r="AZ11">
            <v>100000</v>
          </cell>
          <cell r="BA11"/>
          <cell r="BB11"/>
          <cell r="BC11">
            <v>0</v>
          </cell>
          <cell r="BD11">
            <v>100000</v>
          </cell>
          <cell r="BE11"/>
          <cell r="BF11">
            <v>0</v>
          </cell>
          <cell r="BG11">
            <v>7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/>
          <cell r="T12"/>
          <cell r="U12">
            <v>260000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/>
          <cell r="AF12"/>
          <cell r="AG12"/>
          <cell r="AH12"/>
          <cell r="AI12">
            <v>53000</v>
          </cell>
          <cell r="AJ12"/>
          <cell r="AK12"/>
          <cell r="AL12">
            <v>1000</v>
          </cell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35000</v>
          </cell>
          <cell r="AT12"/>
          <cell r="AV12"/>
          <cell r="AW12">
            <v>53000</v>
          </cell>
          <cell r="AX12">
            <v>0</v>
          </cell>
          <cell r="AY12">
            <v>0</v>
          </cell>
          <cell r="AZ12">
            <v>53000</v>
          </cell>
          <cell r="BA12"/>
          <cell r="BB12"/>
          <cell r="BC12">
            <v>0</v>
          </cell>
          <cell r="BD12">
            <v>53000</v>
          </cell>
          <cell r="BE12"/>
          <cell r="BF12">
            <v>0</v>
          </cell>
          <cell r="BG12">
            <v>7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>
            <v>5500</v>
          </cell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294500</v>
          </cell>
          <cell r="AX13">
            <v>0</v>
          </cell>
          <cell r="AY13">
            <v>0</v>
          </cell>
          <cell r="AZ13">
            <v>294500</v>
          </cell>
          <cell r="BA13"/>
          <cell r="BB13"/>
          <cell r="BC13">
            <v>0</v>
          </cell>
          <cell r="BD13">
            <v>294500</v>
          </cell>
          <cell r="BE13"/>
          <cell r="BF13">
            <v>0</v>
          </cell>
          <cell r="BG13">
            <v>7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7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150000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7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7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-152000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101000</v>
          </cell>
          <cell r="S17"/>
          <cell r="T17"/>
          <cell r="U17">
            <v>402000</v>
          </cell>
          <cell r="V17"/>
          <cell r="W17"/>
          <cell r="X17"/>
          <cell r="Y17">
            <v>225000</v>
          </cell>
          <cell r="Z17"/>
          <cell r="AA17"/>
          <cell r="AB17"/>
          <cell r="AC17">
            <v>4500</v>
          </cell>
          <cell r="AD17"/>
          <cell r="AE17"/>
          <cell r="AF17"/>
          <cell r="AG17"/>
          <cell r="AH17"/>
          <cell r="AI17"/>
          <cell r="AJ17">
            <v>50000</v>
          </cell>
          <cell r="AK17"/>
          <cell r="AL17"/>
          <cell r="AM17">
            <v>1000</v>
          </cell>
          <cell r="AN17"/>
          <cell r="AO17"/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T17"/>
          <cell r="AV17"/>
          <cell r="AW17">
            <v>295500</v>
          </cell>
          <cell r="AX17">
            <v>50000</v>
          </cell>
          <cell r="AY17">
            <v>0</v>
          </cell>
          <cell r="AZ17">
            <v>345500</v>
          </cell>
          <cell r="BA17"/>
          <cell r="BB17"/>
          <cell r="BC17">
            <v>0</v>
          </cell>
          <cell r="BD17">
            <v>345500</v>
          </cell>
          <cell r="BE17"/>
          <cell r="BF17">
            <v>0</v>
          </cell>
          <cell r="BG17">
            <v>7</v>
          </cell>
          <cell r="BH17"/>
          <cell r="BI17"/>
          <cell r="BJ17"/>
          <cell r="BK17"/>
          <cell r="BL17"/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102000</v>
          </cell>
          <cell r="D18">
            <v>150000</v>
          </cell>
          <cell r="E18">
            <v>102000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/>
          <cell r="T18"/>
          <cell r="U18">
            <v>150000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>
            <v>100000</v>
          </cell>
          <cell r="AL18"/>
          <cell r="AM18"/>
          <cell r="AN18">
            <v>2000</v>
          </cell>
          <cell r="AO18"/>
          <cell r="AP18"/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/>
          <cell r="BB18"/>
          <cell r="BC18">
            <v>0</v>
          </cell>
          <cell r="BD18">
            <v>100000</v>
          </cell>
          <cell r="BE18"/>
          <cell r="BF18">
            <v>0</v>
          </cell>
          <cell r="BG18">
            <v>7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-500</v>
          </cell>
          <cell r="D19">
            <v>298500</v>
          </cell>
          <cell r="E19">
            <v>27000</v>
          </cell>
          <cell r="F19">
            <v>0</v>
          </cell>
          <cell r="G19"/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101000</v>
          </cell>
          <cell r="S19"/>
          <cell r="T19"/>
          <cell r="U19">
            <v>326000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>
            <v>100000</v>
          </cell>
          <cell r="AL19"/>
          <cell r="AM19"/>
          <cell r="AN19">
            <v>1000</v>
          </cell>
          <cell r="AO19"/>
          <cell r="AP19" t="str">
            <v>BANQUE</v>
          </cell>
          <cell r="AQ19">
            <v>0</v>
          </cell>
          <cell r="AR19">
            <v>0</v>
          </cell>
          <cell r="AS19">
            <v>25000</v>
          </cell>
          <cell r="AT19"/>
          <cell r="AV19"/>
          <cell r="AW19">
            <v>0</v>
          </cell>
          <cell r="AX19">
            <v>0</v>
          </cell>
          <cell r="AY19">
            <v>100000</v>
          </cell>
          <cell r="AZ19">
            <v>100000</v>
          </cell>
          <cell r="BA19"/>
          <cell r="BB19"/>
          <cell r="BC19">
            <v>0</v>
          </cell>
          <cell r="BD19">
            <v>100000</v>
          </cell>
          <cell r="BE19"/>
          <cell r="BF19">
            <v>0</v>
          </cell>
          <cell r="BG19">
            <v>7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50000</v>
          </cell>
          <cell r="E20">
            <v>0</v>
          </cell>
          <cell r="F20">
            <v>0</v>
          </cell>
          <cell r="G20"/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/>
          <cell r="T20"/>
          <cell r="U20">
            <v>50000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7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/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/>
          <cell r="T21"/>
          <cell r="U21">
            <v>50000</v>
          </cell>
          <cell r="V21"/>
          <cell r="W21"/>
          <cell r="X21"/>
          <cell r="Y21">
            <v>50000</v>
          </cell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>
            <v>100000</v>
          </cell>
          <cell r="AK21">
            <v>200000</v>
          </cell>
          <cell r="AL21"/>
          <cell r="AM21">
            <v>2000</v>
          </cell>
          <cell r="AN21">
            <v>2000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/>
          <cell r="BB21"/>
          <cell r="BC21">
            <v>0</v>
          </cell>
          <cell r="BD21">
            <v>0</v>
          </cell>
          <cell r="BE21"/>
          <cell r="BF21">
            <v>0</v>
          </cell>
          <cell r="BG21">
            <v>7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-102000</v>
          </cell>
          <cell r="D22">
            <v>325000</v>
          </cell>
          <cell r="E22">
            <v>202000</v>
          </cell>
          <cell r="F22">
            <v>0</v>
          </cell>
          <cell r="G22"/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202000</v>
          </cell>
          <cell r="S22"/>
          <cell r="T22"/>
          <cell r="U22">
            <v>629000</v>
          </cell>
          <cell r="V22"/>
          <cell r="W22"/>
          <cell r="X22"/>
          <cell r="Y22">
            <v>325000</v>
          </cell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>
            <v>100000</v>
          </cell>
          <cell r="AK22">
            <v>200000</v>
          </cell>
          <cell r="AL22"/>
          <cell r="AM22">
            <v>2000</v>
          </cell>
          <cell r="AN22">
            <v>2000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0</v>
          </cell>
          <cell r="AX22">
            <v>100000</v>
          </cell>
          <cell r="AY22">
            <v>200000</v>
          </cell>
          <cell r="AZ22">
            <v>300000</v>
          </cell>
          <cell r="BA22"/>
          <cell r="BB22"/>
          <cell r="BC22">
            <v>0</v>
          </cell>
          <cell r="BD22">
            <v>300000</v>
          </cell>
          <cell r="BE22"/>
          <cell r="BF22">
            <v>0</v>
          </cell>
          <cell r="BG22">
            <v>7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150000</v>
          </cell>
          <cell r="D23">
            <v>0</v>
          </cell>
          <cell r="E23">
            <v>203000</v>
          </cell>
          <cell r="F23">
            <v>0</v>
          </cell>
          <cell r="G23"/>
          <cell r="H23">
            <v>3000</v>
          </cell>
          <cell r="I23" t="str">
            <v>ESPECES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53000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/>
          <cell r="BF23">
            <v>0</v>
          </cell>
          <cell r="BG23">
            <v>7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/>
          <cell r="AE24">
            <v>10000</v>
          </cell>
          <cell r="AF24"/>
          <cell r="AG24"/>
          <cell r="AH24"/>
          <cell r="AI24"/>
          <cell r="AJ24"/>
          <cell r="AK24">
            <v>200000</v>
          </cell>
          <cell r="AL24"/>
          <cell r="AM24"/>
          <cell r="AN24">
            <v>2500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/>
          <cell r="BB24"/>
          <cell r="BC24">
            <v>0</v>
          </cell>
          <cell r="BD24">
            <v>0</v>
          </cell>
          <cell r="BE24"/>
          <cell r="BF24">
            <v>0</v>
          </cell>
          <cell r="BG24">
            <v>7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-195500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195500</v>
          </cell>
          <cell r="S25"/>
          <cell r="T25"/>
          <cell r="U25">
            <v>455500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/>
          <cell r="AE25">
            <v>10000</v>
          </cell>
          <cell r="AF25"/>
          <cell r="AG25"/>
          <cell r="AH25"/>
          <cell r="AI25"/>
          <cell r="AJ25">
            <v>119125</v>
          </cell>
          <cell r="AK25">
            <v>200000</v>
          </cell>
          <cell r="AL25"/>
          <cell r="AM25">
            <v>2000</v>
          </cell>
          <cell r="AN25">
            <v>2500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A25"/>
          <cell r="BB25"/>
          <cell r="BC25">
            <v>0</v>
          </cell>
          <cell r="BD25">
            <v>1390000</v>
          </cell>
          <cell r="BE25"/>
          <cell r="BF25">
            <v>0</v>
          </cell>
          <cell r="BG25">
            <v>7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283625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80625</v>
          </cell>
          <cell r="R26">
            <v>203000</v>
          </cell>
          <cell r="S26"/>
          <cell r="T26"/>
          <cell r="U26">
            <v>523625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>
            <v>119125</v>
          </cell>
          <cell r="AK26">
            <v>130500</v>
          </cell>
          <cell r="AL26"/>
          <cell r="AM26">
            <v>2000</v>
          </cell>
          <cell r="AN26">
            <v>2000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119125</v>
          </cell>
          <cell r="AY26">
            <v>130500</v>
          </cell>
          <cell r="AZ26">
            <v>249625</v>
          </cell>
          <cell r="BA26"/>
          <cell r="BB26"/>
          <cell r="BC26">
            <v>0</v>
          </cell>
          <cell r="BD26">
            <v>249625</v>
          </cell>
          <cell r="BE26"/>
          <cell r="BF26">
            <v>0</v>
          </cell>
          <cell r="BG26">
            <v>7</v>
          </cell>
          <cell r="BH26"/>
          <cell r="BI26"/>
          <cell r="BJ26"/>
          <cell r="BK26">
            <v>100000</v>
          </cell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-35000</v>
          </cell>
          <cell r="D27">
            <v>250000</v>
          </cell>
          <cell r="E27">
            <v>0</v>
          </cell>
          <cell r="F27">
            <v>0</v>
          </cell>
          <cell r="G27"/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35000</v>
          </cell>
          <cell r="Q27">
            <v>0</v>
          </cell>
          <cell r="R27">
            <v>0</v>
          </cell>
          <cell r="S27"/>
          <cell r="T27"/>
          <cell r="U27">
            <v>285000</v>
          </cell>
          <cell r="V27"/>
          <cell r="W27"/>
          <cell r="X27"/>
          <cell r="Y27">
            <v>250000</v>
          </cell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>
            <v>200000</v>
          </cell>
          <cell r="AL27"/>
          <cell r="AM27"/>
          <cell r="AN27">
            <v>2500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T27"/>
          <cell r="AV27"/>
          <cell r="AW27">
            <v>0</v>
          </cell>
          <cell r="AX27">
            <v>0</v>
          </cell>
          <cell r="AY27">
            <v>200000</v>
          </cell>
          <cell r="AZ27">
            <v>300000</v>
          </cell>
          <cell r="BA27"/>
          <cell r="BB27"/>
          <cell r="BC27">
            <v>0</v>
          </cell>
          <cell r="BD27">
            <v>300000</v>
          </cell>
          <cell r="BE27"/>
          <cell r="BF27">
            <v>0</v>
          </cell>
          <cell r="BG27">
            <v>7</v>
          </cell>
          <cell r="BH27"/>
          <cell r="BI27"/>
          <cell r="BJ27"/>
          <cell r="BK27">
            <v>100000</v>
          </cell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295000</v>
          </cell>
          <cell r="D28">
            <v>345000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/>
          <cell r="T28"/>
          <cell r="U28">
            <v>50000</v>
          </cell>
          <cell r="V28"/>
          <cell r="W28"/>
          <cell r="X28"/>
          <cell r="Y28">
            <v>50000</v>
          </cell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/>
          <cell r="BB28"/>
          <cell r="BC28">
            <v>0</v>
          </cell>
          <cell r="BD28">
            <v>0</v>
          </cell>
          <cell r="BE28"/>
          <cell r="BF28">
            <v>0</v>
          </cell>
          <cell r="BG28">
            <v>7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>
            <v>7500</v>
          </cell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7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>
            <v>7500</v>
          </cell>
          <cell r="AE30"/>
          <cell r="AF30"/>
          <cell r="AG30"/>
          <cell r="AH30"/>
          <cell r="AI30">
            <v>59000</v>
          </cell>
          <cell r="AJ30"/>
          <cell r="AK30"/>
          <cell r="AL30"/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892500</v>
          </cell>
          <cell r="AY30">
            <v>0</v>
          </cell>
          <cell r="AZ30">
            <v>892500</v>
          </cell>
          <cell r="BA30"/>
          <cell r="BB30"/>
          <cell r="BC30">
            <v>0</v>
          </cell>
          <cell r="BD30">
            <v>892500</v>
          </cell>
          <cell r="BE30"/>
          <cell r="BF30">
            <v>0</v>
          </cell>
          <cell r="BG30">
            <v>7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30000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89000</v>
          </cell>
          <cell r="Q31">
            <v>0</v>
          </cell>
          <cell r="R31">
            <v>0</v>
          </cell>
          <cell r="S31"/>
          <cell r="T31"/>
          <cell r="U31">
            <v>139000</v>
          </cell>
          <cell r="V31"/>
          <cell r="W31"/>
          <cell r="X31"/>
          <cell r="Y31">
            <v>50000</v>
          </cell>
          <cell r="Z31"/>
          <cell r="AA31"/>
          <cell r="AB31"/>
          <cell r="AC31">
            <v>5500</v>
          </cell>
          <cell r="AD31"/>
          <cell r="AE31">
            <v>15000</v>
          </cell>
          <cell r="AF31"/>
          <cell r="AG31"/>
          <cell r="AH31"/>
          <cell r="AI31">
            <v>59000</v>
          </cell>
          <cell r="AJ31"/>
          <cell r="AK31"/>
          <cell r="AL31"/>
          <cell r="AM31"/>
          <cell r="AN31"/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A31"/>
          <cell r="BB31"/>
          <cell r="BC31">
            <v>0</v>
          </cell>
          <cell r="BD31">
            <v>59000</v>
          </cell>
          <cell r="BE31"/>
          <cell r="BF31">
            <v>0</v>
          </cell>
          <cell r="BG31">
            <v>7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G32"/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>
            <v>250000</v>
          </cell>
          <cell r="V32"/>
          <cell r="W32"/>
          <cell r="X32"/>
          <cell r="Y32">
            <v>250000</v>
          </cell>
          <cell r="Z32"/>
          <cell r="AA32"/>
          <cell r="AB32"/>
          <cell r="AC32">
            <v>5500</v>
          </cell>
          <cell r="AD32"/>
          <cell r="AE32">
            <v>15000</v>
          </cell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294500</v>
          </cell>
          <cell r="AX32">
            <v>0</v>
          </cell>
          <cell r="AY32">
            <v>1185000</v>
          </cell>
          <cell r="AZ32">
            <v>1479500</v>
          </cell>
          <cell r="BA32"/>
          <cell r="BB32"/>
          <cell r="BC32">
            <v>0</v>
          </cell>
          <cell r="BD32">
            <v>1479500</v>
          </cell>
          <cell r="BE32"/>
          <cell r="BF32">
            <v>0</v>
          </cell>
          <cell r="BG32">
            <v>7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53000</v>
          </cell>
          <cell r="F33">
            <v>0</v>
          </cell>
          <cell r="G33"/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53000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>
            <v>30000</v>
          </cell>
          <cell r="AJ33"/>
          <cell r="AK33"/>
          <cell r="AL33">
            <v>500</v>
          </cell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25000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/>
          <cell r="BF33">
            <v>0</v>
          </cell>
          <cell r="BG33">
            <v>7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>
            <v>1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>
            <v>150000</v>
          </cell>
          <cell r="V34"/>
          <cell r="W34"/>
          <cell r="X34"/>
          <cell r="Y34">
            <v>150000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>
            <v>30000</v>
          </cell>
          <cell r="AJ34">
            <v>100000</v>
          </cell>
          <cell r="AK34"/>
          <cell r="AL34">
            <v>500</v>
          </cell>
          <cell r="AM34">
            <v>2000</v>
          </cell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25000</v>
          </cell>
          <cell r="AT34"/>
          <cell r="AV34"/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/>
          <cell r="BB34"/>
          <cell r="BC34">
            <v>0</v>
          </cell>
          <cell r="BD34">
            <v>30000</v>
          </cell>
          <cell r="BE34"/>
          <cell r="BF34">
            <v>0</v>
          </cell>
          <cell r="BG34">
            <v>7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-51000</v>
          </cell>
          <cell r="D35">
            <v>125000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51000</v>
          </cell>
          <cell r="R35">
            <v>0</v>
          </cell>
          <cell r="S35"/>
          <cell r="T35"/>
          <cell r="U35">
            <v>176000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>
            <v>100000</v>
          </cell>
          <cell r="AK35"/>
          <cell r="AL35"/>
          <cell r="AM35">
            <v>2000</v>
          </cell>
          <cell r="AN35"/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A35"/>
          <cell r="BB35"/>
          <cell r="BC35">
            <v>0</v>
          </cell>
          <cell r="BD35">
            <v>100000</v>
          </cell>
          <cell r="BE35"/>
          <cell r="BF35">
            <v>0</v>
          </cell>
          <cell r="BG35">
            <v>7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-101000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101000</v>
          </cell>
          <cell r="S36"/>
          <cell r="T36"/>
          <cell r="U36">
            <v>251000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/>
          <cell r="BB36"/>
          <cell r="BC36">
            <v>0</v>
          </cell>
          <cell r="BD36">
            <v>0</v>
          </cell>
          <cell r="BE36"/>
          <cell r="BF36">
            <v>0</v>
          </cell>
          <cell r="BG36">
            <v>7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7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>
            <v>100000</v>
          </cell>
          <cell r="AK38"/>
          <cell r="AL38"/>
          <cell r="AM38">
            <v>2000</v>
          </cell>
          <cell r="AN38"/>
          <cell r="AO38"/>
          <cell r="AP38" t="str">
            <v>BANQUE</v>
          </cell>
          <cell r="AQ38">
            <v>0</v>
          </cell>
          <cell r="AR38">
            <v>0</v>
          </cell>
          <cell r="AS38">
            <v>22000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7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-102000</v>
          </cell>
          <cell r="D39">
            <v>125000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S39"/>
          <cell r="T39"/>
          <cell r="U39">
            <v>227000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>
            <v>100000</v>
          </cell>
          <cell r="AK39"/>
          <cell r="AL39"/>
          <cell r="AM39">
            <v>2000</v>
          </cell>
          <cell r="AN39"/>
          <cell r="AO39"/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A39"/>
          <cell r="BB39"/>
          <cell r="BC39">
            <v>0</v>
          </cell>
          <cell r="BD39">
            <v>100000</v>
          </cell>
          <cell r="BE39"/>
          <cell r="BF39">
            <v>0</v>
          </cell>
          <cell r="BG39">
            <v>7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G40"/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7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G41"/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250000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/>
          <cell r="BF41">
            <v>0</v>
          </cell>
          <cell r="BG41">
            <v>7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7</v>
          </cell>
        </row>
        <row r="43">
          <cell r="B43" t="str">
            <v>TOTAUX</v>
          </cell>
          <cell r="C43">
            <v>-151000</v>
          </cell>
          <cell r="D43">
            <v>5484500</v>
          </cell>
          <cell r="E43">
            <v>1204125</v>
          </cell>
          <cell r="F43">
            <v>0</v>
          </cell>
          <cell r="G43">
            <v>52000</v>
          </cell>
          <cell r="H43">
            <v>14000</v>
          </cell>
          <cell r="I43">
            <v>0</v>
          </cell>
          <cell r="J43">
            <v>35</v>
          </cell>
          <cell r="K43">
            <v>1750000</v>
          </cell>
          <cell r="L43">
            <v>13</v>
          </cell>
          <cell r="M43">
            <v>975000</v>
          </cell>
          <cell r="N43">
            <v>24</v>
          </cell>
          <cell r="O43">
            <v>2400000</v>
          </cell>
          <cell r="P43">
            <v>156500</v>
          </cell>
          <cell r="Q43">
            <v>386625</v>
          </cell>
          <cell r="R43">
            <v>1105500</v>
          </cell>
          <cell r="S43">
            <v>0</v>
          </cell>
          <cell r="T43"/>
          <cell r="U43">
            <v>6839625</v>
          </cell>
          <cell r="V43">
            <v>0</v>
          </cell>
          <cell r="W43">
            <v>0</v>
          </cell>
          <cell r="X43">
            <v>0</v>
          </cell>
          <cell r="Y43">
            <v>5125000</v>
          </cell>
          <cell r="Z43">
            <v>0</v>
          </cell>
          <cell r="AA43">
            <v>0</v>
          </cell>
          <cell r="AB43"/>
          <cell r="AC43">
            <v>15500</v>
          </cell>
          <cell r="AD43">
            <v>7500</v>
          </cell>
          <cell r="AE43">
            <v>25000</v>
          </cell>
          <cell r="AF43">
            <v>0</v>
          </cell>
          <cell r="AG43">
            <v>0</v>
          </cell>
          <cell r="AH43"/>
          <cell r="AI43">
            <v>172000</v>
          </cell>
          <cell r="AJ43">
            <v>469125</v>
          </cell>
          <cell r="AK43">
            <v>1130500</v>
          </cell>
          <cell r="AL43">
            <v>2000</v>
          </cell>
          <cell r="AM43">
            <v>9000</v>
          </cell>
          <cell r="AN43">
            <v>14000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952000</v>
          </cell>
          <cell r="AT43">
            <v>0</v>
          </cell>
          <cell r="AU43">
            <v>0</v>
          </cell>
          <cell r="AV43">
            <v>0</v>
          </cell>
          <cell r="AW43">
            <v>1056500</v>
          </cell>
          <cell r="AX43">
            <v>1361625</v>
          </cell>
          <cell r="AY43">
            <v>3505500</v>
          </cell>
          <cell r="AZ43">
            <v>6023625</v>
          </cell>
          <cell r="BA43">
            <v>0</v>
          </cell>
          <cell r="BB43">
            <v>0</v>
          </cell>
          <cell r="BC43">
            <v>0</v>
          </cell>
          <cell r="BD43">
            <v>6023625</v>
          </cell>
          <cell r="BE43">
            <v>0</v>
          </cell>
          <cell r="BF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-151000</v>
          </cell>
          <cell r="D44">
            <v>5484500</v>
          </cell>
          <cell r="E44">
            <v>1204125</v>
          </cell>
          <cell r="F44">
            <v>0</v>
          </cell>
          <cell r="G44">
            <v>52000</v>
          </cell>
          <cell r="H44">
            <v>14000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156500</v>
          </cell>
          <cell r="Q44">
            <v>386625</v>
          </cell>
          <cell r="R44">
            <v>1105500</v>
          </cell>
          <cell r="S44">
            <v>0</v>
          </cell>
          <cell r="U44">
            <v>6839625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0</v>
          </cell>
          <cell r="AA44">
            <v>0</v>
          </cell>
          <cell r="AC44">
            <v>15500</v>
          </cell>
          <cell r="AD44">
            <v>7500</v>
          </cell>
          <cell r="AE44">
            <v>25000</v>
          </cell>
          <cell r="AF44">
            <v>0</v>
          </cell>
          <cell r="AG44">
            <v>0</v>
          </cell>
          <cell r="AI44">
            <v>172000</v>
          </cell>
          <cell r="AJ44">
            <v>469125</v>
          </cell>
          <cell r="AK44">
            <v>1130500</v>
          </cell>
          <cell r="AL44">
            <v>2000</v>
          </cell>
          <cell r="AM44">
            <v>9000</v>
          </cell>
          <cell r="AN44">
            <v>14000</v>
          </cell>
          <cell r="AO44">
            <v>0</v>
          </cell>
          <cell r="AQ44">
            <v>0</v>
          </cell>
          <cell r="AR44">
            <v>0</v>
          </cell>
          <cell r="AS44">
            <v>952000</v>
          </cell>
          <cell r="AT44">
            <v>0</v>
          </cell>
          <cell r="AU44">
            <v>0</v>
          </cell>
          <cell r="AV44">
            <v>0</v>
          </cell>
          <cell r="AW44">
            <v>1056500</v>
          </cell>
          <cell r="AX44">
            <v>1361625</v>
          </cell>
          <cell r="AY44">
            <v>3505500</v>
          </cell>
          <cell r="AZ44">
            <v>6029625</v>
          </cell>
          <cell r="BA44">
            <v>0</v>
          </cell>
          <cell r="BB44">
            <v>0</v>
          </cell>
          <cell r="BC44">
            <v>0</v>
          </cell>
          <cell r="BD44">
            <v>6029625</v>
          </cell>
          <cell r="BE44">
            <v>0</v>
          </cell>
          <cell r="BF44">
            <v>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1204125</v>
          </cell>
          <cell r="BB45" t="str">
            <v>ESPECES EN CAISSE</v>
          </cell>
          <cell r="BD45"/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1204125</v>
          </cell>
          <cell r="BB46" t="str">
            <v>ESPECES EN CAISSE</v>
          </cell>
          <cell r="BD46">
            <v>-6023625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1204125</v>
          </cell>
          <cell r="BD47">
            <v>-6029625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6023625</v>
          </cell>
          <cell r="D49">
            <v>5484500</v>
          </cell>
          <cell r="E49">
            <v>539125</v>
          </cell>
          <cell r="F49"/>
          <cell r="G49">
            <v>1204125</v>
          </cell>
          <cell r="H49">
            <v>0</v>
          </cell>
          <cell r="I49">
            <v>1204125</v>
          </cell>
          <cell r="J49"/>
        </row>
        <row r="50">
          <cell r="B50" t="str">
            <v>OPERATIONS DU JOUR</v>
          </cell>
          <cell r="C50">
            <v>6029625</v>
          </cell>
          <cell r="D50">
            <v>5484500</v>
          </cell>
          <cell r="E50">
            <v>545125</v>
          </cell>
          <cell r="G50">
            <v>1204125</v>
          </cell>
          <cell r="H50">
            <v>0</v>
          </cell>
          <cell r="I50">
            <v>1204125</v>
          </cell>
          <cell r="BO50" t="str">
            <v>FOYER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>
            <v>7500</v>
          </cell>
          <cell r="AE6">
            <v>10000</v>
          </cell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892500</v>
          </cell>
          <cell r="AY6">
            <v>1190000</v>
          </cell>
          <cell r="AZ6">
            <v>2088500</v>
          </cell>
          <cell r="BA6"/>
          <cell r="BB6"/>
          <cell r="BC6">
            <v>0</v>
          </cell>
          <cell r="BD6">
            <v>2088500</v>
          </cell>
          <cell r="BE6"/>
          <cell r="BF6">
            <v>0</v>
          </cell>
          <cell r="BG6">
            <v>6</v>
          </cell>
          <cell r="BH6">
            <v>6000</v>
          </cell>
          <cell r="BI6">
            <v>0</v>
          </cell>
          <cell r="BJ6">
            <v>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6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BANQUE</v>
          </cell>
          <cell r="U8">
            <v>625000</v>
          </cell>
          <cell r="V8"/>
          <cell r="W8"/>
          <cell r="X8"/>
          <cell r="Y8">
            <v>125000</v>
          </cell>
          <cell r="Z8">
            <v>500000</v>
          </cell>
          <cell r="AA8" t="str">
            <v>BANQUE</v>
          </cell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A8"/>
          <cell r="BB8"/>
          <cell r="BC8">
            <v>0</v>
          </cell>
          <cell r="BD8">
            <v>485000</v>
          </cell>
          <cell r="BE8"/>
          <cell r="BF8">
            <v>15000</v>
          </cell>
          <cell r="BG8">
            <v>3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101000</v>
          </cell>
          <cell r="D9">
            <v>0</v>
          </cell>
          <cell r="E9">
            <v>351000</v>
          </cell>
          <cell r="F9">
            <v>0</v>
          </cell>
          <cell r="G9"/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S9"/>
          <cell r="T9"/>
          <cell r="U9">
            <v>250000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>
            <v>39500</v>
          </cell>
          <cell r="AJ9"/>
          <cell r="AK9"/>
          <cell r="AL9">
            <v>2000</v>
          </cell>
          <cell r="AM9"/>
          <cell r="AN9"/>
          <cell r="AO9"/>
          <cell r="AP9"/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39500</v>
          </cell>
          <cell r="AX9">
            <v>0</v>
          </cell>
          <cell r="AY9">
            <v>0</v>
          </cell>
          <cell r="AZ9">
            <v>139500</v>
          </cell>
          <cell r="BA9">
            <v>139500</v>
          </cell>
          <cell r="BB9"/>
          <cell r="BC9">
            <v>0</v>
          </cell>
          <cell r="BD9">
            <v>0</v>
          </cell>
          <cell r="BE9"/>
          <cell r="BF9">
            <v>0</v>
          </cell>
          <cell r="BG9">
            <v>6</v>
          </cell>
          <cell r="BH9"/>
          <cell r="BI9"/>
          <cell r="BJ9"/>
          <cell r="BK9">
            <v>100000</v>
          </cell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81000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S10"/>
          <cell r="T10"/>
          <cell r="U10">
            <v>81000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T10"/>
          <cell r="AV10"/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/>
          <cell r="BB10"/>
          <cell r="BC10">
            <v>0</v>
          </cell>
          <cell r="BD10">
            <v>0</v>
          </cell>
          <cell r="BE10"/>
          <cell r="BF10">
            <v>0</v>
          </cell>
          <cell r="BG10">
            <v>6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-106500</v>
          </cell>
          <cell r="D11">
            <v>251000</v>
          </cell>
          <cell r="E11">
            <v>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207500</v>
          </cell>
          <cell r="S11"/>
          <cell r="T11"/>
          <cell r="U11">
            <v>357500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>
            <v>30000</v>
          </cell>
          <cell r="AJ11"/>
          <cell r="AK11">
            <v>200000</v>
          </cell>
          <cell r="AL11">
            <v>1000</v>
          </cell>
          <cell r="AM11"/>
          <cell r="AN11">
            <v>7500</v>
          </cell>
          <cell r="AO11"/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30000</v>
          </cell>
          <cell r="AX11">
            <v>0</v>
          </cell>
          <cell r="AY11">
            <v>200000</v>
          </cell>
          <cell r="AZ11">
            <v>230000</v>
          </cell>
          <cell r="BA11">
            <v>230000</v>
          </cell>
          <cell r="BB11"/>
          <cell r="BC11">
            <v>0</v>
          </cell>
          <cell r="BD11">
            <v>0</v>
          </cell>
          <cell r="BE11"/>
          <cell r="BF11">
            <v>0</v>
          </cell>
          <cell r="BG11">
            <v>6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-203000</v>
          </cell>
          <cell r="D12">
            <v>315000</v>
          </cell>
          <cell r="E12">
            <v>0</v>
          </cell>
          <cell r="F12">
            <v>0</v>
          </cell>
          <cell r="G12">
            <v>11000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54000</v>
          </cell>
          <cell r="Q12">
            <v>0</v>
          </cell>
          <cell r="R12">
            <v>203000</v>
          </cell>
          <cell r="S12"/>
          <cell r="T12"/>
          <cell r="U12">
            <v>518000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/>
          <cell r="AF12"/>
          <cell r="AG12"/>
          <cell r="AH12"/>
          <cell r="AI12">
            <v>30000</v>
          </cell>
          <cell r="AJ12"/>
          <cell r="AK12">
            <v>200000</v>
          </cell>
          <cell r="AL12">
            <v>1000</v>
          </cell>
          <cell r="AM12"/>
          <cell r="AN12">
            <v>3000</v>
          </cell>
          <cell r="AO12"/>
          <cell r="AP12" t="str">
            <v>BANQUE</v>
          </cell>
          <cell r="AQ12">
            <v>0</v>
          </cell>
          <cell r="AR12">
            <v>0</v>
          </cell>
          <cell r="AS12">
            <v>36000</v>
          </cell>
          <cell r="AT12"/>
          <cell r="AV12"/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130000</v>
          </cell>
          <cell r="BB12"/>
          <cell r="BC12">
            <v>0</v>
          </cell>
          <cell r="BD12">
            <v>100000</v>
          </cell>
          <cell r="BE12"/>
          <cell r="BF12">
            <v>0</v>
          </cell>
          <cell r="BG12">
            <v>6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6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6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150000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6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6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301000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51000</v>
          </cell>
          <cell r="R17">
            <v>0</v>
          </cell>
          <cell r="S17"/>
          <cell r="T17"/>
          <cell r="U17">
            <v>301000</v>
          </cell>
          <cell r="V17"/>
          <cell r="W17"/>
          <cell r="X17"/>
          <cell r="Y17">
            <v>225000</v>
          </cell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>
            <v>100000</v>
          </cell>
          <cell r="AK17"/>
          <cell r="AL17"/>
          <cell r="AM17">
            <v>2500</v>
          </cell>
          <cell r="AN17"/>
          <cell r="AO17"/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T17"/>
          <cell r="AV17"/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A17">
            <v>25000</v>
          </cell>
          <cell r="BB17"/>
          <cell r="BC17">
            <v>0</v>
          </cell>
          <cell r="BD17">
            <v>75000</v>
          </cell>
          <cell r="BE17"/>
          <cell r="BF17">
            <v>0</v>
          </cell>
          <cell r="BG17">
            <v>6</v>
          </cell>
          <cell r="BH17"/>
          <cell r="BI17"/>
          <cell r="BJ17"/>
          <cell r="BK17"/>
          <cell r="BL17"/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-106000</v>
          </cell>
          <cell r="D18">
            <v>150000</v>
          </cell>
          <cell r="E18">
            <v>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S18"/>
          <cell r="T18"/>
          <cell r="U18">
            <v>256000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>
            <v>102000</v>
          </cell>
          <cell r="AL18"/>
          <cell r="AM18"/>
          <cell r="AN18">
            <v>4000</v>
          </cell>
          <cell r="AO18"/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102000</v>
          </cell>
          <cell r="AZ18">
            <v>102000</v>
          </cell>
          <cell r="BA18"/>
          <cell r="BB18"/>
          <cell r="BC18">
            <v>0</v>
          </cell>
          <cell r="BD18">
            <v>102000</v>
          </cell>
          <cell r="BE18"/>
          <cell r="BF18">
            <v>0</v>
          </cell>
          <cell r="BG18">
            <v>6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S19"/>
          <cell r="T19"/>
          <cell r="U19">
            <v>235000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>
            <v>138500</v>
          </cell>
          <cell r="AK19"/>
          <cell r="AL19"/>
          <cell r="AM19">
            <v>2500</v>
          </cell>
          <cell r="AN19"/>
          <cell r="AO19"/>
          <cell r="AP19"/>
          <cell r="AQ19">
            <v>0</v>
          </cell>
          <cell r="AR19">
            <v>0</v>
          </cell>
          <cell r="AS19">
            <v>35000</v>
          </cell>
          <cell r="AT19"/>
          <cell r="AV19"/>
          <cell r="AW19">
            <v>0</v>
          </cell>
          <cell r="AX19">
            <v>138500</v>
          </cell>
          <cell r="AY19">
            <v>0</v>
          </cell>
          <cell r="AZ19">
            <v>138500</v>
          </cell>
          <cell r="BA19">
            <v>38500</v>
          </cell>
          <cell r="BB19"/>
          <cell r="BC19">
            <v>0</v>
          </cell>
          <cell r="BD19">
            <v>-1000</v>
          </cell>
          <cell r="BE19"/>
          <cell r="BF19">
            <v>0</v>
          </cell>
          <cell r="BG19">
            <v>6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-300000</v>
          </cell>
          <cell r="D20">
            <v>50000</v>
          </cell>
          <cell r="E20">
            <v>0</v>
          </cell>
          <cell r="F20">
            <v>0</v>
          </cell>
          <cell r="G20">
            <v>100000</v>
          </cell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300000</v>
          </cell>
          <cell r="T20" t="str">
            <v>BANQUE</v>
          </cell>
          <cell r="U20">
            <v>350000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6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-300000</v>
          </cell>
          <cell r="D21">
            <v>50000</v>
          </cell>
          <cell r="E21">
            <v>0</v>
          </cell>
          <cell r="F21">
            <v>0</v>
          </cell>
          <cell r="G21">
            <v>-1000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 t="str">
            <v>BANQUE</v>
          </cell>
          <cell r="U21">
            <v>350000</v>
          </cell>
          <cell r="V21"/>
          <cell r="W21"/>
          <cell r="X21"/>
          <cell r="Y21">
            <v>50000</v>
          </cell>
          <cell r="Z21">
            <v>1000000</v>
          </cell>
          <cell r="AA21" t="str">
            <v>BANQUE</v>
          </cell>
          <cell r="AB21"/>
          <cell r="AC21"/>
          <cell r="AD21"/>
          <cell r="AE21"/>
          <cell r="AF21"/>
          <cell r="AG21"/>
          <cell r="AH21"/>
          <cell r="AI21"/>
          <cell r="AJ21">
            <v>100000</v>
          </cell>
          <cell r="AK21">
            <v>200000</v>
          </cell>
          <cell r="AL21"/>
          <cell r="AM21">
            <v>2000</v>
          </cell>
          <cell r="AN21">
            <v>4500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100000</v>
          </cell>
          <cell r="BB21"/>
          <cell r="BC21">
            <v>0</v>
          </cell>
          <cell r="BD21">
            <v>0</v>
          </cell>
          <cell r="BE21"/>
          <cell r="BF21">
            <v>0</v>
          </cell>
          <cell r="BG21">
            <v>6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-1002500</v>
          </cell>
          <cell r="D22">
            <v>628000</v>
          </cell>
          <cell r="E22">
            <v>0</v>
          </cell>
          <cell r="F22">
            <v>0</v>
          </cell>
          <cell r="G22">
            <v>-1000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S22">
            <v>1000000</v>
          </cell>
          <cell r="T22" t="str">
            <v>BANQUE</v>
          </cell>
          <cell r="U22">
            <v>1630500</v>
          </cell>
          <cell r="V22"/>
          <cell r="W22"/>
          <cell r="X22"/>
          <cell r="Y22">
            <v>325000</v>
          </cell>
          <cell r="Z22">
            <v>1000000</v>
          </cell>
          <cell r="AA22" t="str">
            <v>BANQUE</v>
          </cell>
          <cell r="AB22"/>
          <cell r="AC22"/>
          <cell r="AD22"/>
          <cell r="AE22"/>
          <cell r="AF22"/>
          <cell r="AG22"/>
          <cell r="AH22"/>
          <cell r="AI22"/>
          <cell r="AJ22">
            <v>100000</v>
          </cell>
          <cell r="AK22">
            <v>200000</v>
          </cell>
          <cell r="AL22"/>
          <cell r="AM22">
            <v>2000</v>
          </cell>
          <cell r="AN22">
            <v>4500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24000</v>
          </cell>
          <cell r="AT22"/>
          <cell r="AV22"/>
          <cell r="AW22">
            <v>0</v>
          </cell>
          <cell r="AX22">
            <v>100000</v>
          </cell>
          <cell r="AY22">
            <v>200000</v>
          </cell>
          <cell r="AZ22">
            <v>1270000</v>
          </cell>
          <cell r="BA22">
            <v>100000</v>
          </cell>
          <cell r="BB22"/>
          <cell r="BC22">
            <v>0</v>
          </cell>
          <cell r="BD22">
            <v>1170000</v>
          </cell>
          <cell r="BE22"/>
          <cell r="BF22">
            <v>30000</v>
          </cell>
          <cell r="BG22">
            <v>3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/>
          <cell r="BF23">
            <v>0</v>
          </cell>
          <cell r="BG23">
            <v>6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>
            <v>200000</v>
          </cell>
          <cell r="AL24"/>
          <cell r="AM24"/>
          <cell r="AN24">
            <v>6500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/>
          <cell r="BB24"/>
          <cell r="BC24">
            <v>0</v>
          </cell>
          <cell r="BD24">
            <v>0</v>
          </cell>
          <cell r="BE24"/>
          <cell r="BF24">
            <v>0</v>
          </cell>
          <cell r="BG24">
            <v>6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-4000</v>
          </cell>
          <cell r="D25">
            <v>260000</v>
          </cell>
          <cell r="E25">
            <v>202500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S25"/>
          <cell r="T25"/>
          <cell r="U25">
            <v>466500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>
            <v>121125</v>
          </cell>
          <cell r="AK25">
            <v>200000</v>
          </cell>
          <cell r="AL25"/>
          <cell r="AM25">
            <v>4000</v>
          </cell>
          <cell r="AN25">
            <v>6500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A25"/>
          <cell r="BB25"/>
          <cell r="BC25">
            <v>0</v>
          </cell>
          <cell r="BD25">
            <v>200000</v>
          </cell>
          <cell r="BE25"/>
          <cell r="BF25">
            <v>0</v>
          </cell>
          <cell r="BG25">
            <v>6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-257625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121125</v>
          </cell>
          <cell r="R26">
            <v>136500</v>
          </cell>
          <cell r="S26"/>
          <cell r="T26"/>
          <cell r="U26">
            <v>497625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>
            <v>121125</v>
          </cell>
          <cell r="AK26">
            <v>132500</v>
          </cell>
          <cell r="AL26"/>
          <cell r="AM26">
            <v>4000</v>
          </cell>
          <cell r="AN26">
            <v>4000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121125</v>
          </cell>
          <cell r="AY26">
            <v>132500</v>
          </cell>
          <cell r="AZ26">
            <v>253625</v>
          </cell>
          <cell r="BA26"/>
          <cell r="BB26"/>
          <cell r="BC26">
            <v>0</v>
          </cell>
          <cell r="BD26">
            <v>253625</v>
          </cell>
          <cell r="BE26"/>
          <cell r="BF26">
            <v>0</v>
          </cell>
          <cell r="BG26">
            <v>6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99000</v>
          </cell>
          <cell r="D27">
            <v>450000</v>
          </cell>
          <cell r="E27">
            <v>0</v>
          </cell>
          <cell r="F27">
            <v>0</v>
          </cell>
          <cell r="G27">
            <v>-2000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S27">
            <v>1000000</v>
          </cell>
          <cell r="T27" t="str">
            <v>BANQUE</v>
          </cell>
          <cell r="U27">
            <v>351000</v>
          </cell>
          <cell r="V27"/>
          <cell r="W27"/>
          <cell r="X27"/>
          <cell r="Y27">
            <v>250000</v>
          </cell>
          <cell r="Z27">
            <v>1000000</v>
          </cell>
          <cell r="AA27" t="str">
            <v>BANQUE</v>
          </cell>
          <cell r="AB27"/>
          <cell r="AC27"/>
          <cell r="AD27"/>
          <cell r="AE27"/>
          <cell r="AF27"/>
          <cell r="AG27"/>
          <cell r="AH27"/>
          <cell r="AI27"/>
          <cell r="AJ27"/>
          <cell r="AK27">
            <v>100000</v>
          </cell>
          <cell r="AL27"/>
          <cell r="AM27"/>
          <cell r="AN27">
            <v>3000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23000</v>
          </cell>
          <cell r="AT27"/>
          <cell r="AV27"/>
          <cell r="AW27">
            <v>0</v>
          </cell>
          <cell r="AX27">
            <v>0</v>
          </cell>
          <cell r="AY27">
            <v>100000</v>
          </cell>
          <cell r="AZ27">
            <v>100000</v>
          </cell>
          <cell r="BA27"/>
          <cell r="BB27"/>
          <cell r="BC27">
            <v>0</v>
          </cell>
          <cell r="BD27">
            <v>100000</v>
          </cell>
          <cell r="BE27"/>
          <cell r="BF27">
            <v>0</v>
          </cell>
          <cell r="BG27">
            <v>6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0</v>
          </cell>
          <cell r="E28">
            <v>53000</v>
          </cell>
          <cell r="F28">
            <v>0</v>
          </cell>
          <cell r="G28"/>
          <cell r="H28">
            <v>3000</v>
          </cell>
          <cell r="I28" t="str">
            <v>ESPECES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1053000</v>
          </cell>
          <cell r="V28"/>
          <cell r="W28"/>
          <cell r="X28"/>
          <cell r="Y28">
            <v>50000</v>
          </cell>
          <cell r="Z28">
            <v>1000000</v>
          </cell>
          <cell r="AA28" t="str">
            <v>BANQUE</v>
          </cell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/>
          <cell r="BB28"/>
          <cell r="BC28">
            <v>0</v>
          </cell>
          <cell r="BD28">
            <v>970000</v>
          </cell>
          <cell r="BE28"/>
          <cell r="BF28">
            <v>30000</v>
          </cell>
          <cell r="BG28">
            <v>3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6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>
            <v>59000</v>
          </cell>
          <cell r="AJ30"/>
          <cell r="AK30"/>
          <cell r="AL30"/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6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109000</v>
          </cell>
          <cell r="V31"/>
          <cell r="W31"/>
          <cell r="X31"/>
          <cell r="Y31">
            <v>50000</v>
          </cell>
          <cell r="Z31">
            <v>1000000</v>
          </cell>
          <cell r="AA31" t="str">
            <v>BANQUE</v>
          </cell>
          <cell r="AB31"/>
          <cell r="AC31"/>
          <cell r="AD31"/>
          <cell r="AE31"/>
          <cell r="AF31"/>
          <cell r="AG31"/>
          <cell r="AH31"/>
          <cell r="AI31">
            <v>59000</v>
          </cell>
          <cell r="AJ31"/>
          <cell r="AK31"/>
          <cell r="AL31"/>
          <cell r="AM31"/>
          <cell r="AN31"/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A31"/>
          <cell r="BB31"/>
          <cell r="BC31">
            <v>0</v>
          </cell>
          <cell r="BD31">
            <v>59000</v>
          </cell>
          <cell r="BE31"/>
          <cell r="BF31">
            <v>0</v>
          </cell>
          <cell r="BG31">
            <v>6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0</v>
          </cell>
          <cell r="F32">
            <v>0</v>
          </cell>
          <cell r="G32">
            <v>-3000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BANQUE</v>
          </cell>
          <cell r="U32">
            <v>1250000</v>
          </cell>
          <cell r="V32"/>
          <cell r="W32"/>
          <cell r="X32"/>
          <cell r="Y32">
            <v>250000</v>
          </cell>
          <cell r="Z32">
            <v>1000000</v>
          </cell>
          <cell r="AA32" t="str">
            <v>BANQUE</v>
          </cell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/>
          <cell r="BB32"/>
          <cell r="BC32">
            <v>0</v>
          </cell>
          <cell r="BD32">
            <v>970000</v>
          </cell>
          <cell r="BE32"/>
          <cell r="BF32">
            <v>30000</v>
          </cell>
          <cell r="BG32">
            <v>3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>
            <v>3500</v>
          </cell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 t="str">
            <v>BANQUE</v>
          </cell>
          <cell r="AQ33">
            <v>0</v>
          </cell>
          <cell r="AR33">
            <v>0</v>
          </cell>
          <cell r="AS33">
            <v>22000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/>
          <cell r="BF33">
            <v>0</v>
          </cell>
          <cell r="BG33">
            <v>6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181000</v>
          </cell>
          <cell r="E34">
            <v>0</v>
          </cell>
          <cell r="F34">
            <v>0</v>
          </cell>
          <cell r="G34">
            <v>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>
            <v>1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S34"/>
          <cell r="T34"/>
          <cell r="U34">
            <v>181000</v>
          </cell>
          <cell r="V34"/>
          <cell r="W34"/>
          <cell r="X34"/>
          <cell r="Y34">
            <v>150000</v>
          </cell>
          <cell r="Z34"/>
          <cell r="AA34"/>
          <cell r="AB34"/>
          <cell r="AC34">
            <v>3500</v>
          </cell>
          <cell r="AD34"/>
          <cell r="AE34"/>
          <cell r="AF34"/>
          <cell r="AG34"/>
          <cell r="AH34"/>
          <cell r="AI34"/>
          <cell r="AJ34">
            <v>100000</v>
          </cell>
          <cell r="AK34"/>
          <cell r="AL34"/>
          <cell r="AM34">
            <v>2000</v>
          </cell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25500</v>
          </cell>
          <cell r="AT34"/>
          <cell r="AV34"/>
          <cell r="AW34">
            <v>296500</v>
          </cell>
          <cell r="AX34">
            <v>0</v>
          </cell>
          <cell r="AY34">
            <v>0</v>
          </cell>
          <cell r="AZ34">
            <v>296500</v>
          </cell>
          <cell r="BA34">
            <v>100000</v>
          </cell>
          <cell r="BB34"/>
          <cell r="BC34">
            <v>0</v>
          </cell>
          <cell r="BD34">
            <v>296500</v>
          </cell>
          <cell r="BE34"/>
          <cell r="BF34">
            <v>0</v>
          </cell>
          <cell r="BG34">
            <v>6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102000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S35"/>
          <cell r="T35"/>
          <cell r="U35">
            <v>227000</v>
          </cell>
          <cell r="V35"/>
          <cell r="W35"/>
          <cell r="X35"/>
          <cell r="Y35">
            <v>125000</v>
          </cell>
          <cell r="Z35"/>
          <cell r="AA35"/>
          <cell r="AB35"/>
          <cell r="AC35">
            <v>2500</v>
          </cell>
          <cell r="AD35"/>
          <cell r="AE35"/>
          <cell r="AF35"/>
          <cell r="AG35"/>
          <cell r="AH35"/>
          <cell r="AI35"/>
          <cell r="AJ35">
            <v>100000</v>
          </cell>
          <cell r="AK35"/>
          <cell r="AL35"/>
          <cell r="AM35">
            <v>2000</v>
          </cell>
          <cell r="AN35"/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297500</v>
          </cell>
          <cell r="AX35">
            <v>100000</v>
          </cell>
          <cell r="AY35">
            <v>0</v>
          </cell>
          <cell r="AZ35">
            <v>397500</v>
          </cell>
          <cell r="BA35">
            <v>100000</v>
          </cell>
          <cell r="BB35"/>
          <cell r="BC35">
            <v>0</v>
          </cell>
          <cell r="BD35">
            <v>297500</v>
          </cell>
          <cell r="BE35"/>
          <cell r="BF35">
            <v>0</v>
          </cell>
          <cell r="BG35">
            <v>6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/>
          <cell r="BB36"/>
          <cell r="BC36">
            <v>0</v>
          </cell>
          <cell r="BD36">
            <v>0</v>
          </cell>
          <cell r="BE36"/>
          <cell r="BF36">
            <v>0</v>
          </cell>
          <cell r="BG36">
            <v>6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6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 t="str">
            <v>BANQUE</v>
          </cell>
          <cell r="AQ38">
            <v>0</v>
          </cell>
          <cell r="AR38">
            <v>0</v>
          </cell>
          <cell r="AS38">
            <v>22000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6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227000</v>
          </cell>
          <cell r="E39">
            <v>0</v>
          </cell>
          <cell r="F39">
            <v>0</v>
          </cell>
          <cell r="G39">
            <v>-3000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S39"/>
          <cell r="T39"/>
          <cell r="U39">
            <v>227000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/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6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>
            <v>-3000</v>
          </cell>
          <cell r="H40">
            <v>3000</v>
          </cell>
          <cell r="I40" t="str">
            <v>ESPECES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>
            <v>3500</v>
          </cell>
          <cell r="AD40"/>
          <cell r="AE40">
            <v>10000</v>
          </cell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22000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6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G41"/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253000</v>
          </cell>
          <cell r="V41"/>
          <cell r="W41"/>
          <cell r="X41"/>
          <cell r="Y41">
            <v>250000</v>
          </cell>
          <cell r="Z41"/>
          <cell r="AA41"/>
          <cell r="AB41"/>
          <cell r="AC41">
            <v>3500</v>
          </cell>
          <cell r="AD41"/>
          <cell r="AE41">
            <v>10000</v>
          </cell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296500</v>
          </cell>
          <cell r="AX41">
            <v>0</v>
          </cell>
          <cell r="AY41">
            <v>1190000</v>
          </cell>
          <cell r="AZ41">
            <v>1486500</v>
          </cell>
          <cell r="BA41"/>
          <cell r="BB41"/>
          <cell r="BC41">
            <v>0</v>
          </cell>
          <cell r="BD41">
            <v>1486500</v>
          </cell>
          <cell r="BE41"/>
          <cell r="BF41">
            <v>0</v>
          </cell>
          <cell r="BG41">
            <v>6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6</v>
          </cell>
        </row>
        <row r="43">
          <cell r="B43" t="str">
            <v>TOTAUX</v>
          </cell>
          <cell r="C43">
            <v>-4338625</v>
          </cell>
          <cell r="D43">
            <v>5319000</v>
          </cell>
          <cell r="E43">
            <v>1161500</v>
          </cell>
          <cell r="F43">
            <v>0</v>
          </cell>
          <cell r="G43">
            <v>60000</v>
          </cell>
          <cell r="H43">
            <v>15000</v>
          </cell>
          <cell r="I43">
            <v>0</v>
          </cell>
          <cell r="J43">
            <v>35</v>
          </cell>
          <cell r="K43">
            <v>1750000</v>
          </cell>
          <cell r="L43">
            <v>13</v>
          </cell>
          <cell r="M43">
            <v>975000</v>
          </cell>
          <cell r="N43">
            <v>24</v>
          </cell>
          <cell r="O43">
            <v>2400000</v>
          </cell>
          <cell r="P43">
            <v>174000</v>
          </cell>
          <cell r="Q43">
            <v>478125</v>
          </cell>
          <cell r="R43">
            <v>1167000</v>
          </cell>
          <cell r="S43">
            <v>3800000</v>
          </cell>
          <cell r="T43"/>
          <cell r="U43">
            <v>10819125</v>
          </cell>
          <cell r="V43">
            <v>0</v>
          </cell>
          <cell r="W43">
            <v>0</v>
          </cell>
          <cell r="X43">
            <v>0</v>
          </cell>
          <cell r="Y43">
            <v>5125000</v>
          </cell>
          <cell r="Z43">
            <v>3500000</v>
          </cell>
          <cell r="AA43">
            <v>0</v>
          </cell>
          <cell r="AB43"/>
          <cell r="AC43">
            <v>9500</v>
          </cell>
          <cell r="AD43">
            <v>7500</v>
          </cell>
          <cell r="AE43">
            <v>20000</v>
          </cell>
          <cell r="AF43">
            <v>0</v>
          </cell>
          <cell r="AG43">
            <v>0</v>
          </cell>
          <cell r="AH43"/>
          <cell r="AI43">
            <v>158500</v>
          </cell>
          <cell r="AJ43">
            <v>559625</v>
          </cell>
          <cell r="AK43">
            <v>1134500</v>
          </cell>
          <cell r="AL43">
            <v>4000</v>
          </cell>
          <cell r="AM43">
            <v>13000</v>
          </cell>
          <cell r="AN43">
            <v>32500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935000</v>
          </cell>
          <cell r="AT43">
            <v>0</v>
          </cell>
          <cell r="AU43">
            <v>0</v>
          </cell>
          <cell r="AV43">
            <v>0</v>
          </cell>
          <cell r="AW43">
            <v>1049000</v>
          </cell>
          <cell r="AX43">
            <v>1452125</v>
          </cell>
          <cell r="AY43">
            <v>3514500</v>
          </cell>
          <cell r="AZ43">
            <v>9516625</v>
          </cell>
          <cell r="BA43">
            <v>763000</v>
          </cell>
          <cell r="BB43">
            <v>0</v>
          </cell>
          <cell r="BC43">
            <v>0</v>
          </cell>
          <cell r="BD43">
            <v>8652625</v>
          </cell>
          <cell r="BE43">
            <v>0</v>
          </cell>
          <cell r="BF43">
            <v>105000</v>
          </cell>
          <cell r="BH43">
            <v>6000</v>
          </cell>
          <cell r="BI43">
            <v>0</v>
          </cell>
          <cell r="BJ43">
            <v>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-4338625</v>
          </cell>
          <cell r="D44">
            <v>5319000</v>
          </cell>
          <cell r="E44">
            <v>1161500</v>
          </cell>
          <cell r="F44">
            <v>0</v>
          </cell>
          <cell r="G44">
            <v>160000</v>
          </cell>
          <cell r="H44">
            <v>15000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174000</v>
          </cell>
          <cell r="Q44">
            <v>478125</v>
          </cell>
          <cell r="R44">
            <v>1167000</v>
          </cell>
          <cell r="S44">
            <v>3800000</v>
          </cell>
          <cell r="U44">
            <v>10819125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3500000</v>
          </cell>
          <cell r="AA44">
            <v>0</v>
          </cell>
          <cell r="AC44">
            <v>9500</v>
          </cell>
          <cell r="AD44">
            <v>7500</v>
          </cell>
          <cell r="AE44">
            <v>20000</v>
          </cell>
          <cell r="AF44">
            <v>0</v>
          </cell>
          <cell r="AG44">
            <v>0</v>
          </cell>
          <cell r="AI44">
            <v>158500</v>
          </cell>
          <cell r="AJ44">
            <v>559625</v>
          </cell>
          <cell r="AK44">
            <v>1134500</v>
          </cell>
          <cell r="AL44">
            <v>4000</v>
          </cell>
          <cell r="AM44">
            <v>13000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935000</v>
          </cell>
          <cell r="AT44">
            <v>0</v>
          </cell>
          <cell r="AU44">
            <v>0</v>
          </cell>
          <cell r="AV44">
            <v>0</v>
          </cell>
          <cell r="AW44">
            <v>1049000</v>
          </cell>
          <cell r="AX44">
            <v>1452125</v>
          </cell>
          <cell r="AY44">
            <v>3514500</v>
          </cell>
          <cell r="AZ44">
            <v>9516625</v>
          </cell>
          <cell r="BA44">
            <v>763000</v>
          </cell>
          <cell r="BB44">
            <v>0</v>
          </cell>
          <cell r="BC44">
            <v>0</v>
          </cell>
          <cell r="BD44">
            <v>8652625</v>
          </cell>
          <cell r="BE44">
            <v>0</v>
          </cell>
          <cell r="BF44">
            <v>105000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1161500</v>
          </cell>
          <cell r="BB45" t="str">
            <v>ESPECES EN CAISSE</v>
          </cell>
          <cell r="BD45"/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1161500</v>
          </cell>
          <cell r="BB46" t="str">
            <v>ESPECES EN CAISSE</v>
          </cell>
          <cell r="BD46">
            <v>-8652625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398500</v>
          </cell>
          <cell r="BD47">
            <v>-8652625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8652625</v>
          </cell>
          <cell r="D49">
            <v>5319000</v>
          </cell>
          <cell r="E49">
            <v>3333625</v>
          </cell>
          <cell r="F49"/>
          <cell r="G49">
            <v>1161500</v>
          </cell>
          <cell r="H49">
            <v>763000</v>
          </cell>
          <cell r="I49">
            <v>398500</v>
          </cell>
          <cell r="J49"/>
        </row>
        <row r="50">
          <cell r="B50" t="str">
            <v>OPERATIONS DU JOUR</v>
          </cell>
          <cell r="C50">
            <v>8652625</v>
          </cell>
          <cell r="D50">
            <v>5319000</v>
          </cell>
          <cell r="E50">
            <v>3333625</v>
          </cell>
          <cell r="G50">
            <v>1161500</v>
          </cell>
          <cell r="H50">
            <v>763000</v>
          </cell>
          <cell r="I50">
            <v>398500</v>
          </cell>
          <cell r="BO50" t="str">
            <v>FOYER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76000</v>
          </cell>
          <cell r="BA6"/>
          <cell r="BB6"/>
          <cell r="BC6">
            <v>0</v>
          </cell>
          <cell r="BD6">
            <v>76000</v>
          </cell>
          <cell r="BE6"/>
          <cell r="BF6">
            <v>0</v>
          </cell>
          <cell r="BG6">
            <v>5</v>
          </cell>
          <cell r="BH6">
            <v>6000</v>
          </cell>
          <cell r="BI6">
            <v>0</v>
          </cell>
          <cell r="BJ6">
            <v>0</v>
          </cell>
          <cell r="BK6">
            <v>70000</v>
          </cell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5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/>
          <cell r="T8"/>
          <cell r="U8">
            <v>125000</v>
          </cell>
          <cell r="V8"/>
          <cell r="W8"/>
          <cell r="X8"/>
          <cell r="Y8">
            <v>125000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/>
          <cell r="BB8"/>
          <cell r="BC8">
            <v>0</v>
          </cell>
          <cell r="BD8">
            <v>0</v>
          </cell>
          <cell r="BE8"/>
          <cell r="BF8">
            <v>0</v>
          </cell>
          <cell r="BG8">
            <v>5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291500</v>
          </cell>
          <cell r="F9">
            <v>0</v>
          </cell>
          <cell r="G9"/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41500</v>
          </cell>
          <cell r="Q9">
            <v>0</v>
          </cell>
          <cell r="R9">
            <v>0</v>
          </cell>
          <cell r="S9"/>
          <cell r="T9"/>
          <cell r="U9">
            <v>291500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>
            <v>200000</v>
          </cell>
          <cell r="AL9"/>
          <cell r="AM9"/>
          <cell r="AN9">
            <v>3500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B9"/>
          <cell r="BC9">
            <v>0</v>
          </cell>
          <cell r="BD9">
            <v>0</v>
          </cell>
          <cell r="BE9"/>
          <cell r="BF9">
            <v>0</v>
          </cell>
          <cell r="BG9">
            <v>5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G10"/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>
            <v>50000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26000</v>
          </cell>
          <cell r="AJ10"/>
          <cell r="AK10"/>
          <cell r="AL10">
            <v>500</v>
          </cell>
          <cell r="AM10"/>
          <cell r="AN10"/>
          <cell r="AO10"/>
          <cell r="AP10"/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26000</v>
          </cell>
          <cell r="AX10">
            <v>0</v>
          </cell>
          <cell r="AY10">
            <v>0</v>
          </cell>
          <cell r="AZ10">
            <v>26000</v>
          </cell>
          <cell r="BA10"/>
          <cell r="BB10"/>
          <cell r="BC10">
            <v>0</v>
          </cell>
          <cell r="BD10">
            <v>26000</v>
          </cell>
          <cell r="BE10" t="str">
            <v>OK</v>
          </cell>
          <cell r="BF10">
            <v>0</v>
          </cell>
          <cell r="BG10">
            <v>5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-98500</v>
          </cell>
          <cell r="D11">
            <v>290000</v>
          </cell>
          <cell r="E11">
            <v>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31000</v>
          </cell>
          <cell r="Q11">
            <v>0</v>
          </cell>
          <cell r="R11">
            <v>207500</v>
          </cell>
          <cell r="S11"/>
          <cell r="T11"/>
          <cell r="U11">
            <v>388500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/>
          <cell r="BB11"/>
          <cell r="BC11">
            <v>0</v>
          </cell>
          <cell r="BD11">
            <v>0</v>
          </cell>
          <cell r="BE11"/>
          <cell r="BF11">
            <v>0</v>
          </cell>
          <cell r="BG11">
            <v>5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466500</v>
          </cell>
          <cell r="E12">
            <v>31000</v>
          </cell>
          <cell r="F12">
            <v>0</v>
          </cell>
          <cell r="G12">
            <v>13500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31000</v>
          </cell>
          <cell r="Q12">
            <v>0</v>
          </cell>
          <cell r="R12">
            <v>203000</v>
          </cell>
          <cell r="S12"/>
          <cell r="T12"/>
          <cell r="U12">
            <v>497500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/>
          <cell r="AF12"/>
          <cell r="AG12"/>
          <cell r="AH12"/>
          <cell r="AI12">
            <v>30000</v>
          </cell>
          <cell r="AJ12"/>
          <cell r="AK12">
            <v>200000</v>
          </cell>
          <cell r="AL12">
            <v>500</v>
          </cell>
          <cell r="AM12"/>
          <cell r="AN12">
            <v>6500</v>
          </cell>
          <cell r="AO12"/>
          <cell r="AP12" t="str">
            <v>BANQUE</v>
          </cell>
          <cell r="AQ12">
            <v>0</v>
          </cell>
          <cell r="AR12">
            <v>0</v>
          </cell>
          <cell r="AS12">
            <v>38500</v>
          </cell>
          <cell r="AT12"/>
          <cell r="AV12"/>
          <cell r="AW12">
            <v>30000</v>
          </cell>
          <cell r="AX12">
            <v>0</v>
          </cell>
          <cell r="AY12">
            <v>200000</v>
          </cell>
          <cell r="AZ12">
            <v>230000</v>
          </cell>
          <cell r="BA12">
            <v>50000</v>
          </cell>
          <cell r="BB12"/>
          <cell r="BC12">
            <v>0</v>
          </cell>
          <cell r="BD12">
            <v>180000</v>
          </cell>
          <cell r="BE12" t="str">
            <v>OK</v>
          </cell>
          <cell r="BF12">
            <v>0</v>
          </cell>
          <cell r="BG12">
            <v>5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5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100000</v>
          </cell>
          <cell r="BA14"/>
          <cell r="BB14"/>
          <cell r="BC14">
            <v>0</v>
          </cell>
          <cell r="BD14">
            <v>100000</v>
          </cell>
          <cell r="BE14" t="str">
            <v>OK</v>
          </cell>
          <cell r="BF14">
            <v>0</v>
          </cell>
          <cell r="BG14">
            <v>5</v>
          </cell>
          <cell r="BH14"/>
          <cell r="BI14"/>
          <cell r="BJ14"/>
          <cell r="BK14">
            <v>100000</v>
          </cell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150000</v>
          </cell>
          <cell r="V15"/>
          <cell r="W15"/>
          <cell r="X15"/>
          <cell r="Y15">
            <v>150000</v>
          </cell>
          <cell r="Z15"/>
          <cell r="AA15"/>
          <cell r="AB15"/>
          <cell r="AC15">
            <v>2500</v>
          </cell>
          <cell r="AD15"/>
          <cell r="AE15"/>
          <cell r="AF15"/>
          <cell r="AG15"/>
          <cell r="AH15"/>
          <cell r="AI15"/>
          <cell r="AJ15"/>
          <cell r="AK15">
            <v>100000</v>
          </cell>
          <cell r="AL15"/>
          <cell r="AM15"/>
          <cell r="AN15">
            <v>2000</v>
          </cell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297500</v>
          </cell>
          <cell r="AX15">
            <v>0</v>
          </cell>
          <cell r="AY15">
            <v>100000</v>
          </cell>
          <cell r="AZ15">
            <v>397500</v>
          </cell>
          <cell r="BA15"/>
          <cell r="BB15"/>
          <cell r="BC15">
            <v>0</v>
          </cell>
          <cell r="BD15">
            <v>397500</v>
          </cell>
          <cell r="BE15" t="str">
            <v>OK</v>
          </cell>
          <cell r="BF15">
            <v>0</v>
          </cell>
          <cell r="BG15">
            <v>5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5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342000</v>
          </cell>
          <cell r="E17">
            <v>0</v>
          </cell>
          <cell r="F17">
            <v>0</v>
          </cell>
          <cell r="G17">
            <v>14500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102500</v>
          </cell>
          <cell r="R17">
            <v>0</v>
          </cell>
          <cell r="S17"/>
          <cell r="T17"/>
          <cell r="U17">
            <v>342000</v>
          </cell>
          <cell r="V17"/>
          <cell r="W17"/>
          <cell r="X17"/>
          <cell r="Y17">
            <v>225000</v>
          </cell>
          <cell r="Z17">
            <v>500000</v>
          </cell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 t="str">
            <v>BANQUE</v>
          </cell>
          <cell r="AQ17">
            <v>0</v>
          </cell>
          <cell r="AR17">
            <v>0</v>
          </cell>
          <cell r="AS17">
            <v>39500</v>
          </cell>
          <cell r="AT17"/>
          <cell r="AV17"/>
          <cell r="AW17">
            <v>0</v>
          </cell>
          <cell r="AX17">
            <v>0</v>
          </cell>
          <cell r="AY17">
            <v>0</v>
          </cell>
          <cell r="AZ17">
            <v>485000</v>
          </cell>
          <cell r="BA17"/>
          <cell r="BB17"/>
          <cell r="BC17">
            <v>0</v>
          </cell>
          <cell r="BD17">
            <v>485000</v>
          </cell>
          <cell r="BE17" t="str">
            <v>OK</v>
          </cell>
          <cell r="BF17">
            <v>15000</v>
          </cell>
          <cell r="BG17">
            <v>3</v>
          </cell>
          <cell r="BH17"/>
          <cell r="BI17"/>
          <cell r="BJ17"/>
          <cell r="BK17"/>
          <cell r="BL17"/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-576000</v>
          </cell>
          <cell r="D18">
            <v>180000</v>
          </cell>
          <cell r="E18">
            <v>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106000</v>
          </cell>
          <cell r="S18">
            <v>500000</v>
          </cell>
          <cell r="T18"/>
          <cell r="U18">
            <v>756000</v>
          </cell>
          <cell r="V18"/>
          <cell r="W18"/>
          <cell r="X18"/>
          <cell r="Y18">
            <v>150000</v>
          </cell>
          <cell r="Z18">
            <v>500000</v>
          </cell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A18">
            <v>50000</v>
          </cell>
          <cell r="BB18"/>
          <cell r="BC18">
            <v>0</v>
          </cell>
          <cell r="BD18">
            <v>349000</v>
          </cell>
          <cell r="BE18" t="str">
            <v>OK</v>
          </cell>
          <cell r="BF18">
            <v>25000</v>
          </cell>
          <cell r="BG18">
            <v>5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1000</v>
          </cell>
          <cell r="D19">
            <v>376000</v>
          </cell>
          <cell r="E19">
            <v>0</v>
          </cell>
          <cell r="F19">
            <v>0</v>
          </cell>
          <cell r="G19">
            <v>9000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141000</v>
          </cell>
          <cell r="R19">
            <v>0</v>
          </cell>
          <cell r="S19"/>
          <cell r="T19"/>
          <cell r="U19">
            <v>375000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>
            <v>50000</v>
          </cell>
          <cell r="AK19">
            <v>79500</v>
          </cell>
          <cell r="AL19"/>
          <cell r="AM19">
            <v>1000</v>
          </cell>
          <cell r="AN19">
            <v>1500</v>
          </cell>
          <cell r="AO19"/>
          <cell r="AP19" t="str">
            <v>BANQUE</v>
          </cell>
          <cell r="AQ19">
            <v>0</v>
          </cell>
          <cell r="AR19">
            <v>0</v>
          </cell>
          <cell r="AS19">
            <v>34000</v>
          </cell>
          <cell r="AT19"/>
          <cell r="AV19"/>
          <cell r="AW19">
            <v>0</v>
          </cell>
          <cell r="AX19">
            <v>50000</v>
          </cell>
          <cell r="AY19">
            <v>79500</v>
          </cell>
          <cell r="AZ19">
            <v>129500</v>
          </cell>
          <cell r="BA19">
            <v>74500</v>
          </cell>
          <cell r="BB19"/>
          <cell r="BC19">
            <v>0</v>
          </cell>
          <cell r="BD19">
            <v>55000</v>
          </cell>
          <cell r="BE19" t="str">
            <v>OK</v>
          </cell>
          <cell r="BF19">
            <v>0</v>
          </cell>
          <cell r="BG19">
            <v>5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25000</v>
          </cell>
          <cell r="D20">
            <v>75000</v>
          </cell>
          <cell r="E20">
            <v>0</v>
          </cell>
          <cell r="F20">
            <v>0</v>
          </cell>
          <cell r="G20">
            <v>50000</v>
          </cell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/>
          <cell r="T20"/>
          <cell r="U20">
            <v>50000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5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25000</v>
          </cell>
          <cell r="D21">
            <v>75000</v>
          </cell>
          <cell r="E21">
            <v>0</v>
          </cell>
          <cell r="F21">
            <v>0</v>
          </cell>
          <cell r="G21"/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/>
          <cell r="T21"/>
          <cell r="U21">
            <v>50000</v>
          </cell>
          <cell r="V21"/>
          <cell r="W21"/>
          <cell r="X21"/>
          <cell r="Y21">
            <v>50000</v>
          </cell>
          <cell r="Z21"/>
          <cell r="AA21"/>
          <cell r="AB21"/>
          <cell r="AC21"/>
          <cell r="AD21"/>
          <cell r="AE21">
            <v>60000</v>
          </cell>
          <cell r="AF21"/>
          <cell r="AG21"/>
          <cell r="AH21"/>
          <cell r="AI21"/>
          <cell r="AJ21">
            <v>100000</v>
          </cell>
          <cell r="AK21">
            <v>100000</v>
          </cell>
          <cell r="AL21"/>
          <cell r="AM21">
            <v>2000</v>
          </cell>
          <cell r="AN21">
            <v>4500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100000</v>
          </cell>
          <cell r="BB21"/>
          <cell r="BC21">
            <v>0</v>
          </cell>
          <cell r="BD21">
            <v>0</v>
          </cell>
          <cell r="BE21" t="str">
            <v>OK</v>
          </cell>
          <cell r="BF21">
            <v>0</v>
          </cell>
          <cell r="BG21">
            <v>5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-101500</v>
          </cell>
          <cell r="D22">
            <v>530000</v>
          </cell>
          <cell r="E22">
            <v>0</v>
          </cell>
          <cell r="F22">
            <v>0</v>
          </cell>
          <cell r="G22"/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204500</v>
          </cell>
          <cell r="S22"/>
          <cell r="T22"/>
          <cell r="U22">
            <v>631500</v>
          </cell>
          <cell r="V22"/>
          <cell r="W22"/>
          <cell r="X22"/>
          <cell r="Y22">
            <v>325000</v>
          </cell>
          <cell r="Z22"/>
          <cell r="AA22"/>
          <cell r="AB22"/>
          <cell r="AC22"/>
          <cell r="AD22"/>
          <cell r="AE22">
            <v>60000</v>
          </cell>
          <cell r="AF22"/>
          <cell r="AG22"/>
          <cell r="AH22"/>
          <cell r="AI22"/>
          <cell r="AJ22">
            <v>100000</v>
          </cell>
          <cell r="AK22">
            <v>100000</v>
          </cell>
          <cell r="AL22"/>
          <cell r="AM22">
            <v>2000</v>
          </cell>
          <cell r="AN22">
            <v>4500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0</v>
          </cell>
          <cell r="AX22">
            <v>100000</v>
          </cell>
          <cell r="AY22">
            <v>1240000</v>
          </cell>
          <cell r="AZ22">
            <v>1340000</v>
          </cell>
          <cell r="BA22">
            <v>100000</v>
          </cell>
          <cell r="BB22"/>
          <cell r="BC22">
            <v>0</v>
          </cell>
          <cell r="BD22">
            <v>1040000</v>
          </cell>
          <cell r="BE22" t="str">
            <v>OK</v>
          </cell>
          <cell r="BF22">
            <v>0</v>
          </cell>
          <cell r="BG22">
            <v>5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/>
          <cell r="BF23">
            <v>0</v>
          </cell>
          <cell r="BG23">
            <v>5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>
            <v>2500</v>
          </cell>
          <cell r="AD24"/>
          <cell r="AE24"/>
          <cell r="AF24"/>
          <cell r="AG24"/>
          <cell r="AH24"/>
          <cell r="AI24"/>
          <cell r="AJ24"/>
          <cell r="AK24">
            <v>200000</v>
          </cell>
          <cell r="AL24"/>
          <cell r="AM24"/>
          <cell r="AN24">
            <v>6000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/>
          <cell r="BB24"/>
          <cell r="BC24">
            <v>0</v>
          </cell>
          <cell r="BD24">
            <v>0</v>
          </cell>
          <cell r="BE24" t="str">
            <v>OK</v>
          </cell>
          <cell r="BF24">
            <v>0</v>
          </cell>
          <cell r="BG24">
            <v>5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15000</v>
          </cell>
          <cell r="D25">
            <v>481500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206500</v>
          </cell>
          <cell r="S25"/>
          <cell r="T25"/>
          <cell r="U25">
            <v>466500</v>
          </cell>
          <cell r="V25"/>
          <cell r="W25"/>
          <cell r="X25"/>
          <cell r="Y25">
            <v>250000</v>
          </cell>
          <cell r="Z25"/>
          <cell r="AA25"/>
          <cell r="AB25"/>
          <cell r="AC25">
            <v>2500</v>
          </cell>
          <cell r="AD25"/>
          <cell r="AE25"/>
          <cell r="AF25"/>
          <cell r="AG25"/>
          <cell r="AH25"/>
          <cell r="AI25"/>
          <cell r="AJ25">
            <v>121500</v>
          </cell>
          <cell r="AK25">
            <v>200000</v>
          </cell>
          <cell r="AL25"/>
          <cell r="AM25"/>
          <cell r="AN25">
            <v>6000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297500</v>
          </cell>
          <cell r="AX25">
            <v>0</v>
          </cell>
          <cell r="AY25">
            <v>200000</v>
          </cell>
          <cell r="AZ25">
            <v>497500</v>
          </cell>
          <cell r="BA25"/>
          <cell r="BB25"/>
          <cell r="BC25">
            <v>0</v>
          </cell>
          <cell r="BD25">
            <v>497500</v>
          </cell>
          <cell r="BE25" t="str">
            <v>OK</v>
          </cell>
          <cell r="BF25">
            <v>15000</v>
          </cell>
          <cell r="BG25">
            <v>5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-261625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125125</v>
          </cell>
          <cell r="R26">
            <v>136500</v>
          </cell>
          <cell r="S26"/>
          <cell r="T26"/>
          <cell r="U26">
            <v>501625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>
            <v>121500</v>
          </cell>
          <cell r="AK26">
            <v>200000</v>
          </cell>
          <cell r="AL26"/>
          <cell r="AM26"/>
          <cell r="AN26">
            <v>3500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121500</v>
          </cell>
          <cell r="AY26">
            <v>0</v>
          </cell>
          <cell r="AZ26">
            <v>121500</v>
          </cell>
          <cell r="BA26"/>
          <cell r="BB26"/>
          <cell r="BC26">
            <v>0</v>
          </cell>
          <cell r="BD26">
            <v>0</v>
          </cell>
          <cell r="BE26" t="str">
            <v>OK</v>
          </cell>
          <cell r="BF26">
            <v>0</v>
          </cell>
          <cell r="BG26">
            <v>5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343000</v>
          </cell>
          <cell r="E27">
            <v>0</v>
          </cell>
          <cell r="F27">
            <v>0</v>
          </cell>
          <cell r="G27">
            <v>-10000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103000</v>
          </cell>
          <cell r="S27"/>
          <cell r="T27"/>
          <cell r="U27">
            <v>343000</v>
          </cell>
          <cell r="V27"/>
          <cell r="W27"/>
          <cell r="X27"/>
          <cell r="Y27">
            <v>250000</v>
          </cell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>
            <v>200000</v>
          </cell>
          <cell r="AL27"/>
          <cell r="AM27"/>
          <cell r="AN27">
            <v>3500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15000</v>
          </cell>
          <cell r="AT27"/>
          <cell r="AV27"/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/>
          <cell r="BB27"/>
          <cell r="BC27">
            <v>0</v>
          </cell>
          <cell r="BD27">
            <v>200000</v>
          </cell>
          <cell r="BE27" t="str">
            <v>OK</v>
          </cell>
          <cell r="BF27">
            <v>0</v>
          </cell>
          <cell r="BG27">
            <v>5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/>
          <cell r="T28"/>
          <cell r="U28">
            <v>50000</v>
          </cell>
          <cell r="V28"/>
          <cell r="W28"/>
          <cell r="X28"/>
          <cell r="Y28">
            <v>50000</v>
          </cell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/>
          <cell r="BB28"/>
          <cell r="BC28">
            <v>0</v>
          </cell>
          <cell r="BD28">
            <v>0</v>
          </cell>
          <cell r="BE28"/>
          <cell r="BF28">
            <v>0</v>
          </cell>
          <cell r="BG28">
            <v>5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5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>
            <v>59000</v>
          </cell>
          <cell r="AJ30"/>
          <cell r="AK30"/>
          <cell r="AL30"/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5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/>
          <cell r="T31"/>
          <cell r="U31">
            <v>109000</v>
          </cell>
          <cell r="V31"/>
          <cell r="W31"/>
          <cell r="X31"/>
          <cell r="Y31">
            <v>50000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>
            <v>59000</v>
          </cell>
          <cell r="AJ31"/>
          <cell r="AK31"/>
          <cell r="AL31"/>
          <cell r="AM31"/>
          <cell r="AN31"/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A31"/>
          <cell r="BB31"/>
          <cell r="BC31">
            <v>0</v>
          </cell>
          <cell r="BD31">
            <v>59000</v>
          </cell>
          <cell r="BE31"/>
          <cell r="BF31">
            <v>0</v>
          </cell>
          <cell r="BG31">
            <v>5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G32">
            <v>-3000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>
            <v>250000</v>
          </cell>
          <cell r="V32"/>
          <cell r="W32"/>
          <cell r="X32"/>
          <cell r="Y32">
            <v>250000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/>
          <cell r="BB32"/>
          <cell r="BC32">
            <v>0</v>
          </cell>
          <cell r="BD32">
            <v>0</v>
          </cell>
          <cell r="BE32"/>
          <cell r="BF32">
            <v>0</v>
          </cell>
          <cell r="BG32">
            <v>5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3000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>
            <v>30000</v>
          </cell>
          <cell r="AJ33"/>
          <cell r="AK33"/>
          <cell r="AL33">
            <v>500</v>
          </cell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22000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 t="str">
            <v>OK</v>
          </cell>
          <cell r="BF33">
            <v>0</v>
          </cell>
          <cell r="BG33">
            <v>5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25000</v>
          </cell>
          <cell r="D34">
            <v>175000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>
            <v>1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>
            <v>150000</v>
          </cell>
          <cell r="V34"/>
          <cell r="W34"/>
          <cell r="X34"/>
          <cell r="Y34">
            <v>150000</v>
          </cell>
          <cell r="Z34"/>
          <cell r="AA34"/>
          <cell r="AB34"/>
          <cell r="AC34"/>
          <cell r="AD34">
            <v>7500</v>
          </cell>
          <cell r="AE34"/>
          <cell r="AF34"/>
          <cell r="AG34"/>
          <cell r="AH34"/>
          <cell r="AI34">
            <v>30000</v>
          </cell>
          <cell r="AJ34">
            <v>100000</v>
          </cell>
          <cell r="AK34"/>
          <cell r="AL34">
            <v>500</v>
          </cell>
          <cell r="AM34">
            <v>2000</v>
          </cell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25000</v>
          </cell>
          <cell r="AT34"/>
          <cell r="AV34"/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>
            <v>50000</v>
          </cell>
          <cell r="BB34"/>
          <cell r="BC34">
            <v>0</v>
          </cell>
          <cell r="BD34">
            <v>30000</v>
          </cell>
          <cell r="BE34" t="str">
            <v>OK</v>
          </cell>
          <cell r="BF34">
            <v>0</v>
          </cell>
          <cell r="BG34">
            <v>5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S35"/>
          <cell r="T35"/>
          <cell r="U35">
            <v>227000</v>
          </cell>
          <cell r="V35"/>
          <cell r="W35"/>
          <cell r="X35"/>
          <cell r="Y35">
            <v>125000</v>
          </cell>
          <cell r="Z35"/>
          <cell r="AA35"/>
          <cell r="AB35"/>
          <cell r="AC35">
            <v>2500</v>
          </cell>
          <cell r="AD35">
            <v>7500</v>
          </cell>
          <cell r="AE35">
            <v>65000</v>
          </cell>
          <cell r="AF35"/>
          <cell r="AG35"/>
          <cell r="AH35"/>
          <cell r="AI35"/>
          <cell r="AJ35">
            <v>100000</v>
          </cell>
          <cell r="AK35"/>
          <cell r="AL35"/>
          <cell r="AM35">
            <v>2000</v>
          </cell>
          <cell r="AN35"/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992500</v>
          </cell>
          <cell r="AY35">
            <v>0</v>
          </cell>
          <cell r="AZ35">
            <v>992500</v>
          </cell>
          <cell r="BA35">
            <v>50000</v>
          </cell>
          <cell r="BB35"/>
          <cell r="BC35">
            <v>0</v>
          </cell>
          <cell r="BD35">
            <v>942500</v>
          </cell>
          <cell r="BE35" t="str">
            <v>OK</v>
          </cell>
          <cell r="BF35">
            <v>0</v>
          </cell>
          <cell r="BG35">
            <v>5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>
            <v>2500</v>
          </cell>
          <cell r="AD36"/>
          <cell r="AE36">
            <v>65000</v>
          </cell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297500</v>
          </cell>
          <cell r="AX36">
            <v>0</v>
          </cell>
          <cell r="AY36">
            <v>1135000</v>
          </cell>
          <cell r="AZ36">
            <v>1432500</v>
          </cell>
          <cell r="BA36"/>
          <cell r="BB36"/>
          <cell r="BC36">
            <v>0</v>
          </cell>
          <cell r="BD36">
            <v>1432500</v>
          </cell>
          <cell r="BE36" t="str">
            <v>OK</v>
          </cell>
          <cell r="BF36">
            <v>0</v>
          </cell>
          <cell r="BG36">
            <v>5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/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5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53000</v>
          </cell>
          <cell r="F38">
            <v>0</v>
          </cell>
          <cell r="G38"/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53000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0</v>
          </cell>
          <cell r="AR38">
            <v>0</v>
          </cell>
          <cell r="AS38">
            <v>25000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5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/>
          <cell r="T39"/>
          <cell r="U39">
            <v>125000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/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5</v>
          </cell>
          <cell r="BH39"/>
          <cell r="BI39"/>
          <cell r="BJ39"/>
          <cell r="BK39"/>
          <cell r="BL39"/>
          <cell r="BO39" t="str">
            <v>BOISSON DALLE</v>
          </cell>
          <cell r="BP39" t="str">
            <v>COLLATION</v>
          </cell>
          <cell r="BQ39">
            <v>70000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G40"/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5</v>
          </cell>
          <cell r="BH40"/>
          <cell r="BI40"/>
          <cell r="BJ40"/>
          <cell r="BK40"/>
          <cell r="BL40"/>
          <cell r="BO40" t="str">
            <v>BOISSON DALLE</v>
          </cell>
          <cell r="BP40" t="str">
            <v>COLLATION</v>
          </cell>
          <cell r="BQ40">
            <v>70000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G41"/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250000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/>
          <cell r="BF41">
            <v>0</v>
          </cell>
          <cell r="BG41">
            <v>5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5</v>
          </cell>
        </row>
        <row r="43">
          <cell r="B43" t="str">
            <v>LOWE</v>
          </cell>
          <cell r="C43">
            <v>-527625</v>
          </cell>
          <cell r="D43">
            <v>6076000</v>
          </cell>
          <cell r="E43">
            <v>50000</v>
          </cell>
          <cell r="F43">
            <v>0</v>
          </cell>
          <cell r="G43">
            <v>49000</v>
          </cell>
          <cell r="H43">
            <v>6000</v>
          </cell>
          <cell r="I43">
            <v>0</v>
          </cell>
          <cell r="J43">
            <v>35</v>
          </cell>
          <cell r="K43">
            <v>1750000</v>
          </cell>
          <cell r="L43">
            <v>13</v>
          </cell>
          <cell r="M43">
            <v>975000</v>
          </cell>
          <cell r="N43">
            <v>24</v>
          </cell>
          <cell r="O43">
            <v>2400000</v>
          </cell>
          <cell r="P43">
            <v>162500</v>
          </cell>
          <cell r="Q43">
            <v>572625</v>
          </cell>
          <cell r="R43">
            <v>1167000</v>
          </cell>
          <cell r="S43">
            <v>0</v>
          </cell>
          <cell r="T43"/>
          <cell r="U43">
            <v>7082125</v>
          </cell>
          <cell r="V43">
            <v>0</v>
          </cell>
          <cell r="W43">
            <v>0</v>
          </cell>
          <cell r="X43">
            <v>0</v>
          </cell>
          <cell r="Y43">
            <v>5125000</v>
          </cell>
          <cell r="Z43">
            <v>1000000</v>
          </cell>
          <cell r="AA43">
            <v>0</v>
          </cell>
          <cell r="AB43"/>
          <cell r="AC43">
            <v>7500</v>
          </cell>
          <cell r="AD43">
            <v>7500</v>
          </cell>
          <cell r="AE43">
            <v>125000</v>
          </cell>
          <cell r="AF43">
            <v>0</v>
          </cell>
          <cell r="AG43">
            <v>0</v>
          </cell>
          <cell r="AH43"/>
          <cell r="AI43">
            <v>145000</v>
          </cell>
          <cell r="AJ43">
            <v>371500</v>
          </cell>
          <cell r="AK43">
            <v>1079500</v>
          </cell>
          <cell r="AL43">
            <v>1500</v>
          </cell>
          <cell r="AM43">
            <v>5000</v>
          </cell>
          <cell r="AN43">
            <v>27500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924000</v>
          </cell>
          <cell r="AT43">
            <v>0</v>
          </cell>
          <cell r="AU43">
            <v>0</v>
          </cell>
          <cell r="AV43">
            <v>0</v>
          </cell>
          <cell r="AW43">
            <v>1037500</v>
          </cell>
          <cell r="AX43">
            <v>1264000</v>
          </cell>
          <cell r="AY43">
            <v>3354500</v>
          </cell>
          <cell r="AZ43">
            <v>6792000</v>
          </cell>
          <cell r="BA43">
            <v>524500</v>
          </cell>
          <cell r="BB43">
            <v>0</v>
          </cell>
          <cell r="BC43">
            <v>0</v>
          </cell>
          <cell r="BD43">
            <v>5870000</v>
          </cell>
          <cell r="BE43">
            <v>0</v>
          </cell>
          <cell r="BF43">
            <v>55000</v>
          </cell>
          <cell r="BH43">
            <v>6000</v>
          </cell>
          <cell r="BI43">
            <v>0</v>
          </cell>
          <cell r="BJ43">
            <v>0</v>
          </cell>
          <cell r="BK43">
            <v>170000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70000</v>
          </cell>
        </row>
        <row r="44">
          <cell r="B44" t="str">
            <v>TOTAUX</v>
          </cell>
          <cell r="C44">
            <v>-1027625</v>
          </cell>
          <cell r="D44">
            <v>6076000</v>
          </cell>
          <cell r="E44">
            <v>525500</v>
          </cell>
          <cell r="F44">
            <v>0</v>
          </cell>
          <cell r="G44">
            <v>99000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162500</v>
          </cell>
          <cell r="Q44">
            <v>572625</v>
          </cell>
          <cell r="R44">
            <v>1167000</v>
          </cell>
          <cell r="S44">
            <v>500000</v>
          </cell>
          <cell r="U44">
            <v>7582125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7500</v>
          </cell>
          <cell r="AD44">
            <v>7500</v>
          </cell>
          <cell r="AE44">
            <v>125000</v>
          </cell>
          <cell r="AF44">
            <v>0</v>
          </cell>
          <cell r="AG44">
            <v>0</v>
          </cell>
          <cell r="AI44">
            <v>145000</v>
          </cell>
          <cell r="AJ44">
            <v>371500</v>
          </cell>
          <cell r="AK44">
            <v>1079500</v>
          </cell>
          <cell r="AL44">
            <v>1500</v>
          </cell>
          <cell r="AM44">
            <v>5000</v>
          </cell>
          <cell r="AN44">
            <v>27500</v>
          </cell>
          <cell r="AO44">
            <v>0</v>
          </cell>
          <cell r="AQ44">
            <v>0</v>
          </cell>
          <cell r="AR44">
            <v>0</v>
          </cell>
          <cell r="AS44">
            <v>924000</v>
          </cell>
          <cell r="AT44">
            <v>0</v>
          </cell>
          <cell r="AU44">
            <v>0</v>
          </cell>
          <cell r="AV44">
            <v>0</v>
          </cell>
          <cell r="AW44">
            <v>1037500</v>
          </cell>
          <cell r="AX44">
            <v>1264000</v>
          </cell>
          <cell r="AY44">
            <v>3354500</v>
          </cell>
          <cell r="AZ44">
            <v>6792000</v>
          </cell>
          <cell r="BA44">
            <v>524500</v>
          </cell>
          <cell r="BB44">
            <v>0</v>
          </cell>
          <cell r="BC44">
            <v>0</v>
          </cell>
          <cell r="BD44">
            <v>5870000</v>
          </cell>
          <cell r="BE44">
            <v>0</v>
          </cell>
          <cell r="BF44">
            <v>55000</v>
          </cell>
          <cell r="BH44">
            <v>6000</v>
          </cell>
          <cell r="BI44">
            <v>0</v>
          </cell>
          <cell r="BJ44">
            <v>0</v>
          </cell>
          <cell r="BK44">
            <v>170000</v>
          </cell>
          <cell r="BL44">
            <v>0</v>
          </cell>
          <cell r="BM44">
            <v>0</v>
          </cell>
          <cell r="BO44" t="str">
            <v>S/TOTAL</v>
          </cell>
          <cell r="BQ44">
            <v>70000</v>
          </cell>
        </row>
        <row r="45">
          <cell r="Z45"/>
          <cell r="AW45"/>
          <cell r="AX45"/>
          <cell r="AY45"/>
          <cell r="AZ45"/>
          <cell r="BA45">
            <v>525500</v>
          </cell>
          <cell r="BB45" t="str">
            <v>ESPECES EN CAISSE</v>
          </cell>
          <cell r="BD45">
            <v>5911000</v>
          </cell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525500</v>
          </cell>
          <cell r="BB46" t="str">
            <v>ESPECES EN CAISSE</v>
          </cell>
          <cell r="BD46">
            <v>5911000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1000</v>
          </cell>
          <cell r="BD47">
            <v>41000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5870000</v>
          </cell>
          <cell r="D49">
            <v>6076000</v>
          </cell>
          <cell r="E49">
            <v>-206000</v>
          </cell>
          <cell r="F49"/>
          <cell r="G49">
            <v>525500</v>
          </cell>
          <cell r="H49">
            <v>524500</v>
          </cell>
          <cell r="I49">
            <v>1000</v>
          </cell>
          <cell r="J49"/>
        </row>
        <row r="50">
          <cell r="B50" t="str">
            <v>OPERATIONS DU JOUR</v>
          </cell>
          <cell r="C50">
            <v>5870000</v>
          </cell>
          <cell r="D50">
            <v>6076000</v>
          </cell>
          <cell r="E50">
            <v>-206000</v>
          </cell>
          <cell r="G50">
            <v>525500</v>
          </cell>
          <cell r="H50">
            <v>524500</v>
          </cell>
          <cell r="I50">
            <v>1000</v>
          </cell>
          <cell r="BO50" t="str">
            <v>FOYER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666000</v>
          </cell>
          <cell r="BA6">
            <v>106000</v>
          </cell>
          <cell r="BB6"/>
          <cell r="BC6">
            <v>0</v>
          </cell>
          <cell r="BD6">
            <v>560000</v>
          </cell>
          <cell r="BE6"/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660000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>
            <v>2500</v>
          </cell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297500</v>
          </cell>
          <cell r="AX7">
            <v>0</v>
          </cell>
          <cell r="AY7">
            <v>0</v>
          </cell>
          <cell r="AZ7">
            <v>297500</v>
          </cell>
          <cell r="BA7"/>
          <cell r="BB7"/>
          <cell r="BC7">
            <v>0</v>
          </cell>
          <cell r="BD7">
            <v>297500</v>
          </cell>
          <cell r="BE7"/>
          <cell r="BF7">
            <v>0</v>
          </cell>
          <cell r="BG7">
            <v>4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/>
          <cell r="T8"/>
          <cell r="U8">
            <v>125000</v>
          </cell>
          <cell r="V8"/>
          <cell r="W8"/>
          <cell r="X8"/>
          <cell r="Y8">
            <v>125000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/>
          <cell r="BB8"/>
          <cell r="BC8">
            <v>0</v>
          </cell>
          <cell r="BD8">
            <v>0</v>
          </cell>
          <cell r="BE8"/>
          <cell r="BF8">
            <v>0</v>
          </cell>
          <cell r="BG8">
            <v>4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453500</v>
          </cell>
          <cell r="F9">
            <v>0</v>
          </cell>
          <cell r="G9"/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203500</v>
          </cell>
          <cell r="S9"/>
          <cell r="T9"/>
          <cell r="U9">
            <v>453500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>
            <v>10000</v>
          </cell>
          <cell r="AF9"/>
          <cell r="AG9"/>
          <cell r="AH9"/>
          <cell r="AI9">
            <v>30000</v>
          </cell>
          <cell r="AJ9"/>
          <cell r="AK9">
            <v>100000</v>
          </cell>
          <cell r="AL9">
            <v>500</v>
          </cell>
          <cell r="AM9"/>
          <cell r="AN9">
            <v>1500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30000</v>
          </cell>
          <cell r="AX9">
            <v>0</v>
          </cell>
          <cell r="AY9">
            <v>1290000</v>
          </cell>
          <cell r="AZ9">
            <v>1320000</v>
          </cell>
          <cell r="BA9"/>
          <cell r="BB9"/>
          <cell r="BC9">
            <v>0</v>
          </cell>
          <cell r="BD9">
            <v>1320000</v>
          </cell>
          <cell r="BE9"/>
          <cell r="BF9">
            <v>0</v>
          </cell>
          <cell r="BG9">
            <v>4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77000</v>
          </cell>
          <cell r="E10">
            <v>0</v>
          </cell>
          <cell r="F10">
            <v>0</v>
          </cell>
          <cell r="G10">
            <v>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26500</v>
          </cell>
          <cell r="Q10">
            <v>0</v>
          </cell>
          <cell r="R10">
            <v>0</v>
          </cell>
          <cell r="S10"/>
          <cell r="T10"/>
          <cell r="U10">
            <v>77000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60000</v>
          </cell>
          <cell r="AJ10"/>
          <cell r="AK10"/>
          <cell r="AL10">
            <v>1000</v>
          </cell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25500</v>
          </cell>
          <cell r="AT10"/>
          <cell r="AV10"/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B10"/>
          <cell r="BC10">
            <v>0</v>
          </cell>
          <cell r="BD10">
            <v>0</v>
          </cell>
          <cell r="BE10"/>
          <cell r="BF10">
            <v>0</v>
          </cell>
          <cell r="BG10">
            <v>4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400000</v>
          </cell>
          <cell r="E11">
            <v>0</v>
          </cell>
          <cell r="F11">
            <v>0</v>
          </cell>
          <cell r="G11">
            <v>250000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/>
          <cell r="T11"/>
          <cell r="U11">
            <v>400000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0</v>
          </cell>
          <cell r="AR11">
            <v>0</v>
          </cell>
          <cell r="AS11">
            <v>275000</v>
          </cell>
          <cell r="AT11"/>
          <cell r="AV11"/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/>
          <cell r="BB11"/>
          <cell r="BC11">
            <v>0</v>
          </cell>
          <cell r="BD11">
            <v>0</v>
          </cell>
          <cell r="BE11"/>
          <cell r="BF11">
            <v>0</v>
          </cell>
          <cell r="BG11">
            <v>4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-970000</v>
          </cell>
          <cell r="D12">
            <v>529500</v>
          </cell>
          <cell r="E12">
            <v>0</v>
          </cell>
          <cell r="F12">
            <v>0</v>
          </cell>
          <cell r="G12">
            <v>12500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30500</v>
          </cell>
          <cell r="Q12">
            <v>0</v>
          </cell>
          <cell r="R12">
            <v>206500</v>
          </cell>
          <cell r="S12">
            <v>1000000</v>
          </cell>
          <cell r="T12"/>
          <cell r="U12">
            <v>1499500</v>
          </cell>
          <cell r="V12"/>
          <cell r="W12"/>
          <cell r="X12"/>
          <cell r="Y12">
            <v>250000</v>
          </cell>
          <cell r="Z12">
            <v>1000000</v>
          </cell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>
            <v>100000</v>
          </cell>
          <cell r="AL12"/>
          <cell r="AM12"/>
          <cell r="AN12">
            <v>1000</v>
          </cell>
          <cell r="AO12"/>
          <cell r="AP12" t="str">
            <v>BANQUE</v>
          </cell>
          <cell r="AQ12">
            <v>0</v>
          </cell>
          <cell r="AR12">
            <v>0</v>
          </cell>
          <cell r="AS12">
            <v>37500</v>
          </cell>
          <cell r="AT12"/>
          <cell r="AV12"/>
          <cell r="AW12">
            <v>0</v>
          </cell>
          <cell r="AX12">
            <v>0</v>
          </cell>
          <cell r="AY12">
            <v>100000</v>
          </cell>
          <cell r="AZ12">
            <v>1100000</v>
          </cell>
          <cell r="BA12"/>
          <cell r="BB12"/>
          <cell r="BC12">
            <v>0</v>
          </cell>
          <cell r="BD12">
            <v>1100000</v>
          </cell>
          <cell r="BE12"/>
          <cell r="BF12">
            <v>30000</v>
          </cell>
          <cell r="BG12">
            <v>3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4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4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251000</v>
          </cell>
          <cell r="E15">
            <v>0</v>
          </cell>
          <cell r="F15">
            <v>0</v>
          </cell>
          <cell r="G15">
            <v>-1000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102000</v>
          </cell>
          <cell r="S15"/>
          <cell r="T15"/>
          <cell r="U15">
            <v>251000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 t="str">
            <v>BANQUE</v>
          </cell>
          <cell r="AQ15">
            <v>0</v>
          </cell>
          <cell r="AR15">
            <v>0</v>
          </cell>
          <cell r="AS15">
            <v>24000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4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>
            <v>3500</v>
          </cell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296500</v>
          </cell>
          <cell r="AX16">
            <v>0</v>
          </cell>
          <cell r="AY16">
            <v>0</v>
          </cell>
          <cell r="AZ16">
            <v>296500</v>
          </cell>
          <cell r="BA16"/>
          <cell r="BB16"/>
          <cell r="BC16">
            <v>0</v>
          </cell>
          <cell r="BD16">
            <v>296500</v>
          </cell>
          <cell r="BE16"/>
          <cell r="BF16">
            <v>0</v>
          </cell>
          <cell r="BG16">
            <v>4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-100000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S17">
            <v>100000</v>
          </cell>
          <cell r="T17" t="str">
            <v>BANQUE</v>
          </cell>
          <cell r="U17">
            <v>350000</v>
          </cell>
          <cell r="V17"/>
          <cell r="W17"/>
          <cell r="X17"/>
          <cell r="Y17">
            <v>225000</v>
          </cell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>
            <v>232000</v>
          </cell>
          <cell r="AL17"/>
          <cell r="AM17"/>
          <cell r="AN17">
            <v>2000</v>
          </cell>
          <cell r="AO17"/>
          <cell r="AP17"/>
          <cell r="AQ17">
            <v>0</v>
          </cell>
          <cell r="AR17">
            <v>0</v>
          </cell>
          <cell r="AS17">
            <v>50000</v>
          </cell>
          <cell r="AT17"/>
          <cell r="AV17"/>
          <cell r="AW17">
            <v>0</v>
          </cell>
          <cell r="AX17">
            <v>0</v>
          </cell>
          <cell r="AY17">
            <v>232000</v>
          </cell>
          <cell r="AZ17">
            <v>232000</v>
          </cell>
          <cell r="BA17">
            <v>132000</v>
          </cell>
          <cell r="BB17"/>
          <cell r="BC17">
            <v>0</v>
          </cell>
          <cell r="BD17">
            <v>100000</v>
          </cell>
          <cell r="BE17"/>
          <cell r="BF17">
            <v>0</v>
          </cell>
          <cell r="BG17">
            <v>4</v>
          </cell>
          <cell r="BH17"/>
          <cell r="BI17"/>
          <cell r="BJ17"/>
          <cell r="BK17"/>
          <cell r="BL17"/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/>
          <cell r="T18"/>
          <cell r="U18">
            <v>150000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/>
          <cell r="BB18"/>
          <cell r="BC18">
            <v>0</v>
          </cell>
          <cell r="BD18">
            <v>0</v>
          </cell>
          <cell r="BE18"/>
          <cell r="BF18">
            <v>0</v>
          </cell>
          <cell r="BG18">
            <v>4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370000</v>
          </cell>
          <cell r="E19">
            <v>0</v>
          </cell>
          <cell r="F19">
            <v>0</v>
          </cell>
          <cell r="G19">
            <v>13000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51000</v>
          </cell>
          <cell r="R19">
            <v>81000</v>
          </cell>
          <cell r="S19"/>
          <cell r="T19"/>
          <cell r="U19">
            <v>370000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>
            <v>30000</v>
          </cell>
          <cell r="AJ19">
            <v>200000</v>
          </cell>
          <cell r="AK19">
            <v>200000</v>
          </cell>
          <cell r="AL19">
            <v>500</v>
          </cell>
          <cell r="AM19">
            <v>3000</v>
          </cell>
          <cell r="AN19">
            <v>3000</v>
          </cell>
          <cell r="AO19"/>
          <cell r="AP19" t="str">
            <v>BANQUE</v>
          </cell>
          <cell r="AQ19">
            <v>0</v>
          </cell>
          <cell r="AR19">
            <v>0</v>
          </cell>
          <cell r="AS19">
            <v>38000</v>
          </cell>
          <cell r="AT19"/>
          <cell r="AV19"/>
          <cell r="AW19">
            <v>30000</v>
          </cell>
          <cell r="AX19">
            <v>200000</v>
          </cell>
          <cell r="AY19">
            <v>200000</v>
          </cell>
          <cell r="AZ19">
            <v>430000</v>
          </cell>
          <cell r="BA19">
            <v>430000</v>
          </cell>
          <cell r="BB19"/>
          <cell r="BC19">
            <v>0</v>
          </cell>
          <cell r="BD19">
            <v>0</v>
          </cell>
          <cell r="BE19"/>
          <cell r="BF19">
            <v>0</v>
          </cell>
          <cell r="BG19">
            <v>4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50000</v>
          </cell>
          <cell r="E20">
            <v>0</v>
          </cell>
          <cell r="F20">
            <v>0</v>
          </cell>
          <cell r="G20">
            <v>50000</v>
          </cell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/>
          <cell r="T20"/>
          <cell r="U20">
            <v>50000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4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3000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/>
          <cell r="T21"/>
          <cell r="U21">
            <v>50000</v>
          </cell>
          <cell r="V21"/>
          <cell r="W21"/>
          <cell r="X21"/>
          <cell r="Y21">
            <v>50000</v>
          </cell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>
            <v>200000</v>
          </cell>
          <cell r="AK21">
            <v>200000</v>
          </cell>
          <cell r="AL21"/>
          <cell r="AM21">
            <v>2000</v>
          </cell>
          <cell r="AN21">
            <v>2000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/>
          <cell r="BB21"/>
          <cell r="BC21">
            <v>0</v>
          </cell>
          <cell r="BD21">
            <v>0</v>
          </cell>
          <cell r="BE21"/>
          <cell r="BF21">
            <v>0</v>
          </cell>
          <cell r="BG21">
            <v>4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100000</v>
          </cell>
          <cell r="D22">
            <v>634500</v>
          </cell>
          <cell r="E22">
            <v>0</v>
          </cell>
          <cell r="F22">
            <v>0</v>
          </cell>
          <cell r="G22">
            <v>3000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102000</v>
          </cell>
          <cell r="R22">
            <v>104500</v>
          </cell>
          <cell r="S22"/>
          <cell r="T22"/>
          <cell r="U22">
            <v>534500</v>
          </cell>
          <cell r="V22"/>
          <cell r="W22"/>
          <cell r="X22"/>
          <cell r="Y22">
            <v>325000</v>
          </cell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>
            <v>200000</v>
          </cell>
          <cell r="AK22">
            <v>200000</v>
          </cell>
          <cell r="AL22"/>
          <cell r="AM22">
            <v>2000</v>
          </cell>
          <cell r="AN22">
            <v>2000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28000</v>
          </cell>
          <cell r="AT22"/>
          <cell r="AV22"/>
          <cell r="AW22">
            <v>0</v>
          </cell>
          <cell r="AX22">
            <v>200000</v>
          </cell>
          <cell r="AY22">
            <v>200000</v>
          </cell>
          <cell r="AZ22">
            <v>400000</v>
          </cell>
          <cell r="BA22"/>
          <cell r="BB22"/>
          <cell r="BC22">
            <v>0</v>
          </cell>
          <cell r="BD22">
            <v>400000</v>
          </cell>
          <cell r="BE22"/>
          <cell r="BF22">
            <v>0</v>
          </cell>
          <cell r="BG22">
            <v>4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/>
          <cell r="BF23">
            <v>0</v>
          </cell>
          <cell r="BG23">
            <v>4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>
            <v>200000</v>
          </cell>
          <cell r="AL24"/>
          <cell r="AM24"/>
          <cell r="AN24">
            <v>2000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/>
          <cell r="BB24"/>
          <cell r="BC24">
            <v>0</v>
          </cell>
          <cell r="BD24">
            <v>0</v>
          </cell>
          <cell r="BE24"/>
          <cell r="BF24">
            <v>0</v>
          </cell>
          <cell r="BG24">
            <v>4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466000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206000</v>
          </cell>
          <cell r="S25"/>
          <cell r="T25"/>
          <cell r="U25">
            <v>466000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>
            <v>15000</v>
          </cell>
          <cell r="AE25"/>
          <cell r="AF25"/>
          <cell r="AG25"/>
          <cell r="AH25"/>
          <cell r="AI25"/>
          <cell r="AJ25">
            <v>51500</v>
          </cell>
          <cell r="AK25">
            <v>200000</v>
          </cell>
          <cell r="AL25"/>
          <cell r="AM25">
            <v>1000</v>
          </cell>
          <cell r="AN25">
            <v>2000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A25"/>
          <cell r="BB25"/>
          <cell r="BC25">
            <v>0</v>
          </cell>
          <cell r="BD25">
            <v>200000</v>
          </cell>
          <cell r="BE25"/>
          <cell r="BF25">
            <v>0</v>
          </cell>
          <cell r="BG25">
            <v>4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4000</v>
          </cell>
          <cell r="D26">
            <v>365000</v>
          </cell>
          <cell r="E26">
            <v>0</v>
          </cell>
          <cell r="F26">
            <v>0</v>
          </cell>
          <cell r="G26">
            <v>14500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121500</v>
          </cell>
          <cell r="R26">
            <v>0</v>
          </cell>
          <cell r="S26"/>
          <cell r="T26"/>
          <cell r="U26">
            <v>361000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>
            <v>15000</v>
          </cell>
          <cell r="AE26">
            <v>15000</v>
          </cell>
          <cell r="AF26"/>
          <cell r="AG26"/>
          <cell r="AH26"/>
          <cell r="AI26"/>
          <cell r="AJ26">
            <v>51500</v>
          </cell>
          <cell r="AK26">
            <v>100000</v>
          </cell>
          <cell r="AL26"/>
          <cell r="AM26">
            <v>1000</v>
          </cell>
          <cell r="AN26">
            <v>1000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39500</v>
          </cell>
          <cell r="AT26"/>
          <cell r="AV26"/>
          <cell r="AW26">
            <v>0</v>
          </cell>
          <cell r="AX26">
            <v>936500</v>
          </cell>
          <cell r="AY26">
            <v>0</v>
          </cell>
          <cell r="AZ26">
            <v>936500</v>
          </cell>
          <cell r="BA26"/>
          <cell r="BB26"/>
          <cell r="BC26">
            <v>0</v>
          </cell>
          <cell r="BD26">
            <v>936500</v>
          </cell>
          <cell r="BE26"/>
          <cell r="BF26">
            <v>0</v>
          </cell>
          <cell r="BG26">
            <v>4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320000</v>
          </cell>
          <cell r="E27">
            <v>0</v>
          </cell>
          <cell r="F27">
            <v>133500</v>
          </cell>
          <cell r="G27"/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203500</v>
          </cell>
          <cell r="S27"/>
          <cell r="T27"/>
          <cell r="U27">
            <v>453500</v>
          </cell>
          <cell r="V27"/>
          <cell r="W27"/>
          <cell r="X27"/>
          <cell r="Y27">
            <v>250000</v>
          </cell>
          <cell r="Z27"/>
          <cell r="AA27"/>
          <cell r="AB27"/>
          <cell r="AC27"/>
          <cell r="AD27"/>
          <cell r="AE27">
            <v>15000</v>
          </cell>
          <cell r="AF27"/>
          <cell r="AG27"/>
          <cell r="AH27"/>
          <cell r="AI27"/>
          <cell r="AJ27"/>
          <cell r="AK27">
            <v>100000</v>
          </cell>
          <cell r="AL27"/>
          <cell r="AM27"/>
          <cell r="AN27">
            <v>1000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25000</v>
          </cell>
          <cell r="AT27"/>
          <cell r="AV27"/>
          <cell r="AW27">
            <v>0</v>
          </cell>
          <cell r="AX27">
            <v>0</v>
          </cell>
          <cell r="AY27">
            <v>1285000</v>
          </cell>
          <cell r="AZ27">
            <v>1285000</v>
          </cell>
          <cell r="BA27"/>
          <cell r="BB27"/>
          <cell r="BC27">
            <v>133500</v>
          </cell>
          <cell r="BD27">
            <v>1151500</v>
          </cell>
          <cell r="BE27"/>
          <cell r="BF27">
            <v>0</v>
          </cell>
          <cell r="BG27">
            <v>4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/>
          <cell r="T28"/>
          <cell r="U28">
            <v>50000</v>
          </cell>
          <cell r="V28"/>
          <cell r="W28"/>
          <cell r="X28"/>
          <cell r="Y28">
            <v>50000</v>
          </cell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/>
          <cell r="BB28"/>
          <cell r="BC28">
            <v>0</v>
          </cell>
          <cell r="BD28">
            <v>0</v>
          </cell>
          <cell r="BE28"/>
          <cell r="BF28">
            <v>0</v>
          </cell>
          <cell r="BG28">
            <v>4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4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>
            <v>59000</v>
          </cell>
          <cell r="AJ30"/>
          <cell r="AK30"/>
          <cell r="AL30"/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4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/>
          <cell r="T31"/>
          <cell r="U31">
            <v>109000</v>
          </cell>
          <cell r="V31"/>
          <cell r="W31"/>
          <cell r="X31"/>
          <cell r="Y31">
            <v>50000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>
            <v>59000</v>
          </cell>
          <cell r="AJ31"/>
          <cell r="AK31"/>
          <cell r="AL31"/>
          <cell r="AM31"/>
          <cell r="AN31"/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A31"/>
          <cell r="BB31"/>
          <cell r="BC31">
            <v>0</v>
          </cell>
          <cell r="BD31">
            <v>59000</v>
          </cell>
          <cell r="BE31"/>
          <cell r="BF31">
            <v>0</v>
          </cell>
          <cell r="BG31">
            <v>4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>
            <v>100000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G32">
            <v>-3000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>
            <v>250000</v>
          </cell>
          <cell r="V32"/>
          <cell r="W32"/>
          <cell r="X32"/>
          <cell r="Y32">
            <v>250000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/>
          <cell r="BB32">
            <v>300000</v>
          </cell>
          <cell r="BC32">
            <v>0</v>
          </cell>
          <cell r="BD32">
            <v>0</v>
          </cell>
          <cell r="BE32"/>
          <cell r="BF32">
            <v>0</v>
          </cell>
          <cell r="BG32">
            <v>4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>
            <v>30000</v>
          </cell>
          <cell r="AJ33"/>
          <cell r="AK33"/>
          <cell r="AL33">
            <v>500</v>
          </cell>
          <cell r="AM33"/>
          <cell r="AN33"/>
          <cell r="AO33"/>
          <cell r="AP33" t="str">
            <v>BANQUE</v>
          </cell>
          <cell r="AQ33">
            <v>0</v>
          </cell>
          <cell r="AR33">
            <v>0</v>
          </cell>
          <cell r="AS33">
            <v>22000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30000</v>
          </cell>
          <cell r="BB33">
            <v>300000</v>
          </cell>
          <cell r="BC33">
            <v>0</v>
          </cell>
          <cell r="BD33">
            <v>0</v>
          </cell>
          <cell r="BE33"/>
          <cell r="BF33">
            <v>0</v>
          </cell>
          <cell r="BG33">
            <v>4</v>
          </cell>
          <cell r="BH33"/>
          <cell r="BI33"/>
          <cell r="BJ33"/>
          <cell r="BK33"/>
          <cell r="BL33"/>
          <cell r="BP33" t="str">
            <v>MUTUELLE</v>
          </cell>
          <cell r="BQ33">
            <v>560000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185000</v>
          </cell>
          <cell r="E34">
            <v>0</v>
          </cell>
          <cell r="F34">
            <v>0</v>
          </cell>
          <cell r="G34">
            <v>4500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L34">
            <v>1</v>
          </cell>
          <cell r="M34">
            <v>0</v>
          </cell>
          <cell r="N34">
            <v>1</v>
          </cell>
          <cell r="O34">
            <v>100000</v>
          </cell>
          <cell r="P34">
            <v>30500</v>
          </cell>
          <cell r="Q34">
            <v>0</v>
          </cell>
          <cell r="R34">
            <v>0</v>
          </cell>
          <cell r="S34"/>
          <cell r="T34"/>
          <cell r="U34">
            <v>185000</v>
          </cell>
          <cell r="V34"/>
          <cell r="W34"/>
          <cell r="X34"/>
          <cell r="Y34">
            <v>150000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>
            <v>30000</v>
          </cell>
          <cell r="AJ34">
            <v>200000</v>
          </cell>
          <cell r="AK34"/>
          <cell r="AL34">
            <v>500</v>
          </cell>
          <cell r="AM34">
            <v>2000</v>
          </cell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29500</v>
          </cell>
          <cell r="AT34"/>
          <cell r="AV34"/>
          <cell r="AW34">
            <v>30000</v>
          </cell>
          <cell r="AX34">
            <v>0</v>
          </cell>
          <cell r="AY34">
            <v>0</v>
          </cell>
          <cell r="AZ34">
            <v>30000</v>
          </cell>
          <cell r="BA34">
            <v>30000</v>
          </cell>
          <cell r="BB34"/>
          <cell r="BC34">
            <v>0</v>
          </cell>
          <cell r="BD34">
            <v>0</v>
          </cell>
          <cell r="BE34"/>
          <cell r="BF34">
            <v>0</v>
          </cell>
          <cell r="BG34">
            <v>4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227000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102000</v>
          </cell>
          <cell r="R35">
            <v>0</v>
          </cell>
          <cell r="S35"/>
          <cell r="T35"/>
          <cell r="U35">
            <v>227000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>
            <v>200000</v>
          </cell>
          <cell r="AK35"/>
          <cell r="AL35"/>
          <cell r="AM35">
            <v>2000</v>
          </cell>
          <cell r="AN35"/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A35">
            <v>48500</v>
          </cell>
          <cell r="BB35"/>
          <cell r="BC35">
            <v>0</v>
          </cell>
          <cell r="BD35">
            <v>200000</v>
          </cell>
          <cell r="BE35"/>
          <cell r="BF35">
            <v>0</v>
          </cell>
          <cell r="BG35">
            <v>4</v>
          </cell>
          <cell r="BH35"/>
          <cell r="BI35"/>
          <cell r="BJ35"/>
          <cell r="BK35">
            <v>100000</v>
          </cell>
          <cell r="BL35"/>
          <cell r="BO35" t="str">
            <v>S/TOTAL</v>
          </cell>
          <cell r="BQ35">
            <v>666000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A36">
            <v>48500</v>
          </cell>
          <cell r="BB36"/>
          <cell r="BC36">
            <v>0</v>
          </cell>
          <cell r="BD36">
            <v>103000</v>
          </cell>
          <cell r="BE36"/>
          <cell r="BF36">
            <v>0</v>
          </cell>
          <cell r="BG36">
            <v>4</v>
          </cell>
          <cell r="BH36"/>
          <cell r="BI36"/>
          <cell r="BJ36"/>
          <cell r="BK36">
            <v>100000</v>
          </cell>
          <cell r="BL36"/>
          <cell r="BO36" t="str">
            <v>S/TOTAL</v>
          </cell>
          <cell r="BQ36">
            <v>660000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/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4</v>
          </cell>
          <cell r="BH37"/>
          <cell r="BI37"/>
          <cell r="BJ37"/>
          <cell r="BK37"/>
          <cell r="BL37"/>
          <cell r="BO37" t="str">
            <v>S/TOTAL</v>
          </cell>
          <cell r="BQ37">
            <v>660000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G38"/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>
            <v>100000</v>
          </cell>
          <cell r="AK38"/>
          <cell r="AL38"/>
          <cell r="AM38">
            <v>2000</v>
          </cell>
          <cell r="AN38"/>
          <cell r="AO38"/>
          <cell r="AP38"/>
          <cell r="AQ38">
            <v>0</v>
          </cell>
          <cell r="AR38">
            <v>0</v>
          </cell>
          <cell r="AS38">
            <v>25000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100000</v>
          </cell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4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/>
          <cell r="T39"/>
          <cell r="U39">
            <v>125000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>
            <v>100000</v>
          </cell>
          <cell r="AK39"/>
          <cell r="AL39"/>
          <cell r="AM39">
            <v>2000</v>
          </cell>
          <cell r="AN39"/>
          <cell r="AO39"/>
          <cell r="AP39"/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100000</v>
          </cell>
          <cell r="AY39">
            <v>0</v>
          </cell>
          <cell r="AZ39">
            <v>100000</v>
          </cell>
          <cell r="BA39">
            <v>100000</v>
          </cell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4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G40"/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4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G41"/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253000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/>
          <cell r="BF41">
            <v>0</v>
          </cell>
          <cell r="BG41">
            <v>4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4</v>
          </cell>
        </row>
        <row r="43">
          <cell r="B43" t="str">
            <v>TOTAUX</v>
          </cell>
          <cell r="C43">
            <v>-25000</v>
          </cell>
          <cell r="D43">
            <v>6225000</v>
          </cell>
          <cell r="E43">
            <v>906500</v>
          </cell>
          <cell r="F43">
            <v>133500</v>
          </cell>
          <cell r="G43">
            <v>329000</v>
          </cell>
          <cell r="H43">
            <v>6000</v>
          </cell>
          <cell r="I43">
            <v>0</v>
          </cell>
          <cell r="J43">
            <v>35</v>
          </cell>
          <cell r="K43">
            <v>1750000</v>
          </cell>
          <cell r="L43">
            <v>13</v>
          </cell>
          <cell r="M43">
            <v>975000</v>
          </cell>
          <cell r="N43">
            <v>24</v>
          </cell>
          <cell r="O43">
            <v>2400000</v>
          </cell>
          <cell r="P43">
            <v>146500</v>
          </cell>
          <cell r="Q43">
            <v>376500</v>
          </cell>
          <cell r="R43">
            <v>1107000</v>
          </cell>
          <cell r="S43">
            <v>100000</v>
          </cell>
          <cell r="T43"/>
          <cell r="U43">
            <v>7190000</v>
          </cell>
          <cell r="V43">
            <v>0</v>
          </cell>
          <cell r="W43">
            <v>0</v>
          </cell>
          <cell r="X43">
            <v>0</v>
          </cell>
          <cell r="Y43">
            <v>5125000</v>
          </cell>
          <cell r="Z43">
            <v>0</v>
          </cell>
          <cell r="AA43">
            <v>0</v>
          </cell>
          <cell r="AB43"/>
          <cell r="AC43">
            <v>6000</v>
          </cell>
          <cell r="AD43">
            <v>15000</v>
          </cell>
          <cell r="AE43">
            <v>25000</v>
          </cell>
          <cell r="AF43">
            <v>0</v>
          </cell>
          <cell r="AG43">
            <v>0</v>
          </cell>
          <cell r="AH43"/>
          <cell r="AI43">
            <v>209000</v>
          </cell>
          <cell r="AJ43">
            <v>751500</v>
          </cell>
          <cell r="AK43">
            <v>1132000</v>
          </cell>
          <cell r="AL43">
            <v>2500</v>
          </cell>
          <cell r="AM43">
            <v>10000</v>
          </cell>
          <cell r="AN43">
            <v>12500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1204000</v>
          </cell>
          <cell r="AT43">
            <v>0</v>
          </cell>
          <cell r="AU43">
            <v>0</v>
          </cell>
          <cell r="AV43">
            <v>0</v>
          </cell>
          <cell r="AW43">
            <v>803000</v>
          </cell>
          <cell r="AX43">
            <v>1636500</v>
          </cell>
          <cell r="AY43">
            <v>3507000</v>
          </cell>
          <cell r="AZ43">
            <v>6718500</v>
          </cell>
          <cell r="BA43">
            <v>906500</v>
          </cell>
          <cell r="BB43">
            <v>300000</v>
          </cell>
          <cell r="BC43">
            <v>133500</v>
          </cell>
          <cell r="BD43">
            <v>5730000</v>
          </cell>
          <cell r="BE43">
            <v>0</v>
          </cell>
          <cell r="BF43">
            <v>30000</v>
          </cell>
          <cell r="BH43">
            <v>6000</v>
          </cell>
          <cell r="BI43">
            <v>0</v>
          </cell>
          <cell r="BJ43">
            <v>666000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-1025000</v>
          </cell>
          <cell r="D44">
            <v>6225000</v>
          </cell>
          <cell r="E44">
            <v>906500</v>
          </cell>
          <cell r="F44">
            <v>133500</v>
          </cell>
          <cell r="G44">
            <v>379000</v>
          </cell>
          <cell r="H44">
            <v>6000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146500</v>
          </cell>
          <cell r="Q44">
            <v>376500</v>
          </cell>
          <cell r="R44">
            <v>1107000</v>
          </cell>
          <cell r="S44">
            <v>1100000</v>
          </cell>
          <cell r="U44">
            <v>8190000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1000000</v>
          </cell>
          <cell r="AA44">
            <v>0</v>
          </cell>
          <cell r="AC44">
            <v>6000</v>
          </cell>
          <cell r="AD44">
            <v>15000</v>
          </cell>
          <cell r="AE44">
            <v>25000</v>
          </cell>
          <cell r="AF44">
            <v>0</v>
          </cell>
          <cell r="AG44">
            <v>0</v>
          </cell>
          <cell r="AI44">
            <v>209000</v>
          </cell>
          <cell r="AJ44">
            <v>751500</v>
          </cell>
          <cell r="AK44">
            <v>1132000</v>
          </cell>
          <cell r="AL44">
            <v>2500</v>
          </cell>
          <cell r="AM44">
            <v>10000</v>
          </cell>
          <cell r="AN44">
            <v>12500</v>
          </cell>
          <cell r="AO44">
            <v>0</v>
          </cell>
          <cell r="AQ44">
            <v>0</v>
          </cell>
          <cell r="AR44">
            <v>0</v>
          </cell>
          <cell r="AS44">
            <v>1204000</v>
          </cell>
          <cell r="AT44">
            <v>0</v>
          </cell>
          <cell r="AU44">
            <v>0</v>
          </cell>
          <cell r="AV44">
            <v>0</v>
          </cell>
          <cell r="AW44">
            <v>803000</v>
          </cell>
          <cell r="AX44">
            <v>1636500</v>
          </cell>
          <cell r="AY44">
            <v>3507000</v>
          </cell>
          <cell r="AZ44">
            <v>7712500</v>
          </cell>
          <cell r="BA44">
            <v>906500</v>
          </cell>
          <cell r="BB44">
            <v>300000</v>
          </cell>
          <cell r="BC44">
            <v>133500</v>
          </cell>
          <cell r="BD44">
            <v>6724000</v>
          </cell>
          <cell r="BE44">
            <v>0</v>
          </cell>
          <cell r="BF44">
            <v>30000</v>
          </cell>
          <cell r="BH44">
            <v>6000</v>
          </cell>
          <cell r="BI44">
            <v>0</v>
          </cell>
          <cell r="BJ44">
            <v>660000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906500</v>
          </cell>
          <cell r="BB45" t="str">
            <v>ESPECES EN CAISSE</v>
          </cell>
          <cell r="BD45"/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906500</v>
          </cell>
          <cell r="BB46" t="str">
            <v>ESPECES EN CAISSE</v>
          </cell>
          <cell r="BD46">
            <v>-5730000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0</v>
          </cell>
          <cell r="BD47">
            <v>-6724000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5730000</v>
          </cell>
          <cell r="D49">
            <v>6225000</v>
          </cell>
          <cell r="E49">
            <v>-495000</v>
          </cell>
          <cell r="F49"/>
          <cell r="G49">
            <v>906500</v>
          </cell>
          <cell r="H49">
            <v>906500</v>
          </cell>
          <cell r="I49">
            <v>0</v>
          </cell>
          <cell r="J49"/>
        </row>
        <row r="50">
          <cell r="B50" t="str">
            <v>OPERATIONS DU JOUR</v>
          </cell>
          <cell r="C50">
            <v>6724000</v>
          </cell>
          <cell r="D50">
            <v>6225000</v>
          </cell>
          <cell r="E50">
            <v>499000</v>
          </cell>
          <cell r="G50">
            <v>906500</v>
          </cell>
          <cell r="H50">
            <v>906500</v>
          </cell>
          <cell r="I50">
            <v>0</v>
          </cell>
          <cell r="BO50" t="str">
            <v>FOYER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/>
          <cell r="BB6"/>
          <cell r="BC6">
            <v>0</v>
          </cell>
          <cell r="BD6">
            <v>12000</v>
          </cell>
          <cell r="BE6"/>
          <cell r="BF6">
            <v>0</v>
          </cell>
          <cell r="BG6">
            <v>3</v>
          </cell>
          <cell r="BH6">
            <v>12000</v>
          </cell>
          <cell r="BI6">
            <v>0</v>
          </cell>
          <cell r="BJ6">
            <v>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3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/>
          <cell r="T8"/>
          <cell r="U8">
            <v>125000</v>
          </cell>
          <cell r="V8"/>
          <cell r="W8"/>
          <cell r="X8"/>
          <cell r="Y8">
            <v>125000</v>
          </cell>
          <cell r="Z8"/>
          <cell r="AA8"/>
          <cell r="AB8"/>
          <cell r="AC8">
            <v>2500</v>
          </cell>
          <cell r="AD8"/>
          <cell r="AE8"/>
          <cell r="AF8" t="str">
            <v>BANQUE</v>
          </cell>
          <cell r="AG8"/>
          <cell r="AH8"/>
          <cell r="AI8"/>
          <cell r="AJ8">
            <v>100000</v>
          </cell>
          <cell r="AK8"/>
          <cell r="AL8"/>
          <cell r="AM8">
            <v>1000</v>
          </cell>
          <cell r="AN8"/>
          <cell r="AO8"/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297500</v>
          </cell>
          <cell r="AX8">
            <v>100000</v>
          </cell>
          <cell r="AY8">
            <v>0</v>
          </cell>
          <cell r="AZ8">
            <v>397500</v>
          </cell>
          <cell r="BA8">
            <v>100000</v>
          </cell>
          <cell r="BB8"/>
          <cell r="BC8">
            <v>0</v>
          </cell>
          <cell r="BD8">
            <v>297500</v>
          </cell>
          <cell r="BE8"/>
          <cell r="BF8">
            <v>0</v>
          </cell>
          <cell r="BG8">
            <v>3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382000</v>
          </cell>
          <cell r="F9">
            <v>0</v>
          </cell>
          <cell r="G9"/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30500</v>
          </cell>
          <cell r="Q9">
            <v>0</v>
          </cell>
          <cell r="R9">
            <v>101500</v>
          </cell>
          <cell r="S9"/>
          <cell r="T9"/>
          <cell r="U9">
            <v>382000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>
            <v>174500</v>
          </cell>
          <cell r="AL9"/>
          <cell r="AM9"/>
          <cell r="AN9">
            <v>2000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0</v>
          </cell>
          <cell r="AX9">
            <v>0</v>
          </cell>
          <cell r="AY9">
            <v>174500</v>
          </cell>
          <cell r="AZ9">
            <v>174500</v>
          </cell>
          <cell r="BA9">
            <v>174500</v>
          </cell>
          <cell r="BB9"/>
          <cell r="BC9">
            <v>0</v>
          </cell>
          <cell r="BD9">
            <v>0</v>
          </cell>
          <cell r="BE9"/>
          <cell r="BF9">
            <v>0</v>
          </cell>
          <cell r="BG9">
            <v>3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61000</v>
          </cell>
          <cell r="F10">
            <v>0</v>
          </cell>
          <cell r="G10">
            <v>-3000</v>
          </cell>
          <cell r="H10">
            <v>3000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61000</v>
          </cell>
          <cell r="Q10">
            <v>0</v>
          </cell>
          <cell r="R10">
            <v>0</v>
          </cell>
          <cell r="S10"/>
          <cell r="T10"/>
          <cell r="U10">
            <v>111000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T10"/>
          <cell r="AV10"/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/>
          <cell r="BB10"/>
          <cell r="BC10">
            <v>0</v>
          </cell>
          <cell r="BD10">
            <v>0</v>
          </cell>
          <cell r="BE10"/>
          <cell r="BF10">
            <v>0</v>
          </cell>
          <cell r="BG10">
            <v>3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S11"/>
          <cell r="T11"/>
          <cell r="U11">
            <v>150000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>
            <v>200000</v>
          </cell>
          <cell r="AL11"/>
          <cell r="AM11"/>
          <cell r="AN11">
            <v>3500</v>
          </cell>
          <cell r="AO11"/>
          <cell r="AP11"/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0</v>
          </cell>
          <cell r="AX11">
            <v>0</v>
          </cell>
          <cell r="AY11">
            <v>200000</v>
          </cell>
          <cell r="AZ11">
            <v>200000</v>
          </cell>
          <cell r="BA11"/>
          <cell r="BB11"/>
          <cell r="BC11">
            <v>0</v>
          </cell>
          <cell r="BD11">
            <v>200000</v>
          </cell>
          <cell r="BE11"/>
          <cell r="BF11">
            <v>0</v>
          </cell>
          <cell r="BG11">
            <v>3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361000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S12"/>
          <cell r="T12"/>
          <cell r="U12">
            <v>361000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>
            <v>15000</v>
          </cell>
          <cell r="AF12" t="str">
            <v>BANQUE</v>
          </cell>
          <cell r="AG12"/>
          <cell r="AH12"/>
          <cell r="AI12"/>
          <cell r="AJ12"/>
          <cell r="AK12"/>
          <cell r="AL12"/>
          <cell r="AM12"/>
          <cell r="AN12"/>
          <cell r="AO12"/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T12"/>
          <cell r="AV12"/>
          <cell r="AW12">
            <v>0</v>
          </cell>
          <cell r="AX12">
            <v>0</v>
          </cell>
          <cell r="AY12">
            <v>1185000</v>
          </cell>
          <cell r="AZ12">
            <v>1185000</v>
          </cell>
          <cell r="BA12"/>
          <cell r="BB12"/>
          <cell r="BC12">
            <v>0</v>
          </cell>
          <cell r="BD12">
            <v>1185000</v>
          </cell>
          <cell r="BE12"/>
          <cell r="BF12">
            <v>0</v>
          </cell>
          <cell r="BG12">
            <v>3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3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3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800000</v>
          </cell>
          <cell r="G15">
            <v>800000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950000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>
            <v>15000</v>
          </cell>
          <cell r="AF15" t="str">
            <v>BANQUE</v>
          </cell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825000</v>
          </cell>
          <cell r="AT15">
            <v>120000</v>
          </cell>
          <cell r="AV15"/>
          <cell r="AW15">
            <v>0</v>
          </cell>
          <cell r="AX15">
            <v>0</v>
          </cell>
          <cell r="AY15">
            <v>1185000</v>
          </cell>
          <cell r="AZ15">
            <v>90000</v>
          </cell>
          <cell r="BA15">
            <v>90000</v>
          </cell>
          <cell r="BB15">
            <v>175000</v>
          </cell>
          <cell r="BC15">
            <v>800000</v>
          </cell>
          <cell r="BD15"/>
          <cell r="BE15"/>
          <cell r="BF15">
            <v>0</v>
          </cell>
          <cell r="BG15">
            <v>3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>
            <v>8500</v>
          </cell>
          <cell r="AE16"/>
          <cell r="AF16" t="str">
            <v>BANQUE</v>
          </cell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891500</v>
          </cell>
          <cell r="AY16">
            <v>0</v>
          </cell>
          <cell r="AZ16">
            <v>891500</v>
          </cell>
          <cell r="BA16"/>
          <cell r="BB16"/>
          <cell r="BC16">
            <v>0</v>
          </cell>
          <cell r="BD16">
            <v>891500</v>
          </cell>
          <cell r="BE16"/>
          <cell r="BF16">
            <v>0</v>
          </cell>
          <cell r="BG16">
            <v>3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484000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234000</v>
          </cell>
          <cell r="S17"/>
          <cell r="T17"/>
          <cell r="U17">
            <v>484000</v>
          </cell>
          <cell r="V17"/>
          <cell r="W17"/>
          <cell r="X17"/>
          <cell r="Y17">
            <v>225000</v>
          </cell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>
            <v>100000</v>
          </cell>
          <cell r="AK17"/>
          <cell r="AL17"/>
          <cell r="AM17">
            <v>1500</v>
          </cell>
          <cell r="AN17"/>
          <cell r="AO17"/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T17"/>
          <cell r="AV17"/>
          <cell r="AW17">
            <v>0</v>
          </cell>
          <cell r="AX17">
            <v>100000</v>
          </cell>
          <cell r="AY17">
            <v>0</v>
          </cell>
          <cell r="AZ17">
            <v>100000</v>
          </cell>
          <cell r="BA17"/>
          <cell r="BB17"/>
          <cell r="BC17">
            <v>0</v>
          </cell>
          <cell r="BD17">
            <v>100000</v>
          </cell>
          <cell r="BE17"/>
          <cell r="BF17">
            <v>0</v>
          </cell>
          <cell r="BG17">
            <v>3</v>
          </cell>
          <cell r="BH17"/>
          <cell r="BI17"/>
          <cell r="BJ17"/>
          <cell r="BK17"/>
          <cell r="BL17"/>
          <cell r="BO17" t="str">
            <v>S/TOTAL</v>
          </cell>
          <cell r="BQ17">
            <v>12000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/>
          <cell r="T18"/>
          <cell r="U18">
            <v>150000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/>
          <cell r="BB18"/>
          <cell r="BC18">
            <v>0</v>
          </cell>
          <cell r="BD18">
            <v>0</v>
          </cell>
          <cell r="BE18"/>
          <cell r="BF18">
            <v>0</v>
          </cell>
          <cell r="BG18">
            <v>3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641000</v>
          </cell>
          <cell r="E19">
            <v>30500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30500</v>
          </cell>
          <cell r="Q19">
            <v>203000</v>
          </cell>
          <cell r="R19">
            <v>203000</v>
          </cell>
          <cell r="S19"/>
          <cell r="T19"/>
          <cell r="U19">
            <v>671500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>
            <v>100000</v>
          </cell>
          <cell r="AK19">
            <v>100000</v>
          </cell>
          <cell r="AL19"/>
          <cell r="AM19">
            <v>1000</v>
          </cell>
          <cell r="AN19">
            <v>1000</v>
          </cell>
          <cell r="AO19"/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T19"/>
          <cell r="AV19"/>
          <cell r="AW19">
            <v>0</v>
          </cell>
          <cell r="AX19">
            <v>100000</v>
          </cell>
          <cell r="AY19">
            <v>100000</v>
          </cell>
          <cell r="AZ19">
            <v>200000</v>
          </cell>
          <cell r="BA19">
            <v>100000</v>
          </cell>
          <cell r="BB19"/>
          <cell r="BC19">
            <v>0</v>
          </cell>
          <cell r="BD19">
            <v>100000</v>
          </cell>
          <cell r="BE19"/>
          <cell r="BF19">
            <v>0</v>
          </cell>
          <cell r="BG19">
            <v>3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50000</v>
          </cell>
          <cell r="E20">
            <v>0</v>
          </cell>
          <cell r="F20">
            <v>0</v>
          </cell>
          <cell r="G20"/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/>
          <cell r="T20"/>
          <cell r="U20">
            <v>50000</v>
          </cell>
          <cell r="V20"/>
          <cell r="W20"/>
          <cell r="X20"/>
          <cell r="Y20">
            <v>50000</v>
          </cell>
          <cell r="Z20"/>
          <cell r="AA20"/>
          <cell r="AB20"/>
          <cell r="AC20">
            <v>2500</v>
          </cell>
          <cell r="AD20"/>
          <cell r="AE20"/>
          <cell r="AF20" t="str">
            <v>BANQUE</v>
          </cell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297500</v>
          </cell>
          <cell r="AX20">
            <v>0</v>
          </cell>
          <cell r="AY20">
            <v>0</v>
          </cell>
          <cell r="AZ20">
            <v>297500</v>
          </cell>
          <cell r="BA20">
            <v>15000</v>
          </cell>
          <cell r="BB20"/>
          <cell r="BC20">
            <v>0</v>
          </cell>
          <cell r="BD20">
            <v>282500</v>
          </cell>
          <cell r="BE20"/>
          <cell r="BF20">
            <v>0</v>
          </cell>
          <cell r="BG20">
            <v>3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/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/>
          <cell r="T21"/>
          <cell r="U21">
            <v>50000</v>
          </cell>
          <cell r="V21"/>
          <cell r="W21"/>
          <cell r="X21"/>
          <cell r="Y21">
            <v>50000</v>
          </cell>
          <cell r="Z21"/>
          <cell r="AA21"/>
          <cell r="AB21"/>
          <cell r="AC21">
            <v>2500</v>
          </cell>
          <cell r="AD21"/>
          <cell r="AE21"/>
          <cell r="AF21" t="str">
            <v>BANQUE</v>
          </cell>
          <cell r="AG21"/>
          <cell r="AH21"/>
          <cell r="AI21"/>
          <cell r="AJ21">
            <v>200000</v>
          </cell>
          <cell r="AK21">
            <v>100000</v>
          </cell>
          <cell r="AL21"/>
          <cell r="AM21">
            <v>2000</v>
          </cell>
          <cell r="AN21">
            <v>1000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297500</v>
          </cell>
          <cell r="AX21">
            <v>0</v>
          </cell>
          <cell r="AY21">
            <v>0</v>
          </cell>
          <cell r="AZ21">
            <v>297500</v>
          </cell>
          <cell r="BA21">
            <v>15000</v>
          </cell>
          <cell r="BB21"/>
          <cell r="BC21">
            <v>0</v>
          </cell>
          <cell r="BD21">
            <v>282500</v>
          </cell>
          <cell r="BE21"/>
          <cell r="BF21">
            <v>0</v>
          </cell>
          <cell r="BG21">
            <v>3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471000</v>
          </cell>
          <cell r="E22">
            <v>261000</v>
          </cell>
          <cell r="F22">
            <v>0</v>
          </cell>
          <cell r="G22"/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202000</v>
          </cell>
          <cell r="S22"/>
          <cell r="T22"/>
          <cell r="U22">
            <v>732000</v>
          </cell>
          <cell r="V22"/>
          <cell r="W22"/>
          <cell r="X22"/>
          <cell r="Y22">
            <v>325000</v>
          </cell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>
            <v>200000</v>
          </cell>
          <cell r="AK22">
            <v>100000</v>
          </cell>
          <cell r="AL22"/>
          <cell r="AM22">
            <v>2000</v>
          </cell>
          <cell r="AN22">
            <v>1000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0</v>
          </cell>
          <cell r="AX22">
            <v>200000</v>
          </cell>
          <cell r="AY22">
            <v>100000</v>
          </cell>
          <cell r="AZ22">
            <v>300000</v>
          </cell>
          <cell r="BA22">
            <v>200000</v>
          </cell>
          <cell r="BB22"/>
          <cell r="BC22">
            <v>0</v>
          </cell>
          <cell r="BD22">
            <v>100000</v>
          </cell>
          <cell r="BE22"/>
          <cell r="BF22">
            <v>0</v>
          </cell>
          <cell r="BG22">
            <v>3</v>
          </cell>
          <cell r="BH22"/>
          <cell r="BI22"/>
          <cell r="BJ22"/>
          <cell r="BK22">
            <v>100000</v>
          </cell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100000</v>
          </cell>
          <cell r="BA23"/>
          <cell r="BB23"/>
          <cell r="BC23">
            <v>0</v>
          </cell>
          <cell r="BD23">
            <v>100000</v>
          </cell>
          <cell r="BE23"/>
          <cell r="BF23">
            <v>0</v>
          </cell>
          <cell r="BG23">
            <v>3</v>
          </cell>
          <cell r="BH23"/>
          <cell r="BI23"/>
          <cell r="BJ23"/>
          <cell r="BK23">
            <v>100000</v>
          </cell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>
            <v>100000</v>
          </cell>
          <cell r="AL24"/>
          <cell r="AM24"/>
          <cell r="AN24">
            <v>2500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/>
          <cell r="BB24"/>
          <cell r="BC24">
            <v>0</v>
          </cell>
          <cell r="BD24">
            <v>0</v>
          </cell>
          <cell r="BE24"/>
          <cell r="BF24">
            <v>0</v>
          </cell>
          <cell r="BG24">
            <v>3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462000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202000</v>
          </cell>
          <cell r="S25"/>
          <cell r="T25"/>
          <cell r="U25">
            <v>462000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>
            <v>100000</v>
          </cell>
          <cell r="AK25">
            <v>100000</v>
          </cell>
          <cell r="AL25"/>
          <cell r="AM25">
            <v>1000</v>
          </cell>
          <cell r="AN25">
            <v>2500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B25"/>
          <cell r="BC25">
            <v>0</v>
          </cell>
          <cell r="BD25">
            <v>100000</v>
          </cell>
          <cell r="BE25"/>
          <cell r="BF25">
            <v>0</v>
          </cell>
          <cell r="BG25">
            <v>3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52500</v>
          </cell>
          <cell r="E26">
            <v>240000</v>
          </cell>
          <cell r="F26">
            <v>0</v>
          </cell>
          <cell r="G26">
            <v>12000</v>
          </cell>
          <cell r="H26">
            <v>3000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52500</v>
          </cell>
          <cell r="R26">
            <v>0</v>
          </cell>
          <cell r="S26"/>
          <cell r="T26"/>
          <cell r="U26">
            <v>292500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>
            <v>100000</v>
          </cell>
          <cell r="AK26">
            <v>200000</v>
          </cell>
          <cell r="AL26"/>
          <cell r="AM26">
            <v>1000</v>
          </cell>
          <cell r="AN26">
            <v>5000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37000</v>
          </cell>
          <cell r="AT26"/>
          <cell r="AV26"/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B26"/>
          <cell r="BC26">
            <v>0</v>
          </cell>
          <cell r="BD26">
            <v>0</v>
          </cell>
          <cell r="BE26"/>
          <cell r="BF26">
            <v>0</v>
          </cell>
          <cell r="BG26">
            <v>3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350000</v>
          </cell>
          <cell r="E27">
            <v>0</v>
          </cell>
          <cell r="F27">
            <v>0</v>
          </cell>
          <cell r="G27">
            <v>-1000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101000</v>
          </cell>
          <cell r="S27"/>
          <cell r="T27"/>
          <cell r="U27">
            <v>350000</v>
          </cell>
          <cell r="V27"/>
          <cell r="W27"/>
          <cell r="X27"/>
          <cell r="Y27">
            <v>250000</v>
          </cell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>
            <v>200000</v>
          </cell>
          <cell r="AL27"/>
          <cell r="AM27"/>
          <cell r="AN27">
            <v>5000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24000</v>
          </cell>
          <cell r="AT27"/>
          <cell r="AV27"/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/>
          <cell r="BB27"/>
          <cell r="BC27">
            <v>0</v>
          </cell>
          <cell r="BD27">
            <v>200000</v>
          </cell>
          <cell r="BE27"/>
          <cell r="BF27">
            <v>0</v>
          </cell>
          <cell r="BG27">
            <v>3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/>
          <cell r="T28"/>
          <cell r="U28">
            <v>50000</v>
          </cell>
          <cell r="V28"/>
          <cell r="W28"/>
          <cell r="X28"/>
          <cell r="Y28">
            <v>50000</v>
          </cell>
          <cell r="Z28"/>
          <cell r="AA28"/>
          <cell r="AB28"/>
          <cell r="AC28">
            <v>2500</v>
          </cell>
          <cell r="AD28"/>
          <cell r="AE28"/>
          <cell r="AF28" t="str">
            <v>BANQUE</v>
          </cell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297500</v>
          </cell>
          <cell r="BB28"/>
          <cell r="BC28">
            <v>0</v>
          </cell>
          <cell r="BD28">
            <v>0</v>
          </cell>
          <cell r="BE28"/>
          <cell r="BF28">
            <v>0</v>
          </cell>
          <cell r="BG28">
            <v>3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>
            <v>2500</v>
          </cell>
          <cell r="AD29"/>
          <cell r="AE29"/>
          <cell r="AF29" t="str">
            <v>BANQUE</v>
          </cell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297500</v>
          </cell>
          <cell r="AX29">
            <v>0</v>
          </cell>
          <cell r="AY29">
            <v>0</v>
          </cell>
          <cell r="AZ29">
            <v>297500</v>
          </cell>
          <cell r="BA29">
            <v>297500</v>
          </cell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3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>
            <v>2500</v>
          </cell>
          <cell r="AD30"/>
          <cell r="AE30"/>
          <cell r="AF30" t="str">
            <v>BANQUE</v>
          </cell>
          <cell r="AG30"/>
          <cell r="AH30"/>
          <cell r="AI30">
            <v>59000</v>
          </cell>
          <cell r="AJ30"/>
          <cell r="AK30"/>
          <cell r="AL30"/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297500</v>
          </cell>
          <cell r="AX30">
            <v>0</v>
          </cell>
          <cell r="AY30">
            <v>0</v>
          </cell>
          <cell r="AZ30">
            <v>297500</v>
          </cell>
          <cell r="BA30"/>
          <cell r="BB30"/>
          <cell r="BC30">
            <v>0</v>
          </cell>
          <cell r="BD30">
            <v>297500</v>
          </cell>
          <cell r="BE30"/>
          <cell r="BF30">
            <v>0</v>
          </cell>
          <cell r="BG30">
            <v>3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/>
          <cell r="T31"/>
          <cell r="U31">
            <v>109000</v>
          </cell>
          <cell r="V31"/>
          <cell r="W31"/>
          <cell r="X31"/>
          <cell r="Y31">
            <v>50000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>
            <v>59000</v>
          </cell>
          <cell r="AJ31"/>
          <cell r="AK31">
            <v>200000</v>
          </cell>
          <cell r="AL31"/>
          <cell r="AM31"/>
          <cell r="AN31">
            <v>3500</v>
          </cell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A31"/>
          <cell r="BB31"/>
          <cell r="BC31">
            <v>0</v>
          </cell>
          <cell r="BD31">
            <v>59000</v>
          </cell>
          <cell r="BE31"/>
          <cell r="BF31">
            <v>0</v>
          </cell>
          <cell r="BG31">
            <v>3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G32"/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>
            <v>250000</v>
          </cell>
          <cell r="V32"/>
          <cell r="W32"/>
          <cell r="X32"/>
          <cell r="Y32">
            <v>250000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>
            <v>200000</v>
          </cell>
          <cell r="AL32"/>
          <cell r="AM32"/>
          <cell r="AN32">
            <v>3500</v>
          </cell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A32"/>
          <cell r="BB32"/>
          <cell r="BC32">
            <v>0</v>
          </cell>
          <cell r="BD32">
            <v>200000</v>
          </cell>
          <cell r="BE32"/>
          <cell r="BF32">
            <v>0</v>
          </cell>
          <cell r="BG32">
            <v>3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G33"/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>
            <v>30500</v>
          </cell>
          <cell r="AJ33"/>
          <cell r="AK33"/>
          <cell r="AL33"/>
          <cell r="AM33"/>
          <cell r="AN33"/>
          <cell r="AO33"/>
          <cell r="AP33" t="str">
            <v>BANQUE</v>
          </cell>
          <cell r="AQ33">
            <v>0</v>
          </cell>
          <cell r="AR33">
            <v>0</v>
          </cell>
          <cell r="AS33">
            <v>25000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/>
          <cell r="BF33">
            <v>0</v>
          </cell>
          <cell r="BG33">
            <v>3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L34">
            <v>1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/>
          <cell r="T34"/>
          <cell r="U34">
            <v>30500</v>
          </cell>
          <cell r="V34"/>
          <cell r="W34"/>
          <cell r="X34"/>
          <cell r="Y34">
            <v>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>
            <v>30500</v>
          </cell>
          <cell r="AJ34">
            <v>200000</v>
          </cell>
          <cell r="AK34"/>
          <cell r="AL34"/>
          <cell r="AM34">
            <v>2500</v>
          </cell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T34"/>
          <cell r="AV34"/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A34"/>
          <cell r="BB34"/>
          <cell r="BC34">
            <v>0</v>
          </cell>
          <cell r="BD34">
            <v>30500</v>
          </cell>
          <cell r="BE34"/>
          <cell r="BF34">
            <v>0</v>
          </cell>
          <cell r="BG34">
            <v>3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327000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202000</v>
          </cell>
          <cell r="R35">
            <v>0</v>
          </cell>
          <cell r="S35"/>
          <cell r="T35"/>
          <cell r="U35">
            <v>327000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>
            <v>200000</v>
          </cell>
          <cell r="AK35"/>
          <cell r="AL35"/>
          <cell r="AM35">
            <v>2500</v>
          </cell>
          <cell r="AN35"/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200000</v>
          </cell>
          <cell r="AY35">
            <v>0</v>
          </cell>
          <cell r="AZ35">
            <v>200000</v>
          </cell>
          <cell r="BA35"/>
          <cell r="BB35"/>
          <cell r="BC35">
            <v>0</v>
          </cell>
          <cell r="BD35">
            <v>200000</v>
          </cell>
          <cell r="BE35"/>
          <cell r="BF35">
            <v>0</v>
          </cell>
          <cell r="BG35">
            <v>3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/>
          <cell r="BB36"/>
          <cell r="BC36">
            <v>0</v>
          </cell>
          <cell r="BD36">
            <v>0</v>
          </cell>
          <cell r="BE36"/>
          <cell r="BF36">
            <v>0</v>
          </cell>
          <cell r="BG36">
            <v>3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/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3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50000</v>
          </cell>
          <cell r="E38">
            <v>0</v>
          </cell>
          <cell r="F38">
            <v>0</v>
          </cell>
          <cell r="G38">
            <v>5000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 t="str">
            <v>BANQUE</v>
          </cell>
          <cell r="AQ38">
            <v>0</v>
          </cell>
          <cell r="AR38">
            <v>0</v>
          </cell>
          <cell r="AS38">
            <v>25000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3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102000</v>
          </cell>
          <cell r="R39">
            <v>0</v>
          </cell>
          <cell r="S39"/>
          <cell r="T39"/>
          <cell r="U39">
            <v>232000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 t="str">
            <v>BANQUE</v>
          </cell>
          <cell r="AQ39">
            <v>0</v>
          </cell>
          <cell r="AR39">
            <v>0</v>
          </cell>
          <cell r="AS39">
            <v>30000</v>
          </cell>
          <cell r="AT39"/>
          <cell r="AV39"/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/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3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G40"/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3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G41"/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250000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/>
          <cell r="BF41">
            <v>0</v>
          </cell>
          <cell r="BG41">
            <v>3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3</v>
          </cell>
        </row>
        <row r="43">
          <cell r="B43" t="str">
            <v>TOTAUX</v>
          </cell>
          <cell r="C43">
            <v>-59000</v>
          </cell>
          <cell r="D43">
            <v>6055500</v>
          </cell>
          <cell r="E43">
            <v>1024500</v>
          </cell>
          <cell r="F43">
            <v>800000</v>
          </cell>
          <cell r="G43">
            <v>868000</v>
          </cell>
          <cell r="H43">
            <v>9000</v>
          </cell>
          <cell r="I43">
            <v>0</v>
          </cell>
          <cell r="J43">
            <v>35</v>
          </cell>
          <cell r="K43">
            <v>1700000</v>
          </cell>
          <cell r="L43">
            <v>13</v>
          </cell>
          <cell r="M43">
            <v>975000</v>
          </cell>
          <cell r="N43">
            <v>24</v>
          </cell>
          <cell r="O43">
            <v>2300000</v>
          </cell>
          <cell r="P43">
            <v>211500</v>
          </cell>
          <cell r="Q43">
            <v>761500</v>
          </cell>
          <cell r="R43">
            <v>1144500</v>
          </cell>
          <cell r="S43">
            <v>0</v>
          </cell>
          <cell r="T43"/>
          <cell r="U43">
            <v>7969500</v>
          </cell>
          <cell r="V43">
            <v>0</v>
          </cell>
          <cell r="W43">
            <v>0</v>
          </cell>
          <cell r="X43">
            <v>0</v>
          </cell>
          <cell r="Y43">
            <v>4975000</v>
          </cell>
          <cell r="Z43">
            <v>0</v>
          </cell>
          <cell r="AA43">
            <v>0</v>
          </cell>
          <cell r="AB43"/>
          <cell r="AC43">
            <v>10000</v>
          </cell>
          <cell r="AD43">
            <v>8500</v>
          </cell>
          <cell r="AE43">
            <v>30000</v>
          </cell>
          <cell r="AF43">
            <v>0</v>
          </cell>
          <cell r="AG43">
            <v>0</v>
          </cell>
          <cell r="AH43"/>
          <cell r="AI43">
            <v>89500</v>
          </cell>
          <cell r="AJ43">
            <v>800000</v>
          </cell>
          <cell r="AK43">
            <v>1074500</v>
          </cell>
          <cell r="AL43">
            <v>0</v>
          </cell>
          <cell r="AM43">
            <v>9000</v>
          </cell>
          <cell r="AN43">
            <v>18500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1718000</v>
          </cell>
          <cell r="AT43">
            <v>120000</v>
          </cell>
          <cell r="AU43">
            <v>0</v>
          </cell>
          <cell r="AV43">
            <v>0</v>
          </cell>
          <cell r="AW43">
            <v>1279500</v>
          </cell>
          <cell r="AX43">
            <v>1691500</v>
          </cell>
          <cell r="AY43">
            <v>3444500</v>
          </cell>
          <cell r="AZ43">
            <v>5432500</v>
          </cell>
          <cell r="BA43">
            <v>1077000</v>
          </cell>
          <cell r="BB43">
            <v>175000</v>
          </cell>
          <cell r="BC43">
            <v>800000</v>
          </cell>
          <cell r="BD43">
            <v>4355500</v>
          </cell>
          <cell r="BE43">
            <v>0</v>
          </cell>
          <cell r="BF43">
            <v>0</v>
          </cell>
          <cell r="BH43">
            <v>12000</v>
          </cell>
          <cell r="BI43">
            <v>0</v>
          </cell>
          <cell r="BJ43">
            <v>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-59000</v>
          </cell>
          <cell r="D44">
            <v>6055500</v>
          </cell>
          <cell r="E44">
            <v>1024500</v>
          </cell>
          <cell r="F44">
            <v>800000</v>
          </cell>
          <cell r="G44">
            <v>868000</v>
          </cell>
          <cell r="H44">
            <v>9000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211500</v>
          </cell>
          <cell r="Q44">
            <v>761500</v>
          </cell>
          <cell r="R44">
            <v>1144500</v>
          </cell>
          <cell r="S44">
            <v>0</v>
          </cell>
          <cell r="U44">
            <v>7969500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0</v>
          </cell>
          <cell r="AA44">
            <v>0</v>
          </cell>
          <cell r="AC44">
            <v>10000</v>
          </cell>
          <cell r="AD44">
            <v>8500</v>
          </cell>
          <cell r="AE44">
            <v>30000</v>
          </cell>
          <cell r="AF44">
            <v>0</v>
          </cell>
          <cell r="AG44">
            <v>0</v>
          </cell>
          <cell r="AI44">
            <v>89500</v>
          </cell>
          <cell r="AJ44">
            <v>800000</v>
          </cell>
          <cell r="AK44">
            <v>1074500</v>
          </cell>
          <cell r="AL44">
            <v>0</v>
          </cell>
          <cell r="AM44">
            <v>9000</v>
          </cell>
          <cell r="AN44">
            <v>18500</v>
          </cell>
          <cell r="AO44">
            <v>0</v>
          </cell>
          <cell r="AQ44">
            <v>0</v>
          </cell>
          <cell r="AR44">
            <v>0</v>
          </cell>
          <cell r="AS44">
            <v>1718000</v>
          </cell>
          <cell r="AT44">
            <v>120000</v>
          </cell>
          <cell r="AU44">
            <v>0</v>
          </cell>
          <cell r="AV44">
            <v>0</v>
          </cell>
          <cell r="AW44">
            <v>1279500</v>
          </cell>
          <cell r="AX44">
            <v>1691500</v>
          </cell>
          <cell r="AY44">
            <v>3444500</v>
          </cell>
          <cell r="AZ44">
            <v>5432500</v>
          </cell>
          <cell r="BA44">
            <v>1077000</v>
          </cell>
          <cell r="BB44">
            <v>175000</v>
          </cell>
          <cell r="BC44">
            <v>800000</v>
          </cell>
          <cell r="BD44">
            <v>4355500</v>
          </cell>
          <cell r="BE44">
            <v>0</v>
          </cell>
          <cell r="BF44">
            <v>0</v>
          </cell>
          <cell r="BH44">
            <v>12000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1024500</v>
          </cell>
          <cell r="BB45" t="str">
            <v>ESPECES EN CAISSE</v>
          </cell>
          <cell r="BD45"/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1024500</v>
          </cell>
          <cell r="BB46" t="str">
            <v>ESPECES EN CAISSE</v>
          </cell>
          <cell r="BD46">
            <v>-4355500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-52500</v>
          </cell>
          <cell r="BD47">
            <v>-4355500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4355500</v>
          </cell>
          <cell r="D49">
            <v>6055500</v>
          </cell>
          <cell r="E49">
            <v>-1700000</v>
          </cell>
          <cell r="F49"/>
          <cell r="G49">
            <v>1024500</v>
          </cell>
          <cell r="H49">
            <v>1077000</v>
          </cell>
          <cell r="I49">
            <v>-52500</v>
          </cell>
          <cell r="J49"/>
        </row>
        <row r="50">
          <cell r="B50" t="str">
            <v>OPERATIONS DU JOUR</v>
          </cell>
          <cell r="C50">
            <v>4355500</v>
          </cell>
          <cell r="D50">
            <v>6055500</v>
          </cell>
          <cell r="E50">
            <v>-1700000</v>
          </cell>
          <cell r="G50">
            <v>1024500</v>
          </cell>
          <cell r="H50">
            <v>1077000</v>
          </cell>
          <cell r="I50">
            <v>-52500</v>
          </cell>
          <cell r="BO50" t="str">
            <v>FOYER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A6">
            <v>5500</v>
          </cell>
          <cell r="BB6"/>
          <cell r="BC6">
            <v>0</v>
          </cell>
          <cell r="BD6">
            <v>500</v>
          </cell>
          <cell r="BE6"/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2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125000</v>
          </cell>
          <cell r="E8">
            <v>101000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101000</v>
          </cell>
          <cell r="R8">
            <v>0</v>
          </cell>
          <cell r="S8">
            <v>500000</v>
          </cell>
          <cell r="T8" t="str">
            <v>BANQUE</v>
          </cell>
          <cell r="U8">
            <v>726000</v>
          </cell>
          <cell r="V8"/>
          <cell r="W8"/>
          <cell r="X8"/>
          <cell r="Y8">
            <v>125000</v>
          </cell>
          <cell r="Z8">
            <v>500000</v>
          </cell>
          <cell r="AA8" t="str">
            <v>BANQUE</v>
          </cell>
          <cell r="AB8"/>
          <cell r="AC8"/>
          <cell r="AD8">
            <v>7500</v>
          </cell>
          <cell r="AE8"/>
          <cell r="AF8"/>
          <cell r="AG8"/>
          <cell r="AH8"/>
          <cell r="AI8">
            <v>50000</v>
          </cell>
          <cell r="AJ8">
            <v>200000</v>
          </cell>
          <cell r="AK8"/>
          <cell r="AL8">
            <v>500</v>
          </cell>
          <cell r="AM8">
            <v>2000</v>
          </cell>
          <cell r="AN8"/>
          <cell r="AO8"/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50000</v>
          </cell>
          <cell r="AX8">
            <v>1092500</v>
          </cell>
          <cell r="AY8">
            <v>0</v>
          </cell>
          <cell r="AZ8">
            <v>1727500</v>
          </cell>
          <cell r="BA8">
            <v>350000</v>
          </cell>
          <cell r="BB8"/>
          <cell r="BC8">
            <v>0</v>
          </cell>
          <cell r="BD8">
            <v>1377500</v>
          </cell>
          <cell r="BE8"/>
          <cell r="BF8">
            <v>15000</v>
          </cell>
          <cell r="BG8">
            <v>3</v>
          </cell>
          <cell r="BH8"/>
          <cell r="BI8"/>
          <cell r="BJ8"/>
          <cell r="BK8">
            <v>100000</v>
          </cell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426500</v>
          </cell>
          <cell r="F9">
            <v>0</v>
          </cell>
          <cell r="G9"/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176500</v>
          </cell>
          <cell r="S9"/>
          <cell r="T9"/>
          <cell r="U9">
            <v>426500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>
            <v>50000</v>
          </cell>
          <cell r="AJ9"/>
          <cell r="AK9">
            <v>200000</v>
          </cell>
          <cell r="AL9">
            <v>500</v>
          </cell>
          <cell r="AM9"/>
          <cell r="AN9">
            <v>4000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50000</v>
          </cell>
          <cell r="AX9">
            <v>0</v>
          </cell>
          <cell r="AY9">
            <v>200000</v>
          </cell>
          <cell r="AZ9">
            <v>250000</v>
          </cell>
          <cell r="BA9">
            <v>250000</v>
          </cell>
          <cell r="BB9"/>
          <cell r="BC9">
            <v>0</v>
          </cell>
          <cell r="BD9">
            <v>0</v>
          </cell>
          <cell r="BE9"/>
          <cell r="BF9">
            <v>0</v>
          </cell>
          <cell r="BG9">
            <v>2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50000</v>
          </cell>
          <cell r="E10">
            <v>0</v>
          </cell>
          <cell r="F10">
            <v>0</v>
          </cell>
          <cell r="G10"/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>
            <v>50000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50000</v>
          </cell>
          <cell r="AJ10"/>
          <cell r="AK10"/>
          <cell r="AL10">
            <v>1000</v>
          </cell>
          <cell r="AM10"/>
          <cell r="AN10"/>
          <cell r="AO10"/>
          <cell r="AP10"/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50000</v>
          </cell>
          <cell r="AX10">
            <v>0</v>
          </cell>
          <cell r="AY10">
            <v>0</v>
          </cell>
          <cell r="AZ10">
            <v>50000</v>
          </cell>
          <cell r="BA10">
            <v>50000</v>
          </cell>
          <cell r="BB10"/>
          <cell r="BC10">
            <v>0</v>
          </cell>
          <cell r="BD10">
            <v>0</v>
          </cell>
          <cell r="BE10"/>
          <cell r="BF10">
            <v>0</v>
          </cell>
          <cell r="BG10">
            <v>2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-1000</v>
          </cell>
          <cell r="D11">
            <v>150000</v>
          </cell>
          <cell r="E11">
            <v>205500</v>
          </cell>
          <cell r="F11">
            <v>0</v>
          </cell>
          <cell r="G11"/>
          <cell r="H11">
            <v>3000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203500</v>
          </cell>
          <cell r="S11"/>
          <cell r="T11"/>
          <cell r="U11">
            <v>356500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>
            <v>50000</v>
          </cell>
          <cell r="AJ11"/>
          <cell r="AK11">
            <v>159500</v>
          </cell>
          <cell r="AL11">
            <v>500</v>
          </cell>
          <cell r="AM11"/>
          <cell r="AN11">
            <v>6000</v>
          </cell>
          <cell r="AO11"/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50000</v>
          </cell>
          <cell r="AX11">
            <v>0</v>
          </cell>
          <cell r="AY11">
            <v>159500</v>
          </cell>
          <cell r="AZ11">
            <v>209500</v>
          </cell>
          <cell r="BA11">
            <v>209500</v>
          </cell>
          <cell r="BB11"/>
          <cell r="BC11">
            <v>0</v>
          </cell>
          <cell r="BD11">
            <v>0</v>
          </cell>
          <cell r="BE11"/>
          <cell r="BF11">
            <v>0</v>
          </cell>
          <cell r="BG11">
            <v>2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-148500</v>
          </cell>
          <cell r="D12">
            <v>1125000</v>
          </cell>
          <cell r="E12">
            <v>0</v>
          </cell>
          <cell r="F12">
            <v>0</v>
          </cell>
          <cell r="G12">
            <v>23500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 t="str">
            <v>BANQUE</v>
          </cell>
          <cell r="U12">
            <v>1273500</v>
          </cell>
          <cell r="V12"/>
          <cell r="W12"/>
          <cell r="X12"/>
          <cell r="Y12">
            <v>250000</v>
          </cell>
          <cell r="Z12">
            <v>150000</v>
          </cell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48500</v>
          </cell>
          <cell r="AT12"/>
          <cell r="AV12"/>
          <cell r="AW12">
            <v>0</v>
          </cell>
          <cell r="AX12">
            <v>0</v>
          </cell>
          <cell r="AY12">
            <v>0</v>
          </cell>
          <cell r="AZ12">
            <v>148500</v>
          </cell>
          <cell r="BA12"/>
          <cell r="BB12"/>
          <cell r="BC12">
            <v>0</v>
          </cell>
          <cell r="BD12">
            <v>148500</v>
          </cell>
          <cell r="BE12"/>
          <cell r="BF12">
            <v>1500</v>
          </cell>
          <cell r="BG12">
            <v>1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2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-3000</v>
          </cell>
          <cell r="H14">
            <v>3000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22000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2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150000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2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2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-400000</v>
          </cell>
          <cell r="D17">
            <v>351500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101500</v>
          </cell>
          <cell r="R17">
            <v>0</v>
          </cell>
          <cell r="S17">
            <v>400000</v>
          </cell>
          <cell r="T17" t="str">
            <v>BANQUE</v>
          </cell>
          <cell r="U17">
            <v>751500</v>
          </cell>
          <cell r="V17"/>
          <cell r="W17"/>
          <cell r="X17"/>
          <cell r="Y17">
            <v>225000</v>
          </cell>
          <cell r="Z17">
            <v>400000</v>
          </cell>
          <cell r="AA17" t="str">
            <v>BANQUE</v>
          </cell>
          <cell r="AB17"/>
          <cell r="AC17"/>
          <cell r="AD17"/>
          <cell r="AE17"/>
          <cell r="AF17"/>
          <cell r="AG17"/>
          <cell r="AH17"/>
          <cell r="AI17">
            <v>50000</v>
          </cell>
          <cell r="AJ17">
            <v>100000</v>
          </cell>
          <cell r="AK17"/>
          <cell r="AL17">
            <v>500</v>
          </cell>
          <cell r="AM17">
            <v>1000</v>
          </cell>
          <cell r="AN17"/>
          <cell r="AO17"/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T17"/>
          <cell r="AV17"/>
          <cell r="AW17">
            <v>50000</v>
          </cell>
          <cell r="AX17">
            <v>100000</v>
          </cell>
          <cell r="AY17">
            <v>0</v>
          </cell>
          <cell r="AZ17">
            <v>546000</v>
          </cell>
          <cell r="BA17">
            <v>150000</v>
          </cell>
          <cell r="BB17"/>
          <cell r="BC17">
            <v>0</v>
          </cell>
          <cell r="BD17">
            <v>396000</v>
          </cell>
          <cell r="BE17"/>
          <cell r="BF17">
            <v>4000</v>
          </cell>
          <cell r="BG17">
            <v>1</v>
          </cell>
          <cell r="BH17"/>
          <cell r="BI17"/>
          <cell r="BJ17"/>
          <cell r="BK17"/>
          <cell r="BL17"/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100000</v>
          </cell>
          <cell r="E18">
            <v>50000</v>
          </cell>
          <cell r="F18">
            <v>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/>
          <cell r="T18"/>
          <cell r="U18">
            <v>150000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/>
          <cell r="AF18"/>
          <cell r="AG18"/>
          <cell r="AH18"/>
          <cell r="AI18">
            <v>50000</v>
          </cell>
          <cell r="AJ18"/>
          <cell r="AK18">
            <v>100000</v>
          </cell>
          <cell r="AL18">
            <v>1000</v>
          </cell>
          <cell r="AM18"/>
          <cell r="AN18">
            <v>2500</v>
          </cell>
          <cell r="AO18"/>
          <cell r="AP18"/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50000</v>
          </cell>
          <cell r="AX18">
            <v>0</v>
          </cell>
          <cell r="AY18">
            <v>100000</v>
          </cell>
          <cell r="AZ18">
            <v>150000</v>
          </cell>
          <cell r="BA18">
            <v>90000</v>
          </cell>
          <cell r="BB18"/>
          <cell r="BC18">
            <v>0</v>
          </cell>
          <cell r="BD18">
            <v>10000</v>
          </cell>
          <cell r="BE18"/>
          <cell r="BF18">
            <v>0</v>
          </cell>
          <cell r="BG18">
            <v>2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-101000</v>
          </cell>
          <cell r="D19">
            <v>0</v>
          </cell>
          <cell r="E19">
            <v>336000</v>
          </cell>
          <cell r="F19">
            <v>0</v>
          </cell>
          <cell r="G19">
            <v>7000</v>
          </cell>
          <cell r="H19">
            <v>3000</v>
          </cell>
          <cell r="I19" t="str">
            <v>ESPECES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101000</v>
          </cell>
          <cell r="R19">
            <v>101000</v>
          </cell>
          <cell r="S19"/>
          <cell r="T19"/>
          <cell r="U19">
            <v>437000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T19"/>
          <cell r="AV19"/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/>
          <cell r="BB19"/>
          <cell r="BC19">
            <v>0</v>
          </cell>
          <cell r="BD19">
            <v>0</v>
          </cell>
          <cell r="BE19"/>
          <cell r="BF19">
            <v>0</v>
          </cell>
          <cell r="BG19">
            <v>2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50000</v>
          </cell>
          <cell r="E20">
            <v>0</v>
          </cell>
          <cell r="F20">
            <v>0</v>
          </cell>
          <cell r="G20">
            <v>50000</v>
          </cell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/>
          <cell r="T20"/>
          <cell r="U20">
            <v>50000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>
            <v>50000</v>
          </cell>
          <cell r="AJ20"/>
          <cell r="AK20"/>
          <cell r="AL20">
            <v>1000</v>
          </cell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50000</v>
          </cell>
          <cell r="AX20">
            <v>0</v>
          </cell>
          <cell r="AY20">
            <v>0</v>
          </cell>
          <cell r="AZ20">
            <v>50000</v>
          </cell>
          <cell r="BA20">
            <v>50000</v>
          </cell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2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2500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1000000</v>
          </cell>
          <cell r="T21" t="str">
            <v>BANQUE</v>
          </cell>
          <cell r="U21">
            <v>50000</v>
          </cell>
          <cell r="V21"/>
          <cell r="W21"/>
          <cell r="X21"/>
          <cell r="Y21">
            <v>50000</v>
          </cell>
          <cell r="Z21">
            <v>1000000</v>
          </cell>
          <cell r="AA21" t="str">
            <v>BANQUE</v>
          </cell>
          <cell r="AB21"/>
          <cell r="AC21"/>
          <cell r="AD21"/>
          <cell r="AE21"/>
          <cell r="AF21"/>
          <cell r="AG21"/>
          <cell r="AH21"/>
          <cell r="AI21">
            <v>50000</v>
          </cell>
          <cell r="AJ21">
            <v>200000</v>
          </cell>
          <cell r="AK21">
            <v>200000</v>
          </cell>
          <cell r="AL21">
            <v>1000</v>
          </cell>
          <cell r="AM21">
            <v>2500</v>
          </cell>
          <cell r="AN21">
            <v>5500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50000</v>
          </cell>
          <cell r="AX21">
            <v>0</v>
          </cell>
          <cell r="AY21">
            <v>0</v>
          </cell>
          <cell r="AZ21">
            <v>50000</v>
          </cell>
          <cell r="BA21">
            <v>50000</v>
          </cell>
          <cell r="BB21"/>
          <cell r="BC21">
            <v>0</v>
          </cell>
          <cell r="BD21">
            <v>0</v>
          </cell>
          <cell r="BE21"/>
          <cell r="BF21">
            <v>0</v>
          </cell>
          <cell r="BG21">
            <v>2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428500</v>
          </cell>
          <cell r="E22">
            <v>205000</v>
          </cell>
          <cell r="F22">
            <v>0</v>
          </cell>
          <cell r="G22">
            <v>2500</v>
          </cell>
          <cell r="H22">
            <v>3000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202000</v>
          </cell>
          <cell r="R22">
            <v>101000</v>
          </cell>
          <cell r="S22">
            <v>1000000</v>
          </cell>
          <cell r="T22" t="str">
            <v>BANQUE</v>
          </cell>
          <cell r="U22">
            <v>1633500</v>
          </cell>
          <cell r="V22"/>
          <cell r="W22"/>
          <cell r="X22"/>
          <cell r="Y22">
            <v>325000</v>
          </cell>
          <cell r="Z22">
            <v>1000000</v>
          </cell>
          <cell r="AA22" t="str">
            <v>BANQUE</v>
          </cell>
          <cell r="AB22"/>
          <cell r="AC22"/>
          <cell r="AD22"/>
          <cell r="AE22"/>
          <cell r="AF22"/>
          <cell r="AG22"/>
          <cell r="AH22"/>
          <cell r="AI22">
            <v>50000</v>
          </cell>
          <cell r="AJ22">
            <v>200000</v>
          </cell>
          <cell r="AK22">
            <v>200000</v>
          </cell>
          <cell r="AL22">
            <v>1000</v>
          </cell>
          <cell r="AM22">
            <v>2500</v>
          </cell>
          <cell r="AN22">
            <v>5500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27500</v>
          </cell>
          <cell r="AT22"/>
          <cell r="AV22"/>
          <cell r="AW22">
            <v>50000</v>
          </cell>
          <cell r="AX22">
            <v>200000</v>
          </cell>
          <cell r="AY22">
            <v>200000</v>
          </cell>
          <cell r="AZ22">
            <v>1420000</v>
          </cell>
          <cell r="BA22">
            <v>371000</v>
          </cell>
          <cell r="BB22"/>
          <cell r="BC22">
            <v>0</v>
          </cell>
          <cell r="BD22">
            <v>1049000</v>
          </cell>
          <cell r="BE22"/>
          <cell r="BF22">
            <v>30000</v>
          </cell>
          <cell r="BG22">
            <v>3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/>
          <cell r="BF23">
            <v>0</v>
          </cell>
          <cell r="BG23">
            <v>2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500000</v>
          </cell>
          <cell r="T24" t="str">
            <v>BANQUE</v>
          </cell>
          <cell r="U24">
            <v>125000</v>
          </cell>
          <cell r="V24"/>
          <cell r="W24"/>
          <cell r="X24"/>
          <cell r="Y24">
            <v>125000</v>
          </cell>
          <cell r="Z24">
            <v>500000</v>
          </cell>
          <cell r="AA24" t="str">
            <v>BANQUE</v>
          </cell>
          <cell r="AB24"/>
          <cell r="AC24"/>
          <cell r="AD24"/>
          <cell r="AE24"/>
          <cell r="AF24"/>
          <cell r="AG24"/>
          <cell r="AH24"/>
          <cell r="AI24"/>
          <cell r="AJ24"/>
          <cell r="AK24">
            <v>100000</v>
          </cell>
          <cell r="AL24"/>
          <cell r="AM24"/>
          <cell r="AN24">
            <v>2500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100000</v>
          </cell>
          <cell r="BB24"/>
          <cell r="BC24">
            <v>0</v>
          </cell>
          <cell r="BD24">
            <v>0</v>
          </cell>
          <cell r="BE24"/>
          <cell r="BF24">
            <v>0</v>
          </cell>
          <cell r="BG24">
            <v>2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-500000</v>
          </cell>
          <cell r="D25">
            <v>275000</v>
          </cell>
          <cell r="E25">
            <v>102500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S25">
            <v>500000</v>
          </cell>
          <cell r="T25" t="str">
            <v>BANQUE</v>
          </cell>
          <cell r="U25">
            <v>862500</v>
          </cell>
          <cell r="V25"/>
          <cell r="W25"/>
          <cell r="X25"/>
          <cell r="Y25">
            <v>250000</v>
          </cell>
          <cell r="Z25">
            <v>500000</v>
          </cell>
          <cell r="AA25" t="str">
            <v>BANQUE</v>
          </cell>
          <cell r="AB25"/>
          <cell r="AC25"/>
          <cell r="AD25"/>
          <cell r="AE25"/>
          <cell r="AF25"/>
          <cell r="AG25"/>
          <cell r="AH25"/>
          <cell r="AI25"/>
          <cell r="AJ25">
            <v>100000</v>
          </cell>
          <cell r="AK25">
            <v>100000</v>
          </cell>
          <cell r="AL25"/>
          <cell r="AM25">
            <v>1500</v>
          </cell>
          <cell r="AN25">
            <v>2500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100000</v>
          </cell>
          <cell r="AZ25">
            <v>600000</v>
          </cell>
          <cell r="BA25">
            <v>100000</v>
          </cell>
          <cell r="BB25"/>
          <cell r="BC25">
            <v>0</v>
          </cell>
          <cell r="BD25">
            <v>500000</v>
          </cell>
          <cell r="BE25"/>
          <cell r="BF25">
            <v>15000</v>
          </cell>
          <cell r="BG25">
            <v>3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136500</v>
          </cell>
          <cell r="D26">
            <v>240000</v>
          </cell>
          <cell r="E26">
            <v>237500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101000</v>
          </cell>
          <cell r="R26">
            <v>0</v>
          </cell>
          <cell r="S26"/>
          <cell r="T26"/>
          <cell r="U26">
            <v>341000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>
            <v>50000</v>
          </cell>
          <cell r="AJ26">
            <v>100000</v>
          </cell>
          <cell r="AK26">
            <v>100000</v>
          </cell>
          <cell r="AL26">
            <v>500</v>
          </cell>
          <cell r="AM26">
            <v>1500</v>
          </cell>
          <cell r="AN26">
            <v>2500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100000</v>
          </cell>
          <cell r="AY26">
            <v>0</v>
          </cell>
          <cell r="AZ26">
            <v>100000</v>
          </cell>
          <cell r="BA26">
            <v>100000</v>
          </cell>
          <cell r="BB26"/>
          <cell r="BC26">
            <v>0</v>
          </cell>
          <cell r="BD26">
            <v>0</v>
          </cell>
          <cell r="BE26"/>
          <cell r="BF26">
            <v>0</v>
          </cell>
          <cell r="BG26">
            <v>2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460000</v>
          </cell>
          <cell r="E27">
            <v>0</v>
          </cell>
          <cell r="F27">
            <v>0</v>
          </cell>
          <cell r="G27">
            <v>5000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205000</v>
          </cell>
          <cell r="S27">
            <v>1000000</v>
          </cell>
          <cell r="T27" t="str">
            <v>BANQUE</v>
          </cell>
          <cell r="U27">
            <v>460000</v>
          </cell>
          <cell r="V27"/>
          <cell r="W27"/>
          <cell r="X27"/>
          <cell r="Y27">
            <v>250000</v>
          </cell>
          <cell r="Z27">
            <v>1000000</v>
          </cell>
          <cell r="AA27" t="str">
            <v>BANQUE</v>
          </cell>
          <cell r="AB27"/>
          <cell r="AC27"/>
          <cell r="AD27"/>
          <cell r="AE27"/>
          <cell r="AF27"/>
          <cell r="AG27"/>
          <cell r="AH27"/>
          <cell r="AI27">
            <v>50000</v>
          </cell>
          <cell r="AJ27"/>
          <cell r="AK27">
            <v>100000</v>
          </cell>
          <cell r="AL27">
            <v>500</v>
          </cell>
          <cell r="AM27"/>
          <cell r="AN27">
            <v>2500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30000</v>
          </cell>
          <cell r="AT27"/>
          <cell r="AV27"/>
          <cell r="AW27">
            <v>50000</v>
          </cell>
          <cell r="AX27">
            <v>0</v>
          </cell>
          <cell r="AY27">
            <v>100000</v>
          </cell>
          <cell r="AZ27">
            <v>150000</v>
          </cell>
          <cell r="BA27">
            <v>50000</v>
          </cell>
          <cell r="BB27"/>
          <cell r="BC27">
            <v>0</v>
          </cell>
          <cell r="BD27">
            <v>100000</v>
          </cell>
          <cell r="BE27"/>
          <cell r="BF27">
            <v>0</v>
          </cell>
          <cell r="BG27">
            <v>2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-1000000</v>
          </cell>
          <cell r="D28">
            <v>50000</v>
          </cell>
          <cell r="E28">
            <v>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1050000</v>
          </cell>
          <cell r="V28"/>
          <cell r="W28"/>
          <cell r="X28"/>
          <cell r="Y28">
            <v>50000</v>
          </cell>
          <cell r="Z28">
            <v>1000000</v>
          </cell>
          <cell r="AA28" t="str">
            <v>BANQUE</v>
          </cell>
          <cell r="AB28"/>
          <cell r="AC28"/>
          <cell r="AD28"/>
          <cell r="AE28"/>
          <cell r="AF28"/>
          <cell r="AG28"/>
          <cell r="AH28"/>
          <cell r="AI28">
            <v>50000</v>
          </cell>
          <cell r="AJ28"/>
          <cell r="AK28"/>
          <cell r="AL28">
            <v>500</v>
          </cell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50000</v>
          </cell>
          <cell r="AX28">
            <v>0</v>
          </cell>
          <cell r="AY28">
            <v>0</v>
          </cell>
          <cell r="AZ28">
            <v>1020000</v>
          </cell>
          <cell r="BA28">
            <v>50000</v>
          </cell>
          <cell r="BB28"/>
          <cell r="BC28">
            <v>0</v>
          </cell>
          <cell r="BD28">
            <v>970000</v>
          </cell>
          <cell r="BE28"/>
          <cell r="BF28">
            <v>30000</v>
          </cell>
          <cell r="BG28">
            <v>3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/>
          <cell r="T29"/>
          <cell r="U29">
            <v>50000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2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>
            <v>59000</v>
          </cell>
          <cell r="AJ30"/>
          <cell r="AK30"/>
          <cell r="AL30"/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2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109000</v>
          </cell>
          <cell r="V31"/>
          <cell r="W31"/>
          <cell r="X31"/>
          <cell r="Y31">
            <v>50000</v>
          </cell>
          <cell r="Z31">
            <v>1000000</v>
          </cell>
          <cell r="AA31" t="str">
            <v>BANQUE</v>
          </cell>
          <cell r="AB31"/>
          <cell r="AC31"/>
          <cell r="AD31"/>
          <cell r="AE31">
            <v>15000</v>
          </cell>
          <cell r="AF31"/>
          <cell r="AG31"/>
          <cell r="AH31"/>
          <cell r="AI31">
            <v>59000</v>
          </cell>
          <cell r="AJ31"/>
          <cell r="AK31">
            <v>200000</v>
          </cell>
          <cell r="AL31">
            <v>1000</v>
          </cell>
          <cell r="AM31"/>
          <cell r="AN31">
            <v>7000</v>
          </cell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A31">
            <v>250000</v>
          </cell>
          <cell r="BB31"/>
          <cell r="BC31">
            <v>0</v>
          </cell>
          <cell r="BD31">
            <v>59000</v>
          </cell>
          <cell r="BE31"/>
          <cell r="BF31">
            <v>0</v>
          </cell>
          <cell r="BG31">
            <v>2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250000</v>
          </cell>
          <cell r="E32">
            <v>206500</v>
          </cell>
          <cell r="F32">
            <v>0</v>
          </cell>
          <cell r="G32"/>
          <cell r="H32">
            <v>3000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203500</v>
          </cell>
          <cell r="S32">
            <v>1000000</v>
          </cell>
          <cell r="T32" t="str">
            <v>BANQUE</v>
          </cell>
          <cell r="U32">
            <v>1456500</v>
          </cell>
          <cell r="V32"/>
          <cell r="W32"/>
          <cell r="X32"/>
          <cell r="Y32">
            <v>250000</v>
          </cell>
          <cell r="Z32">
            <v>1000000</v>
          </cell>
          <cell r="AA32" t="str">
            <v>BANQUE</v>
          </cell>
          <cell r="AB32"/>
          <cell r="AC32"/>
          <cell r="AD32"/>
          <cell r="AE32">
            <v>15000</v>
          </cell>
          <cell r="AF32"/>
          <cell r="AG32"/>
          <cell r="AH32"/>
          <cell r="AI32">
            <v>50000</v>
          </cell>
          <cell r="AJ32"/>
          <cell r="AK32">
            <v>200000</v>
          </cell>
          <cell r="AL32">
            <v>1000</v>
          </cell>
          <cell r="AM32"/>
          <cell r="AN32">
            <v>7000</v>
          </cell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50000</v>
          </cell>
          <cell r="AX32">
            <v>0</v>
          </cell>
          <cell r="AY32">
            <v>1385000</v>
          </cell>
          <cell r="AZ32">
            <v>2405000</v>
          </cell>
          <cell r="BA32">
            <v>250000</v>
          </cell>
          <cell r="BB32"/>
          <cell r="BC32">
            <v>0</v>
          </cell>
          <cell r="BD32">
            <v>2155000</v>
          </cell>
          <cell r="BE32"/>
          <cell r="BF32">
            <v>30000</v>
          </cell>
          <cell r="BG32">
            <v>3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G33"/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L33"/>
          <cell r="M33"/>
          <cell r="N33"/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500000</v>
          </cell>
          <cell r="T33" t="str">
            <v>BANQUE</v>
          </cell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>
            <v>30500</v>
          </cell>
          <cell r="AJ33"/>
          <cell r="AK33"/>
          <cell r="AL33"/>
          <cell r="AM33"/>
          <cell r="AN33"/>
          <cell r="AO33"/>
          <cell r="AP33" t="str">
            <v>BANQUE</v>
          </cell>
          <cell r="AQ33">
            <v>0</v>
          </cell>
          <cell r="AR33">
            <v>0</v>
          </cell>
          <cell r="AS33">
            <v>25000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/>
          <cell r="BF33">
            <v>0</v>
          </cell>
          <cell r="BG33">
            <v>2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-30500</v>
          </cell>
          <cell r="D34">
            <v>0</v>
          </cell>
          <cell r="E34">
            <v>500000</v>
          </cell>
          <cell r="F34">
            <v>0</v>
          </cell>
          <cell r="G34"/>
          <cell r="H34">
            <v>0</v>
          </cell>
          <cell r="I34" t="str">
            <v>ESPECES</v>
          </cell>
          <cell r="J34">
            <v>1</v>
          </cell>
          <cell r="K34">
            <v>50000</v>
          </cell>
          <cell r="L34">
            <v>1</v>
          </cell>
          <cell r="M34">
            <v>75000</v>
          </cell>
          <cell r="N34"/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BANQUE</v>
          </cell>
          <cell r="U34">
            <v>530500</v>
          </cell>
          <cell r="V34"/>
          <cell r="W34"/>
          <cell r="X34"/>
          <cell r="Y34">
            <v>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>
            <v>30500</v>
          </cell>
          <cell r="AJ34">
            <v>100000</v>
          </cell>
          <cell r="AK34"/>
          <cell r="AL34">
            <v>1000</v>
          </cell>
          <cell r="AM34">
            <v>1000</v>
          </cell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-25000</v>
          </cell>
          <cell r="AT34"/>
          <cell r="AV34"/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A34">
            <v>150000</v>
          </cell>
          <cell r="BB34"/>
          <cell r="BC34">
            <v>0</v>
          </cell>
          <cell r="BD34">
            <v>30500</v>
          </cell>
          <cell r="BE34"/>
          <cell r="BF34">
            <v>0</v>
          </cell>
          <cell r="BG34">
            <v>2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202500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202500</v>
          </cell>
          <cell r="R35">
            <v>0</v>
          </cell>
          <cell r="S35"/>
          <cell r="T35"/>
          <cell r="U35">
            <v>327500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>
            <v>50000</v>
          </cell>
          <cell r="AJ35">
            <v>100000</v>
          </cell>
          <cell r="AK35">
            <v>100000</v>
          </cell>
          <cell r="AL35">
            <v>1000</v>
          </cell>
          <cell r="AM35">
            <v>1000</v>
          </cell>
          <cell r="AN35">
            <v>2500</v>
          </cell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50000</v>
          </cell>
          <cell r="AX35">
            <v>100000</v>
          </cell>
          <cell r="AY35">
            <v>0</v>
          </cell>
          <cell r="AZ35">
            <v>150000</v>
          </cell>
          <cell r="BA35">
            <v>150000</v>
          </cell>
          <cell r="BB35"/>
          <cell r="BC35">
            <v>0</v>
          </cell>
          <cell r="BD35">
            <v>0</v>
          </cell>
          <cell r="BE35"/>
          <cell r="BF35">
            <v>0</v>
          </cell>
          <cell r="BG35">
            <v>2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150000</v>
          </cell>
          <cell r="V36"/>
          <cell r="W36"/>
          <cell r="X36"/>
          <cell r="Y36">
            <v>150000</v>
          </cell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>
            <v>100000</v>
          </cell>
          <cell r="AL36"/>
          <cell r="AM36"/>
          <cell r="AN36">
            <v>2500</v>
          </cell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B36"/>
          <cell r="BC36">
            <v>0</v>
          </cell>
          <cell r="BD36">
            <v>0</v>
          </cell>
          <cell r="BE36"/>
          <cell r="BF36">
            <v>0</v>
          </cell>
          <cell r="BG36">
            <v>2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>
            <v>-3000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2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/>
          <cell r="AE38"/>
          <cell r="AF38"/>
          <cell r="AG38"/>
          <cell r="AH38"/>
          <cell r="AI38">
            <v>50000</v>
          </cell>
          <cell r="AJ38">
            <v>100000</v>
          </cell>
          <cell r="AK38"/>
          <cell r="AL38">
            <v>1000</v>
          </cell>
          <cell r="AM38">
            <v>1500</v>
          </cell>
          <cell r="AN38"/>
          <cell r="AO38"/>
          <cell r="AP38"/>
          <cell r="AQ38">
            <v>0</v>
          </cell>
          <cell r="AR38">
            <v>0</v>
          </cell>
          <cell r="AS38">
            <v>22000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150000</v>
          </cell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2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125000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/>
          <cell r="T39"/>
          <cell r="U39">
            <v>125000</v>
          </cell>
          <cell r="V39"/>
          <cell r="W39"/>
          <cell r="X39"/>
          <cell r="Y39">
            <v>125000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>
            <v>50000</v>
          </cell>
          <cell r="AJ39">
            <v>100000</v>
          </cell>
          <cell r="AK39"/>
          <cell r="AL39">
            <v>1000</v>
          </cell>
          <cell r="AM39">
            <v>1500</v>
          </cell>
          <cell r="AN39"/>
          <cell r="AO39"/>
          <cell r="AP39"/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50000</v>
          </cell>
          <cell r="AX39">
            <v>100000</v>
          </cell>
          <cell r="AY39">
            <v>0</v>
          </cell>
          <cell r="AZ39">
            <v>150000</v>
          </cell>
          <cell r="BA39">
            <v>150000</v>
          </cell>
          <cell r="BB39"/>
          <cell r="BC39">
            <v>0</v>
          </cell>
          <cell r="BD39">
            <v>0</v>
          </cell>
          <cell r="BE39"/>
          <cell r="BF39">
            <v>0</v>
          </cell>
          <cell r="BG39">
            <v>2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G40"/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>
            <v>15000</v>
          </cell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500000</v>
          </cell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2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G41"/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253000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>
            <v>15000</v>
          </cell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1185000</v>
          </cell>
          <cell r="AZ41">
            <v>1185000</v>
          </cell>
          <cell r="BA41">
            <v>500000</v>
          </cell>
          <cell r="BB41"/>
          <cell r="BC41">
            <v>0</v>
          </cell>
          <cell r="BD41">
            <v>685000</v>
          </cell>
          <cell r="BE41"/>
          <cell r="BF41">
            <v>0</v>
          </cell>
          <cell r="BG41">
            <v>2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2</v>
          </cell>
        </row>
        <row r="43">
          <cell r="B43" t="str">
            <v>LOWE</v>
          </cell>
          <cell r="C43">
            <v>-4455000</v>
          </cell>
          <cell r="D43">
            <v>5455000</v>
          </cell>
          <cell r="E43">
            <v>50000</v>
          </cell>
          <cell r="F43">
            <v>0</v>
          </cell>
          <cell r="G43">
            <v>83500</v>
          </cell>
          <cell r="H43">
            <v>21000</v>
          </cell>
          <cell r="I43">
            <v>0</v>
          </cell>
          <cell r="J43">
            <v>34</v>
          </cell>
          <cell r="K43">
            <v>1700000</v>
          </cell>
          <cell r="L43">
            <v>13</v>
          </cell>
          <cell r="M43">
            <v>975000</v>
          </cell>
          <cell r="N43">
            <v>23</v>
          </cell>
          <cell r="O43">
            <v>2300000</v>
          </cell>
          <cell r="P43">
            <v>89500</v>
          </cell>
          <cell r="Q43">
            <v>809000</v>
          </cell>
          <cell r="R43">
            <v>1093000</v>
          </cell>
          <cell r="S43">
            <v>5750000</v>
          </cell>
          <cell r="T43"/>
          <cell r="U43">
            <v>12821000</v>
          </cell>
          <cell r="V43">
            <v>0</v>
          </cell>
          <cell r="W43">
            <v>0</v>
          </cell>
          <cell r="X43">
            <v>0</v>
          </cell>
          <cell r="Y43">
            <v>4975000</v>
          </cell>
          <cell r="Z43">
            <v>4400000</v>
          </cell>
          <cell r="AA43">
            <v>0</v>
          </cell>
          <cell r="AB43"/>
          <cell r="AC43">
            <v>0</v>
          </cell>
          <cell r="AD43">
            <v>7500</v>
          </cell>
          <cell r="AE43">
            <v>30000</v>
          </cell>
          <cell r="AF43">
            <v>0</v>
          </cell>
          <cell r="AG43">
            <v>0</v>
          </cell>
          <cell r="AH43"/>
          <cell r="AI43">
            <v>739500</v>
          </cell>
          <cell r="AJ43">
            <v>800000</v>
          </cell>
          <cell r="AK43">
            <v>1159500</v>
          </cell>
          <cell r="AL43">
            <v>10000</v>
          </cell>
          <cell r="AM43">
            <v>9500</v>
          </cell>
          <cell r="AN43">
            <v>32500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908500</v>
          </cell>
          <cell r="AT43">
            <v>0</v>
          </cell>
          <cell r="AU43">
            <v>0</v>
          </cell>
          <cell r="AV43">
            <v>0</v>
          </cell>
          <cell r="AW43">
            <v>739500</v>
          </cell>
          <cell r="AX43">
            <v>1692500</v>
          </cell>
          <cell r="AY43">
            <v>3529500</v>
          </cell>
          <cell r="AZ43">
            <v>10358500</v>
          </cell>
          <cell r="BA43">
            <v>2976000</v>
          </cell>
          <cell r="BB43">
            <v>0</v>
          </cell>
          <cell r="BC43">
            <v>0</v>
          </cell>
          <cell r="BD43">
            <v>7332500</v>
          </cell>
          <cell r="BE43">
            <v>0</v>
          </cell>
          <cell r="BF43">
            <v>124000</v>
          </cell>
          <cell r="BH43">
            <v>6000</v>
          </cell>
          <cell r="BI43">
            <v>0</v>
          </cell>
          <cell r="BJ43">
            <v>0</v>
          </cell>
          <cell r="BK43">
            <v>100000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-4603500</v>
          </cell>
          <cell r="D44">
            <v>5455000</v>
          </cell>
          <cell r="E44">
            <v>2976000</v>
          </cell>
          <cell r="F44">
            <v>0</v>
          </cell>
          <cell r="G44">
            <v>132000</v>
          </cell>
          <cell r="H44">
            <v>21000</v>
          </cell>
          <cell r="I44">
            <v>0</v>
          </cell>
          <cell r="J44">
            <v>34</v>
          </cell>
          <cell r="K44">
            <v>1700000</v>
          </cell>
          <cell r="L44">
            <v>13</v>
          </cell>
          <cell r="M44">
            <v>975000</v>
          </cell>
          <cell r="N44">
            <v>23</v>
          </cell>
          <cell r="O44">
            <v>2300000</v>
          </cell>
          <cell r="P44">
            <v>89500</v>
          </cell>
          <cell r="Q44">
            <v>809000</v>
          </cell>
          <cell r="R44">
            <v>1093000</v>
          </cell>
          <cell r="S44">
            <v>5900000</v>
          </cell>
          <cell r="U44">
            <v>12969500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4550000</v>
          </cell>
          <cell r="AA44">
            <v>0</v>
          </cell>
          <cell r="AC44">
            <v>0</v>
          </cell>
          <cell r="AD44">
            <v>7500</v>
          </cell>
          <cell r="AE44">
            <v>30000</v>
          </cell>
          <cell r="AF44">
            <v>0</v>
          </cell>
          <cell r="AG44">
            <v>0</v>
          </cell>
          <cell r="AI44">
            <v>739500</v>
          </cell>
          <cell r="AJ44">
            <v>800000</v>
          </cell>
          <cell r="AK44">
            <v>1159500</v>
          </cell>
          <cell r="AL44">
            <v>10000</v>
          </cell>
          <cell r="AM44">
            <v>9500</v>
          </cell>
          <cell r="AN44">
            <v>32500</v>
          </cell>
          <cell r="AO44">
            <v>0</v>
          </cell>
          <cell r="AQ44">
            <v>0</v>
          </cell>
          <cell r="AR44">
            <v>0</v>
          </cell>
          <cell r="AS44">
            <v>907000</v>
          </cell>
          <cell r="AT44">
            <v>0</v>
          </cell>
          <cell r="AU44">
            <v>0</v>
          </cell>
          <cell r="AV44">
            <v>0</v>
          </cell>
          <cell r="AW44">
            <v>739500</v>
          </cell>
          <cell r="AX44">
            <v>1692500</v>
          </cell>
          <cell r="AY44">
            <v>3529500</v>
          </cell>
          <cell r="AZ44">
            <v>10507000</v>
          </cell>
          <cell r="BA44">
            <v>2976000</v>
          </cell>
          <cell r="BB44">
            <v>0</v>
          </cell>
          <cell r="BC44">
            <v>0</v>
          </cell>
          <cell r="BD44">
            <v>7481000</v>
          </cell>
          <cell r="BE44">
            <v>0</v>
          </cell>
          <cell r="BF44">
            <v>125500</v>
          </cell>
          <cell r="BH44">
            <v>6000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2976000</v>
          </cell>
          <cell r="BB45" t="str">
            <v>ESPECES EN CAISSE</v>
          </cell>
          <cell r="BD45">
            <v>2873000</v>
          </cell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2976000</v>
          </cell>
          <cell r="BB46" t="str">
            <v>ESPECES EN CAISSE</v>
          </cell>
          <cell r="BD46">
            <v>2873000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0</v>
          </cell>
          <cell r="BD47">
            <v>-4608000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7332500</v>
          </cell>
          <cell r="D49">
            <v>5455000</v>
          </cell>
          <cell r="E49">
            <v>1877500</v>
          </cell>
          <cell r="F49"/>
          <cell r="G49">
            <v>2976000</v>
          </cell>
          <cell r="H49">
            <v>2976000</v>
          </cell>
          <cell r="I49">
            <v>0</v>
          </cell>
          <cell r="J49"/>
        </row>
        <row r="50">
          <cell r="B50" t="str">
            <v>OPERATIONS DU JOUR</v>
          </cell>
          <cell r="C50">
            <v>7481000</v>
          </cell>
          <cell r="D50">
            <v>5455000</v>
          </cell>
          <cell r="E50">
            <v>2026000</v>
          </cell>
          <cell r="G50">
            <v>2976000</v>
          </cell>
          <cell r="H50">
            <v>2976000</v>
          </cell>
          <cell r="I50">
            <v>0</v>
          </cell>
          <cell r="BO50" t="str">
            <v>FOYER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A6"/>
          <cell r="BB6"/>
          <cell r="BC6">
            <v>0</v>
          </cell>
          <cell r="BD6">
            <v>106000</v>
          </cell>
          <cell r="BE6"/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100000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>
            <v>50000</v>
          </cell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/>
          <cell r="BB7"/>
          <cell r="BC7">
            <v>0</v>
          </cell>
          <cell r="BD7">
            <v>0</v>
          </cell>
          <cell r="BE7"/>
          <cell r="BF7">
            <v>0</v>
          </cell>
          <cell r="BG7">
            <v>1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500</v>
          </cell>
          <cell r="D8">
            <v>378000</v>
          </cell>
          <cell r="E8">
            <v>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50500</v>
          </cell>
          <cell r="Q8">
            <v>202000</v>
          </cell>
          <cell r="R8">
            <v>0</v>
          </cell>
          <cell r="S8"/>
          <cell r="T8"/>
          <cell r="U8">
            <v>377500</v>
          </cell>
          <cell r="V8"/>
          <cell r="W8"/>
          <cell r="X8"/>
          <cell r="Y8">
            <v>125000</v>
          </cell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/>
          <cell r="BB8"/>
          <cell r="BC8">
            <v>0</v>
          </cell>
          <cell r="BD8">
            <v>0</v>
          </cell>
          <cell r="BE8"/>
          <cell r="BF8">
            <v>0</v>
          </cell>
          <cell r="BG8">
            <v>1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/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100000</v>
          </cell>
          <cell r="E9">
            <v>404500</v>
          </cell>
          <cell r="F9">
            <v>0</v>
          </cell>
          <cell r="G9"/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50500</v>
          </cell>
          <cell r="Q9">
            <v>0</v>
          </cell>
          <cell r="R9">
            <v>204000</v>
          </cell>
          <cell r="S9"/>
          <cell r="T9"/>
          <cell r="U9">
            <v>504500</v>
          </cell>
          <cell r="V9"/>
          <cell r="W9"/>
          <cell r="X9"/>
          <cell r="Y9">
            <v>250000</v>
          </cell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>
            <v>200000</v>
          </cell>
          <cell r="AL9"/>
          <cell r="AM9"/>
          <cell r="AN9">
            <v>7000</v>
          </cell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>
            <v>120000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B9"/>
          <cell r="BC9">
            <v>0</v>
          </cell>
          <cell r="BD9">
            <v>0</v>
          </cell>
          <cell r="BE9"/>
          <cell r="BF9">
            <v>0</v>
          </cell>
          <cell r="BG9">
            <v>1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101000</v>
          </cell>
          <cell r="E10">
            <v>0</v>
          </cell>
          <cell r="F10">
            <v>0</v>
          </cell>
          <cell r="G10"/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51000</v>
          </cell>
          <cell r="Q10">
            <v>0</v>
          </cell>
          <cell r="R10">
            <v>0</v>
          </cell>
          <cell r="S10"/>
          <cell r="T10"/>
          <cell r="U10">
            <v>101000</v>
          </cell>
          <cell r="V10"/>
          <cell r="W10"/>
          <cell r="X10"/>
          <cell r="Y10">
            <v>50000</v>
          </cell>
          <cell r="Z10"/>
          <cell r="AA10"/>
          <cell r="AB10"/>
          <cell r="AC10"/>
          <cell r="AD10"/>
          <cell r="AE10"/>
          <cell r="AF10"/>
          <cell r="AG10"/>
          <cell r="AH10"/>
          <cell r="AI10">
            <v>20000</v>
          </cell>
          <cell r="AJ10"/>
          <cell r="AK10"/>
          <cell r="AL10">
            <v>500</v>
          </cell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20000</v>
          </cell>
          <cell r="AX10">
            <v>0</v>
          </cell>
          <cell r="AY10">
            <v>0</v>
          </cell>
          <cell r="AZ10">
            <v>20000</v>
          </cell>
          <cell r="BA10">
            <v>20000</v>
          </cell>
          <cell r="BB10"/>
          <cell r="BC10">
            <v>0</v>
          </cell>
          <cell r="BD10">
            <v>0</v>
          </cell>
          <cell r="BE10"/>
          <cell r="BF10">
            <v>0</v>
          </cell>
          <cell r="BG10">
            <v>1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-216000</v>
          </cell>
          <cell r="D11">
            <v>150000</v>
          </cell>
          <cell r="E11">
            <v>0</v>
          </cell>
          <cell r="F11">
            <v>0</v>
          </cell>
          <cell r="G11"/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50500</v>
          </cell>
          <cell r="Q11">
            <v>0</v>
          </cell>
          <cell r="R11">
            <v>165500</v>
          </cell>
          <cell r="S11"/>
          <cell r="T11"/>
          <cell r="U11">
            <v>366000</v>
          </cell>
          <cell r="V11"/>
          <cell r="W11"/>
          <cell r="X11"/>
          <cell r="Y11">
            <v>150000</v>
          </cell>
          <cell r="Z11"/>
          <cell r="AA11"/>
          <cell r="AB11"/>
          <cell r="AC11"/>
          <cell r="AD11"/>
          <cell r="AE11"/>
          <cell r="AF11"/>
          <cell r="AG11"/>
          <cell r="AH11"/>
          <cell r="AI11">
            <v>50500</v>
          </cell>
          <cell r="AJ11"/>
          <cell r="AK11">
            <v>165500</v>
          </cell>
          <cell r="AL11">
            <v>1000</v>
          </cell>
          <cell r="AM11"/>
          <cell r="AN11">
            <v>3000</v>
          </cell>
          <cell r="AO11"/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50500</v>
          </cell>
          <cell r="AX11">
            <v>0</v>
          </cell>
          <cell r="AY11">
            <v>165500</v>
          </cell>
          <cell r="AZ11">
            <v>216000</v>
          </cell>
          <cell r="BA11"/>
          <cell r="BB11"/>
          <cell r="BC11">
            <v>0</v>
          </cell>
          <cell r="BD11">
            <v>0</v>
          </cell>
          <cell r="BE11"/>
          <cell r="BF11">
            <v>0</v>
          </cell>
          <cell r="BG11">
            <v>1</v>
          </cell>
          <cell r="BH11"/>
          <cell r="BI11"/>
          <cell r="BJ11"/>
          <cell r="BK11"/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600000</v>
          </cell>
          <cell r="E12">
            <v>0</v>
          </cell>
          <cell r="F12">
            <v>0</v>
          </cell>
          <cell r="G12">
            <v>200000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150000</v>
          </cell>
          <cell r="T12" t="str">
            <v>BANQUE</v>
          </cell>
          <cell r="U12">
            <v>600000</v>
          </cell>
          <cell r="V12"/>
          <cell r="W12"/>
          <cell r="X12"/>
          <cell r="Y12">
            <v>250000</v>
          </cell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>
            <v>100000</v>
          </cell>
          <cell r="AL12"/>
          <cell r="AM12"/>
          <cell r="AN12">
            <v>1500</v>
          </cell>
          <cell r="AO12"/>
          <cell r="AP12" t="str">
            <v>BANQUE</v>
          </cell>
          <cell r="AQ12">
            <v>0</v>
          </cell>
          <cell r="AR12">
            <v>0</v>
          </cell>
          <cell r="AS12">
            <v>225000</v>
          </cell>
          <cell r="AT12"/>
          <cell r="AV12"/>
          <cell r="AW12">
            <v>0</v>
          </cell>
          <cell r="AX12">
            <v>0</v>
          </cell>
          <cell r="AY12">
            <v>100000</v>
          </cell>
          <cell r="AZ12">
            <v>101500</v>
          </cell>
          <cell r="BA12"/>
          <cell r="BB12"/>
          <cell r="BC12">
            <v>0</v>
          </cell>
          <cell r="BD12">
            <v>101500</v>
          </cell>
          <cell r="BE12"/>
          <cell r="BF12">
            <v>0</v>
          </cell>
          <cell r="BG12">
            <v>1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1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/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>
            <v>2500</v>
          </cell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A14">
            <v>197500</v>
          </cell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1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150000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>
            <v>200000</v>
          </cell>
          <cell r="AL15"/>
          <cell r="AM15"/>
          <cell r="AN15">
            <v>3000</v>
          </cell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0</v>
          </cell>
          <cell r="AX15">
            <v>0</v>
          </cell>
          <cell r="AY15">
            <v>200000</v>
          </cell>
          <cell r="AZ15">
            <v>200000</v>
          </cell>
          <cell r="BA15"/>
          <cell r="BB15"/>
          <cell r="BC15">
            <v>0</v>
          </cell>
          <cell r="BD15">
            <v>200000</v>
          </cell>
          <cell r="BE15"/>
          <cell r="BF15">
            <v>0</v>
          </cell>
          <cell r="BG15">
            <v>1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1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-345500</v>
          </cell>
          <cell r="D17">
            <v>395500</v>
          </cell>
          <cell r="E17">
            <v>50500</v>
          </cell>
          <cell r="F17">
            <v>0</v>
          </cell>
          <cell r="G17">
            <v>15000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50500</v>
          </cell>
          <cell r="Q17">
            <v>101000</v>
          </cell>
          <cell r="R17">
            <v>0</v>
          </cell>
          <cell r="S17">
            <v>400000</v>
          </cell>
          <cell r="T17" t="str">
            <v>BANQUE</v>
          </cell>
          <cell r="U17">
            <v>791500</v>
          </cell>
          <cell r="V17"/>
          <cell r="W17"/>
          <cell r="X17"/>
          <cell r="Y17">
            <v>225000</v>
          </cell>
          <cell r="Z17">
            <v>400000</v>
          </cell>
          <cell r="AA17" t="str">
            <v>BANQUE</v>
          </cell>
          <cell r="AB17"/>
          <cell r="AC17"/>
          <cell r="AD17"/>
          <cell r="AE17"/>
          <cell r="AF17"/>
          <cell r="AG17"/>
          <cell r="AH17"/>
          <cell r="AI17"/>
          <cell r="AJ17"/>
          <cell r="AK17">
            <v>200000</v>
          </cell>
          <cell r="AL17"/>
          <cell r="AM17"/>
          <cell r="AN17">
            <v>3000</v>
          </cell>
          <cell r="AO17"/>
          <cell r="AP17" t="str">
            <v>BANQUE</v>
          </cell>
          <cell r="AQ17">
            <v>0</v>
          </cell>
          <cell r="AR17">
            <v>0</v>
          </cell>
          <cell r="AS17">
            <v>40000</v>
          </cell>
          <cell r="AT17"/>
          <cell r="AV17"/>
          <cell r="AW17">
            <v>0</v>
          </cell>
          <cell r="AX17">
            <v>0</v>
          </cell>
          <cell r="AY17">
            <v>200000</v>
          </cell>
          <cell r="AZ17">
            <v>596000</v>
          </cell>
          <cell r="BA17"/>
          <cell r="BB17"/>
          <cell r="BC17">
            <v>0</v>
          </cell>
          <cell r="BD17">
            <v>600000</v>
          </cell>
          <cell r="BE17"/>
          <cell r="BF17">
            <v>4000</v>
          </cell>
          <cell r="BG17">
            <v>1</v>
          </cell>
          <cell r="BH17"/>
          <cell r="BI17"/>
          <cell r="BJ17"/>
          <cell r="BK17"/>
          <cell r="BL17"/>
          <cell r="BO17" t="str">
            <v>S/TOTAL</v>
          </cell>
          <cell r="BQ17">
            <v>6000</v>
          </cell>
        </row>
        <row r="18">
          <cell r="A18" t="str">
            <v>AS201617</v>
          </cell>
          <cell r="B18" t="str">
            <v>KOUAMOU MOISE</v>
          </cell>
          <cell r="C18">
            <v>-153500</v>
          </cell>
          <cell r="D18">
            <v>0</v>
          </cell>
          <cell r="E18">
            <v>150000</v>
          </cell>
          <cell r="F18">
            <v>0</v>
          </cell>
          <cell r="G18">
            <v>-3000</v>
          </cell>
          <cell r="H18">
            <v>3000</v>
          </cell>
          <cell r="I18" t="str">
            <v>ESPECES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51000</v>
          </cell>
          <cell r="Q18">
            <v>0</v>
          </cell>
          <cell r="R18">
            <v>102500</v>
          </cell>
          <cell r="S18"/>
          <cell r="T18"/>
          <cell r="U18">
            <v>303500</v>
          </cell>
          <cell r="V18"/>
          <cell r="W18"/>
          <cell r="X18"/>
          <cell r="Y18">
            <v>150000</v>
          </cell>
          <cell r="Z18"/>
          <cell r="AA18"/>
          <cell r="AB18"/>
          <cell r="AC18"/>
          <cell r="AD18"/>
          <cell r="AE18"/>
          <cell r="AF18"/>
          <cell r="AG18"/>
          <cell r="AH18"/>
          <cell r="AI18">
            <v>51000</v>
          </cell>
          <cell r="AJ18"/>
          <cell r="AK18">
            <v>207500</v>
          </cell>
          <cell r="AL18">
            <v>2000</v>
          </cell>
          <cell r="AM18"/>
          <cell r="AN18">
            <v>3000</v>
          </cell>
          <cell r="AO18"/>
          <cell r="AP18" t="str">
            <v>BANQUE</v>
          </cell>
          <cell r="AQ18">
            <v>0</v>
          </cell>
          <cell r="AR18">
            <v>0</v>
          </cell>
          <cell r="AS18">
            <v>22000</v>
          </cell>
          <cell r="AT18"/>
          <cell r="AV18"/>
          <cell r="AW18">
            <v>51000</v>
          </cell>
          <cell r="AX18">
            <v>0</v>
          </cell>
          <cell r="AY18">
            <v>207500</v>
          </cell>
          <cell r="AZ18">
            <v>358500</v>
          </cell>
          <cell r="BA18">
            <v>100000</v>
          </cell>
          <cell r="BB18"/>
          <cell r="BC18">
            <v>0</v>
          </cell>
          <cell r="BD18">
            <v>100000</v>
          </cell>
          <cell r="BE18"/>
          <cell r="BF18">
            <v>0</v>
          </cell>
          <cell r="BG18">
            <v>1</v>
          </cell>
          <cell r="BH18"/>
          <cell r="BI18"/>
          <cell r="BJ18"/>
          <cell r="BK18">
            <v>100000</v>
          </cell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103000</v>
          </cell>
          <cell r="D19">
            <v>335000</v>
          </cell>
          <cell r="E19">
            <v>0</v>
          </cell>
          <cell r="F19">
            <v>0</v>
          </cell>
          <cell r="G19">
            <v>7000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0</v>
          </cell>
          <cell r="S19"/>
          <cell r="T19"/>
          <cell r="U19">
            <v>232000</v>
          </cell>
          <cell r="V19"/>
          <cell r="W19"/>
          <cell r="X19"/>
          <cell r="Y19">
            <v>225000</v>
          </cell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>
            <v>200000</v>
          </cell>
          <cell r="AL19"/>
          <cell r="AM19"/>
          <cell r="AN19">
            <v>8000</v>
          </cell>
          <cell r="AO19"/>
          <cell r="AP19" t="str">
            <v>BANQUE</v>
          </cell>
          <cell r="AQ19">
            <v>0</v>
          </cell>
          <cell r="AR19">
            <v>0</v>
          </cell>
          <cell r="AS19">
            <v>32000</v>
          </cell>
          <cell r="AT19"/>
          <cell r="AV19"/>
          <cell r="AW19">
            <v>0</v>
          </cell>
          <cell r="AX19">
            <v>0</v>
          </cell>
          <cell r="AY19">
            <v>200000</v>
          </cell>
          <cell r="AZ19">
            <v>200000</v>
          </cell>
          <cell r="BA19">
            <v>100000</v>
          </cell>
          <cell r="BB19"/>
          <cell r="BC19">
            <v>0</v>
          </cell>
          <cell r="BD19">
            <v>100000</v>
          </cell>
          <cell r="BE19"/>
          <cell r="BF19">
            <v>0</v>
          </cell>
          <cell r="BG19">
            <v>1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-51000</v>
          </cell>
          <cell r="D20">
            <v>50000</v>
          </cell>
          <cell r="E20">
            <v>0</v>
          </cell>
          <cell r="F20">
            <v>0</v>
          </cell>
          <cell r="G20"/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51000</v>
          </cell>
          <cell r="Q20">
            <v>0</v>
          </cell>
          <cell r="R20">
            <v>0</v>
          </cell>
          <cell r="S20"/>
          <cell r="T20"/>
          <cell r="U20">
            <v>101000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>
            <v>51000</v>
          </cell>
          <cell r="AJ20"/>
          <cell r="AK20"/>
          <cell r="AL20">
            <v>2000</v>
          </cell>
          <cell r="AM20"/>
          <cell r="AN20"/>
          <cell r="AO20"/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51000</v>
          </cell>
          <cell r="AX20">
            <v>0</v>
          </cell>
          <cell r="AY20">
            <v>0</v>
          </cell>
          <cell r="AZ20">
            <v>51000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1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-51000</v>
          </cell>
          <cell r="D21">
            <v>50000</v>
          </cell>
          <cell r="E21">
            <v>0</v>
          </cell>
          <cell r="F21">
            <v>0</v>
          </cell>
          <cell r="G21">
            <v>400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51000</v>
          </cell>
          <cell r="Q21">
            <v>0</v>
          </cell>
          <cell r="R21">
            <v>0</v>
          </cell>
          <cell r="S21"/>
          <cell r="T21"/>
          <cell r="U21">
            <v>101000</v>
          </cell>
          <cell r="V21"/>
          <cell r="W21"/>
          <cell r="X21"/>
          <cell r="Y21">
            <v>50000</v>
          </cell>
          <cell r="Z21"/>
          <cell r="AA21"/>
          <cell r="AB21"/>
          <cell r="AC21"/>
          <cell r="AD21"/>
          <cell r="AE21"/>
          <cell r="AF21"/>
          <cell r="AG21"/>
          <cell r="AH21"/>
          <cell r="AI21">
            <v>51000</v>
          </cell>
          <cell r="AJ21"/>
          <cell r="AK21">
            <v>144000</v>
          </cell>
          <cell r="AL21">
            <v>2000</v>
          </cell>
          <cell r="AM21"/>
          <cell r="AN21">
            <v>2000</v>
          </cell>
          <cell r="AO21"/>
          <cell r="AP21" t="str">
            <v>BANQUE</v>
          </cell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51000</v>
          </cell>
          <cell r="AX21">
            <v>0</v>
          </cell>
          <cell r="AY21">
            <v>0</v>
          </cell>
          <cell r="AZ21">
            <v>51000</v>
          </cell>
          <cell r="BA21">
            <v>44000</v>
          </cell>
          <cell r="BB21"/>
          <cell r="BC21">
            <v>0</v>
          </cell>
          <cell r="BD21">
            <v>0</v>
          </cell>
          <cell r="BE21"/>
          <cell r="BF21">
            <v>0</v>
          </cell>
          <cell r="BG21">
            <v>1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784400</v>
          </cell>
          <cell r="E22">
            <v>0</v>
          </cell>
          <cell r="F22">
            <v>0</v>
          </cell>
          <cell r="G22">
            <v>400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51000</v>
          </cell>
          <cell r="Q22">
            <v>202500</v>
          </cell>
          <cell r="R22">
            <v>205500</v>
          </cell>
          <cell r="S22"/>
          <cell r="T22"/>
          <cell r="U22">
            <v>784400</v>
          </cell>
          <cell r="V22"/>
          <cell r="W22"/>
          <cell r="X22"/>
          <cell r="Y22">
            <v>325000</v>
          </cell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>
            <v>144000</v>
          </cell>
          <cell r="AL22"/>
          <cell r="AM22"/>
          <cell r="AN22">
            <v>2000</v>
          </cell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25400</v>
          </cell>
          <cell r="AT22"/>
          <cell r="AV22"/>
          <cell r="AW22">
            <v>0</v>
          </cell>
          <cell r="AX22">
            <v>0</v>
          </cell>
          <cell r="AY22">
            <v>144000</v>
          </cell>
          <cell r="AZ22">
            <v>144000</v>
          </cell>
          <cell r="BA22">
            <v>44000</v>
          </cell>
          <cell r="BB22"/>
          <cell r="BC22">
            <v>0</v>
          </cell>
          <cell r="BD22">
            <v>100000</v>
          </cell>
          <cell r="BE22"/>
          <cell r="BF22">
            <v>0</v>
          </cell>
          <cell r="BG22">
            <v>1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G23"/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>
            <v>2500</v>
          </cell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297500</v>
          </cell>
          <cell r="BB23"/>
          <cell r="BC23">
            <v>0</v>
          </cell>
          <cell r="BD23">
            <v>0</v>
          </cell>
          <cell r="BE23"/>
          <cell r="BF23">
            <v>0</v>
          </cell>
          <cell r="BG23">
            <v>1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/>
          <cell r="T24"/>
          <cell r="U24">
            <v>125000</v>
          </cell>
          <cell r="V24"/>
          <cell r="W24"/>
          <cell r="X24"/>
          <cell r="Y24">
            <v>125000</v>
          </cell>
          <cell r="Z24"/>
          <cell r="AA24"/>
          <cell r="AB24"/>
          <cell r="AC24">
            <v>2500</v>
          </cell>
          <cell r="AD24"/>
          <cell r="AE24">
            <v>10000</v>
          </cell>
          <cell r="AF24"/>
          <cell r="AG24"/>
          <cell r="AH24"/>
          <cell r="AI24"/>
          <cell r="AJ24"/>
          <cell r="AK24">
            <v>200000</v>
          </cell>
          <cell r="AL24"/>
          <cell r="AM24"/>
          <cell r="AN24">
            <v>3000</v>
          </cell>
          <cell r="AO24"/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297500</v>
          </cell>
          <cell r="AX24">
            <v>0</v>
          </cell>
          <cell r="AY24">
            <v>0</v>
          </cell>
          <cell r="AZ24">
            <v>297500</v>
          </cell>
          <cell r="BA24">
            <v>297500</v>
          </cell>
          <cell r="BB24"/>
          <cell r="BC24">
            <v>0</v>
          </cell>
          <cell r="BD24">
            <v>0</v>
          </cell>
          <cell r="BE24"/>
          <cell r="BF24">
            <v>0</v>
          </cell>
          <cell r="BG24">
            <v>1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362500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102500</v>
          </cell>
          <cell r="S25"/>
          <cell r="T25"/>
          <cell r="U25">
            <v>362500</v>
          </cell>
          <cell r="V25"/>
          <cell r="W25"/>
          <cell r="X25"/>
          <cell r="Y25">
            <v>250000</v>
          </cell>
          <cell r="Z25"/>
          <cell r="AA25"/>
          <cell r="AB25"/>
          <cell r="AC25"/>
          <cell r="AD25"/>
          <cell r="AE25">
            <v>10000</v>
          </cell>
          <cell r="AF25"/>
          <cell r="AG25"/>
          <cell r="AH25"/>
          <cell r="AI25"/>
          <cell r="AJ25">
            <v>101500</v>
          </cell>
          <cell r="AK25">
            <v>200000</v>
          </cell>
          <cell r="AL25"/>
          <cell r="AM25">
            <v>3000</v>
          </cell>
          <cell r="AN25">
            <v>3000</v>
          </cell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1390000</v>
          </cell>
          <cell r="AZ25">
            <v>1390000</v>
          </cell>
          <cell r="BA25">
            <v>12000</v>
          </cell>
          <cell r="BB25"/>
          <cell r="BC25">
            <v>0</v>
          </cell>
          <cell r="BD25">
            <v>1390000</v>
          </cell>
          <cell r="BE25"/>
          <cell r="BF25">
            <v>0</v>
          </cell>
          <cell r="BG25">
            <v>1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101500</v>
          </cell>
          <cell r="R26">
            <v>0</v>
          </cell>
          <cell r="S26"/>
          <cell r="T26"/>
          <cell r="U26">
            <v>341500</v>
          </cell>
          <cell r="V26"/>
          <cell r="W26"/>
          <cell r="X26"/>
          <cell r="Y26">
            <v>225000</v>
          </cell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>
            <v>101500</v>
          </cell>
          <cell r="AK26">
            <v>200000</v>
          </cell>
          <cell r="AL26"/>
          <cell r="AM26">
            <v>3000</v>
          </cell>
          <cell r="AN26">
            <v>3000</v>
          </cell>
          <cell r="AO26"/>
          <cell r="AP26" t="str">
            <v>BANQUE</v>
          </cell>
          <cell r="AQ26">
            <v>0</v>
          </cell>
          <cell r="AR26">
            <v>0</v>
          </cell>
          <cell r="AS26">
            <v>40000</v>
          </cell>
          <cell r="AT26"/>
          <cell r="AV26"/>
          <cell r="AW26">
            <v>0</v>
          </cell>
          <cell r="AX26">
            <v>101500</v>
          </cell>
          <cell r="AY26">
            <v>200000</v>
          </cell>
          <cell r="AZ26">
            <v>301500</v>
          </cell>
          <cell r="BA26">
            <v>12000</v>
          </cell>
          <cell r="BB26"/>
          <cell r="BC26">
            <v>0</v>
          </cell>
          <cell r="BD26">
            <v>200000</v>
          </cell>
          <cell r="BE26"/>
          <cell r="BF26">
            <v>0</v>
          </cell>
          <cell r="BG26">
            <v>1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410500</v>
          </cell>
          <cell r="E27">
            <v>0</v>
          </cell>
          <cell r="F27">
            <v>0</v>
          </cell>
          <cell r="G27">
            <v>7500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50500</v>
          </cell>
          <cell r="Q27">
            <v>0</v>
          </cell>
          <cell r="R27">
            <v>102500</v>
          </cell>
          <cell r="S27"/>
          <cell r="T27"/>
          <cell r="U27">
            <v>410500</v>
          </cell>
          <cell r="V27"/>
          <cell r="W27"/>
          <cell r="X27"/>
          <cell r="Y27">
            <v>250000</v>
          </cell>
          <cell r="Z27"/>
          <cell r="AA27"/>
          <cell r="AB27"/>
          <cell r="AC27"/>
          <cell r="AD27"/>
          <cell r="AE27"/>
          <cell r="AF27"/>
          <cell r="AG27"/>
          <cell r="AH27"/>
          <cell r="AI27">
            <v>50500</v>
          </cell>
          <cell r="AJ27"/>
          <cell r="AK27">
            <v>200000</v>
          </cell>
          <cell r="AL27">
            <v>1000</v>
          </cell>
          <cell r="AM27"/>
          <cell r="AN27">
            <v>6500</v>
          </cell>
          <cell r="AO27"/>
          <cell r="AP27" t="str">
            <v>BANQUE</v>
          </cell>
          <cell r="AQ27">
            <v>0</v>
          </cell>
          <cell r="AR27">
            <v>0</v>
          </cell>
          <cell r="AS27">
            <v>32500</v>
          </cell>
          <cell r="AT27"/>
          <cell r="AV27"/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/>
          <cell r="BB27"/>
          <cell r="BC27">
            <v>0</v>
          </cell>
          <cell r="BD27">
            <v>200000</v>
          </cell>
          <cell r="BE27"/>
          <cell r="BF27">
            <v>0</v>
          </cell>
          <cell r="BG27">
            <v>1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1000</v>
          </cell>
          <cell r="D28">
            <v>100500</v>
          </cell>
          <cell r="E28">
            <v>0</v>
          </cell>
          <cell r="F28">
            <v>0</v>
          </cell>
          <cell r="G28">
            <v>-1000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50500</v>
          </cell>
          <cell r="Q28">
            <v>0</v>
          </cell>
          <cell r="R28">
            <v>0</v>
          </cell>
          <cell r="S28">
            <v>150000</v>
          </cell>
          <cell r="T28" t="str">
            <v>BANQUE</v>
          </cell>
          <cell r="U28">
            <v>99500</v>
          </cell>
          <cell r="V28"/>
          <cell r="W28"/>
          <cell r="X28"/>
          <cell r="Y28">
            <v>50000</v>
          </cell>
          <cell r="Z28">
            <v>250000</v>
          </cell>
          <cell r="AA28" t="str">
            <v>BANQUE</v>
          </cell>
          <cell r="AB28"/>
          <cell r="AC28"/>
          <cell r="AD28"/>
          <cell r="AE28"/>
          <cell r="AF28"/>
          <cell r="AG28"/>
          <cell r="AH28"/>
          <cell r="AI28">
            <v>50500</v>
          </cell>
          <cell r="AJ28"/>
          <cell r="AK28"/>
          <cell r="AL28">
            <v>1000</v>
          </cell>
          <cell r="AM28"/>
          <cell r="AN28"/>
          <cell r="AO28"/>
          <cell r="AP28" t="str">
            <v>BANQUE</v>
          </cell>
          <cell r="AQ28">
            <v>0</v>
          </cell>
          <cell r="AR28">
            <v>0</v>
          </cell>
          <cell r="AS28">
            <v>24000</v>
          </cell>
          <cell r="AT28"/>
          <cell r="AV28"/>
          <cell r="AW28">
            <v>50500</v>
          </cell>
          <cell r="AX28">
            <v>0</v>
          </cell>
          <cell r="AY28">
            <v>0</v>
          </cell>
          <cell r="AZ28">
            <v>50500</v>
          </cell>
          <cell r="BA28"/>
          <cell r="BB28"/>
          <cell r="BC28">
            <v>0</v>
          </cell>
          <cell r="BD28">
            <v>51000</v>
          </cell>
          <cell r="BE28"/>
          <cell r="BF28">
            <v>0</v>
          </cell>
          <cell r="BG28">
            <v>1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150000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150000</v>
          </cell>
          <cell r="T29" t="str">
            <v>BANQUE</v>
          </cell>
          <cell r="U29">
            <v>200000</v>
          </cell>
          <cell r="V29"/>
          <cell r="W29"/>
          <cell r="X29"/>
          <cell r="Y29">
            <v>50000</v>
          </cell>
          <cell r="Z29">
            <v>250000</v>
          </cell>
          <cell r="AA29" t="str">
            <v>BANQUE</v>
          </cell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247500</v>
          </cell>
          <cell r="BA29"/>
          <cell r="BB29"/>
          <cell r="BC29">
            <v>0</v>
          </cell>
          <cell r="BD29">
            <v>347500</v>
          </cell>
          <cell r="BE29"/>
          <cell r="BF29">
            <v>2500</v>
          </cell>
          <cell r="BG29">
            <v>1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>
            <v>59000</v>
          </cell>
          <cell r="AJ30"/>
          <cell r="AK30"/>
          <cell r="AL30"/>
          <cell r="AM30"/>
          <cell r="AN30"/>
          <cell r="AO30"/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1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-59000</v>
          </cell>
          <cell r="D31">
            <v>50000</v>
          </cell>
          <cell r="E31">
            <v>0</v>
          </cell>
          <cell r="F31">
            <v>0</v>
          </cell>
          <cell r="G31"/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/>
          <cell r="T31"/>
          <cell r="U31">
            <v>109000</v>
          </cell>
          <cell r="V31"/>
          <cell r="W31"/>
          <cell r="X31"/>
          <cell r="Y31">
            <v>50000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>
            <v>59000</v>
          </cell>
          <cell r="AJ31"/>
          <cell r="AK31">
            <v>200000</v>
          </cell>
          <cell r="AL31"/>
          <cell r="AM31"/>
          <cell r="AN31">
            <v>3000</v>
          </cell>
          <cell r="AO31"/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T31"/>
          <cell r="AV31"/>
          <cell r="AW31">
            <v>59000</v>
          </cell>
          <cell r="AX31">
            <v>0</v>
          </cell>
          <cell r="AY31">
            <v>0</v>
          </cell>
          <cell r="AZ31">
            <v>59000</v>
          </cell>
          <cell r="BA31"/>
          <cell r="BB31"/>
          <cell r="BC31">
            <v>0</v>
          </cell>
          <cell r="BD31">
            <v>59000</v>
          </cell>
          <cell r="BE31"/>
          <cell r="BF31">
            <v>0</v>
          </cell>
          <cell r="BG31">
            <v>1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>
            <v>100000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508000</v>
          </cell>
          <cell r="E32">
            <v>0</v>
          </cell>
          <cell r="F32">
            <v>0</v>
          </cell>
          <cell r="G32">
            <v>-3000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51000</v>
          </cell>
          <cell r="Q32">
            <v>0</v>
          </cell>
          <cell r="R32">
            <v>207000</v>
          </cell>
          <cell r="S32"/>
          <cell r="T32"/>
          <cell r="U32">
            <v>508000</v>
          </cell>
          <cell r="V32"/>
          <cell r="W32"/>
          <cell r="X32"/>
          <cell r="Y32">
            <v>250000</v>
          </cell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>
            <v>200000</v>
          </cell>
          <cell r="AL32"/>
          <cell r="AM32"/>
          <cell r="AN32">
            <v>3000</v>
          </cell>
          <cell r="AO32"/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200000</v>
          </cell>
          <cell r="AZ32">
            <v>200000</v>
          </cell>
          <cell r="BA32"/>
          <cell r="BB32"/>
          <cell r="BC32">
            <v>0</v>
          </cell>
          <cell r="BD32">
            <v>200000</v>
          </cell>
          <cell r="BE32"/>
          <cell r="BF32">
            <v>0</v>
          </cell>
          <cell r="BG32">
            <v>1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50000</v>
          </cell>
          <cell r="F33">
            <v>0</v>
          </cell>
          <cell r="G33">
            <v>-3000</v>
          </cell>
          <cell r="H33">
            <v>3000</v>
          </cell>
          <cell r="I33" t="str">
            <v>ESPECES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50000</v>
          </cell>
          <cell r="V33"/>
          <cell r="W33"/>
          <cell r="X33"/>
          <cell r="Y33">
            <v>50000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>
            <v>30500</v>
          </cell>
          <cell r="AJ33"/>
          <cell r="AK33"/>
          <cell r="AL33"/>
          <cell r="AM33"/>
          <cell r="AN33"/>
          <cell r="AO33"/>
          <cell r="AP33" t="str">
            <v>BANQUE</v>
          </cell>
          <cell r="AQ33">
            <v>0</v>
          </cell>
          <cell r="AR33">
            <v>0</v>
          </cell>
          <cell r="AS33">
            <v>22000</v>
          </cell>
          <cell r="AT33"/>
          <cell r="AV33"/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/>
          <cell r="BB33"/>
          <cell r="BC33">
            <v>0</v>
          </cell>
          <cell r="BD33">
            <v>0</v>
          </cell>
          <cell r="BE33"/>
          <cell r="BF33">
            <v>0</v>
          </cell>
          <cell r="BG33">
            <v>1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/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L34">
            <v>1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/>
          <cell r="T34"/>
          <cell r="U34">
            <v>30500</v>
          </cell>
          <cell r="V34"/>
          <cell r="W34"/>
          <cell r="X34"/>
          <cell r="Y34">
            <v>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>
            <v>30500</v>
          </cell>
          <cell r="AJ34"/>
          <cell r="AK34"/>
          <cell r="AL34"/>
          <cell r="AM34"/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T34"/>
          <cell r="AV34"/>
          <cell r="AW34">
            <v>30500</v>
          </cell>
          <cell r="AX34">
            <v>0</v>
          </cell>
          <cell r="AY34">
            <v>0</v>
          </cell>
          <cell r="AZ34">
            <v>30500</v>
          </cell>
          <cell r="BA34"/>
          <cell r="BB34"/>
          <cell r="BC34">
            <v>0</v>
          </cell>
          <cell r="BD34">
            <v>30500</v>
          </cell>
          <cell r="BE34"/>
          <cell r="BF34">
            <v>0</v>
          </cell>
          <cell r="BG34">
            <v>1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277000</v>
          </cell>
          <cell r="E35">
            <v>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51000</v>
          </cell>
          <cell r="Q35">
            <v>101000</v>
          </cell>
          <cell r="R35">
            <v>0</v>
          </cell>
          <cell r="S35"/>
          <cell r="T35"/>
          <cell r="U35">
            <v>277000</v>
          </cell>
          <cell r="V35"/>
          <cell r="W35"/>
          <cell r="X35"/>
          <cell r="Y35">
            <v>125000</v>
          </cell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>
            <v>100000</v>
          </cell>
          <cell r="AL35"/>
          <cell r="AM35"/>
          <cell r="AN35">
            <v>3500</v>
          </cell>
          <cell r="AO35"/>
          <cell r="AP35" t="str">
            <v>BANQUE</v>
          </cell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100000</v>
          </cell>
          <cell r="BB35"/>
          <cell r="BC35">
            <v>0</v>
          </cell>
          <cell r="BD35">
            <v>-200000</v>
          </cell>
          <cell r="BE35"/>
          <cell r="BF35">
            <v>0</v>
          </cell>
          <cell r="BG35">
            <v>1</v>
          </cell>
          <cell r="BH35"/>
          <cell r="BI35"/>
          <cell r="BJ35"/>
          <cell r="BK35"/>
          <cell r="BL35"/>
          <cell r="BO35" t="str">
            <v>S/TOTAL</v>
          </cell>
          <cell r="BQ35">
            <v>100000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102500</v>
          </cell>
          <cell r="F36">
            <v>0</v>
          </cell>
          <cell r="G36">
            <v>217500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102500</v>
          </cell>
          <cell r="S36"/>
          <cell r="T36"/>
          <cell r="U36">
            <v>252500</v>
          </cell>
          <cell r="V36"/>
          <cell r="W36"/>
          <cell r="X36"/>
          <cell r="Y36">
            <v>150000</v>
          </cell>
          <cell r="Z36"/>
          <cell r="AA36"/>
          <cell r="AB36"/>
          <cell r="AC36">
            <v>2500</v>
          </cell>
          <cell r="AD36"/>
          <cell r="AE36"/>
          <cell r="AF36"/>
          <cell r="AG36"/>
          <cell r="AH36"/>
          <cell r="AI36"/>
          <cell r="AJ36"/>
          <cell r="AK36">
            <v>100000</v>
          </cell>
          <cell r="AL36"/>
          <cell r="AM36"/>
          <cell r="AN36">
            <v>3500</v>
          </cell>
          <cell r="AO36"/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100000</v>
          </cell>
          <cell r="AZ36">
            <v>100000</v>
          </cell>
          <cell r="BA36">
            <v>100000</v>
          </cell>
          <cell r="BB36"/>
          <cell r="BC36">
            <v>0</v>
          </cell>
          <cell r="BD36">
            <v>0</v>
          </cell>
          <cell r="BE36"/>
          <cell r="BF36">
            <v>0</v>
          </cell>
          <cell r="BG36">
            <v>1</v>
          </cell>
          <cell r="BH36"/>
          <cell r="BI36"/>
          <cell r="BJ36"/>
          <cell r="BK36"/>
          <cell r="BL36"/>
          <cell r="BO36" t="str">
            <v>S/TOTAL</v>
          </cell>
          <cell r="BQ36">
            <v>100000</v>
          </cell>
        </row>
        <row r="37">
          <cell r="A37" t="str">
            <v>AS201643</v>
          </cell>
          <cell r="B37" t="str">
            <v>TCHOUTOU NANA CLAUDE</v>
          </cell>
          <cell r="C37">
            <v>-217500</v>
          </cell>
          <cell r="D37">
            <v>50000</v>
          </cell>
          <cell r="E37">
            <v>0</v>
          </cell>
          <cell r="F37">
            <v>0</v>
          </cell>
          <cell r="G37">
            <v>217500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267500</v>
          </cell>
          <cell r="V37"/>
          <cell r="W37"/>
          <cell r="X37"/>
          <cell r="Y37">
            <v>50000</v>
          </cell>
          <cell r="Z37"/>
          <cell r="AA37"/>
          <cell r="AB37"/>
          <cell r="AC37">
            <v>2500</v>
          </cell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242500</v>
          </cell>
          <cell r="AT37"/>
          <cell r="AV37"/>
          <cell r="AW37">
            <v>297500</v>
          </cell>
          <cell r="AX37">
            <v>0</v>
          </cell>
          <cell r="AY37">
            <v>0</v>
          </cell>
          <cell r="AZ37">
            <v>297500</v>
          </cell>
          <cell r="BA37">
            <v>80000</v>
          </cell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1</v>
          </cell>
          <cell r="BH37"/>
          <cell r="BI37"/>
          <cell r="BJ37"/>
          <cell r="BK37"/>
          <cell r="BL37"/>
          <cell r="BO37" t="str">
            <v>S/TOTAL</v>
          </cell>
          <cell r="BQ37">
            <v>100000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892500</v>
          </cell>
          <cell r="T38"/>
          <cell r="U38">
            <v>50000</v>
          </cell>
          <cell r="V38"/>
          <cell r="W38"/>
          <cell r="X38"/>
          <cell r="Y38">
            <v>50000</v>
          </cell>
          <cell r="Z38"/>
          <cell r="AA38"/>
          <cell r="AB38"/>
          <cell r="AC38"/>
          <cell r="AD38">
            <v>7500</v>
          </cell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 t="str">
            <v>BANQUE</v>
          </cell>
          <cell r="AQ38">
            <v>0</v>
          </cell>
          <cell r="AR38">
            <v>0</v>
          </cell>
          <cell r="AS38">
            <v>22000</v>
          </cell>
          <cell r="AT38"/>
          <cell r="AV38"/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/>
          <cell r="BB38"/>
          <cell r="BC38">
            <v>0</v>
          </cell>
          <cell r="BD38">
            <v>0</v>
          </cell>
          <cell r="BE38"/>
          <cell r="BF38">
            <v>0</v>
          </cell>
          <cell r="BG38">
            <v>1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-892500</v>
          </cell>
          <cell r="D39">
            <v>125000</v>
          </cell>
          <cell r="E39">
            <v>152500</v>
          </cell>
          <cell r="F39">
            <v>0</v>
          </cell>
          <cell r="G39">
            <v>-3000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51000</v>
          </cell>
          <cell r="Q39">
            <v>101500</v>
          </cell>
          <cell r="R39">
            <v>0</v>
          </cell>
          <cell r="S39">
            <v>892500</v>
          </cell>
          <cell r="T39" t="str">
            <v>BANQUE</v>
          </cell>
          <cell r="U39">
            <v>1170000</v>
          </cell>
          <cell r="V39"/>
          <cell r="W39"/>
          <cell r="X39"/>
          <cell r="Y39">
            <v>125000</v>
          </cell>
          <cell r="Z39"/>
          <cell r="AA39"/>
          <cell r="AB39"/>
          <cell r="AC39">
            <v>2500</v>
          </cell>
          <cell r="AD39">
            <v>7500</v>
          </cell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 t="str">
            <v>BANQUE</v>
          </cell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892500</v>
          </cell>
          <cell r="AY39">
            <v>0</v>
          </cell>
          <cell r="AZ39">
            <v>892500</v>
          </cell>
          <cell r="BA39">
            <v>262500</v>
          </cell>
          <cell r="BB39"/>
          <cell r="BC39">
            <v>0</v>
          </cell>
          <cell r="BD39">
            <v>-5000</v>
          </cell>
          <cell r="BE39"/>
          <cell r="BF39">
            <v>0</v>
          </cell>
          <cell r="BG39">
            <v>1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3000</v>
          </cell>
          <cell r="D40">
            <v>50000</v>
          </cell>
          <cell r="E40">
            <v>0</v>
          </cell>
          <cell r="F40">
            <v>0</v>
          </cell>
          <cell r="G40">
            <v>-3000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47000</v>
          </cell>
          <cell r="V40"/>
          <cell r="W40"/>
          <cell r="X40"/>
          <cell r="Y40">
            <v>50000</v>
          </cell>
          <cell r="Z40"/>
          <cell r="AA40"/>
          <cell r="AB40"/>
          <cell r="AC40">
            <v>2500</v>
          </cell>
          <cell r="AD40"/>
          <cell r="AE40"/>
          <cell r="AF40"/>
          <cell r="AG40"/>
          <cell r="AH40"/>
          <cell r="AI40"/>
          <cell r="AJ40"/>
          <cell r="AK40">
            <v>200000</v>
          </cell>
          <cell r="AL40"/>
          <cell r="AM40"/>
          <cell r="AN40">
            <v>3000</v>
          </cell>
          <cell r="AO40"/>
          <cell r="AP40"/>
          <cell r="AQ40">
            <v>0</v>
          </cell>
          <cell r="AR40">
            <v>0</v>
          </cell>
          <cell r="AS40">
            <v>22000</v>
          </cell>
          <cell r="AT40"/>
          <cell r="AV40"/>
          <cell r="AW40">
            <v>297500</v>
          </cell>
          <cell r="AX40">
            <v>0</v>
          </cell>
          <cell r="AY40">
            <v>0</v>
          </cell>
          <cell r="AZ40">
            <v>297500</v>
          </cell>
          <cell r="BA40">
            <v>262500</v>
          </cell>
          <cell r="BB40"/>
          <cell r="BC40">
            <v>0</v>
          </cell>
          <cell r="BD40">
            <v>35000</v>
          </cell>
          <cell r="BE40"/>
          <cell r="BF40">
            <v>0</v>
          </cell>
          <cell r="BG40">
            <v>1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G41"/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>
            <v>253000</v>
          </cell>
          <cell r="V41"/>
          <cell r="W41"/>
          <cell r="X41"/>
          <cell r="Y41">
            <v>250000</v>
          </cell>
          <cell r="Z41"/>
          <cell r="AA41"/>
          <cell r="AB41"/>
          <cell r="AC41">
            <v>2500</v>
          </cell>
          <cell r="AD41">
            <v>7500</v>
          </cell>
          <cell r="AE41">
            <v>10000</v>
          </cell>
          <cell r="AF41"/>
          <cell r="AG41"/>
          <cell r="AH41"/>
          <cell r="AI41"/>
          <cell r="AJ41"/>
          <cell r="AK41">
            <v>200000</v>
          </cell>
          <cell r="AL41"/>
          <cell r="AM41"/>
          <cell r="AN41">
            <v>3000</v>
          </cell>
          <cell r="AO41"/>
          <cell r="AP41"/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200000</v>
          </cell>
          <cell r="AZ41">
            <v>200000</v>
          </cell>
          <cell r="BA41"/>
          <cell r="BB41"/>
          <cell r="BC41">
            <v>0</v>
          </cell>
          <cell r="BD41">
            <v>200000</v>
          </cell>
          <cell r="BE41"/>
          <cell r="BF41">
            <v>0</v>
          </cell>
          <cell r="BG41">
            <v>1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U42">
            <v>225000</v>
          </cell>
          <cell r="Y42">
            <v>225000</v>
          </cell>
          <cell r="AC42">
            <v>2500</v>
          </cell>
          <cell r="AD42">
            <v>7500</v>
          </cell>
          <cell r="AE42">
            <v>10000</v>
          </cell>
          <cell r="AP42"/>
          <cell r="AQ42">
            <v>0</v>
          </cell>
          <cell r="AR42">
            <v>0</v>
          </cell>
          <cell r="AS42">
            <v>25000</v>
          </cell>
          <cell r="AW42">
            <v>297500</v>
          </cell>
          <cell r="AX42">
            <v>892500</v>
          </cell>
          <cell r="AY42">
            <v>1190000</v>
          </cell>
          <cell r="AZ42">
            <v>2380000</v>
          </cell>
          <cell r="BC42">
            <v>0</v>
          </cell>
          <cell r="BD42">
            <v>2380000</v>
          </cell>
          <cell r="BF42">
            <v>0</v>
          </cell>
          <cell r="BG42">
            <v>1</v>
          </cell>
        </row>
        <row r="43">
          <cell r="B43" t="str">
            <v>TOTAUX</v>
          </cell>
          <cell r="C43">
            <v>-1826000</v>
          </cell>
          <cell r="D43">
            <v>6417400</v>
          </cell>
          <cell r="E43">
            <v>1413000</v>
          </cell>
          <cell r="F43">
            <v>0</v>
          </cell>
          <cell r="G43">
            <v>457900</v>
          </cell>
          <cell r="H43">
            <v>12000</v>
          </cell>
          <cell r="I43">
            <v>0</v>
          </cell>
          <cell r="J43">
            <v>35</v>
          </cell>
          <cell r="K43">
            <v>1700000</v>
          </cell>
          <cell r="L43">
            <v>13</v>
          </cell>
          <cell r="M43">
            <v>975000</v>
          </cell>
          <cell r="N43">
            <v>24</v>
          </cell>
          <cell r="O43">
            <v>2300000</v>
          </cell>
          <cell r="P43">
            <v>749500</v>
          </cell>
          <cell r="Q43">
            <v>809500</v>
          </cell>
          <cell r="R43">
            <v>1192000</v>
          </cell>
          <cell r="S43">
            <v>1592500</v>
          </cell>
          <cell r="T43"/>
          <cell r="U43">
            <v>9788400</v>
          </cell>
          <cell r="V43">
            <v>0</v>
          </cell>
          <cell r="W43">
            <v>0</v>
          </cell>
          <cell r="X43">
            <v>0</v>
          </cell>
          <cell r="Y43">
            <v>4975000</v>
          </cell>
          <cell r="Z43">
            <v>650000</v>
          </cell>
          <cell r="AA43">
            <v>0</v>
          </cell>
          <cell r="AB43"/>
          <cell r="AC43">
            <v>12500</v>
          </cell>
          <cell r="AD43">
            <v>15000</v>
          </cell>
          <cell r="AE43">
            <v>20000</v>
          </cell>
          <cell r="AF43">
            <v>0</v>
          </cell>
          <cell r="AG43">
            <v>0</v>
          </cell>
          <cell r="AH43"/>
          <cell r="AI43">
            <v>312500</v>
          </cell>
          <cell r="AJ43">
            <v>101500</v>
          </cell>
          <cell r="AK43">
            <v>2517000</v>
          </cell>
          <cell r="AL43">
            <v>6500</v>
          </cell>
          <cell r="AM43">
            <v>3000</v>
          </cell>
          <cell r="AN43">
            <v>52500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1307900</v>
          </cell>
          <cell r="AT43">
            <v>0</v>
          </cell>
          <cell r="AU43">
            <v>0</v>
          </cell>
          <cell r="AV43">
            <v>120000</v>
          </cell>
          <cell r="AW43">
            <v>1800000</v>
          </cell>
          <cell r="AX43">
            <v>1886500</v>
          </cell>
          <cell r="AY43">
            <v>4897000</v>
          </cell>
          <cell r="AZ43">
            <v>9453000</v>
          </cell>
          <cell r="BA43">
            <v>1413500</v>
          </cell>
          <cell r="BB43">
            <v>0</v>
          </cell>
          <cell r="BC43">
            <v>0</v>
          </cell>
          <cell r="BD43">
            <v>6214000</v>
          </cell>
          <cell r="BE43">
            <v>0</v>
          </cell>
          <cell r="BF43">
            <v>8000</v>
          </cell>
          <cell r="BH43">
            <v>6000</v>
          </cell>
          <cell r="BI43">
            <v>0</v>
          </cell>
          <cell r="BJ43">
            <v>100000</v>
          </cell>
          <cell r="BK43">
            <v>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-1827500</v>
          </cell>
          <cell r="D44">
            <v>6417400</v>
          </cell>
          <cell r="E44">
            <v>1413000</v>
          </cell>
          <cell r="F44">
            <v>0</v>
          </cell>
          <cell r="G44">
            <v>459400</v>
          </cell>
          <cell r="H44">
            <v>12000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749500</v>
          </cell>
          <cell r="Q44">
            <v>809500</v>
          </cell>
          <cell r="R44">
            <v>1192000</v>
          </cell>
          <cell r="S44">
            <v>1592500</v>
          </cell>
          <cell r="U44">
            <v>9789900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650000</v>
          </cell>
          <cell r="AA44">
            <v>0</v>
          </cell>
          <cell r="AC44">
            <v>12500</v>
          </cell>
          <cell r="AD44">
            <v>15000</v>
          </cell>
          <cell r="AE44">
            <v>20000</v>
          </cell>
          <cell r="AF44">
            <v>0</v>
          </cell>
          <cell r="AG44">
            <v>0</v>
          </cell>
          <cell r="AI44">
            <v>312500</v>
          </cell>
          <cell r="AJ44">
            <v>101500</v>
          </cell>
          <cell r="AK44">
            <v>2517000</v>
          </cell>
          <cell r="AL44">
            <v>6500</v>
          </cell>
          <cell r="AM44">
            <v>3000</v>
          </cell>
          <cell r="AN44">
            <v>52500</v>
          </cell>
          <cell r="AO44">
            <v>0</v>
          </cell>
          <cell r="AQ44">
            <v>0</v>
          </cell>
          <cell r="AR44">
            <v>0</v>
          </cell>
          <cell r="AS44">
            <v>1309400</v>
          </cell>
          <cell r="AT44">
            <v>0</v>
          </cell>
          <cell r="AU44">
            <v>0</v>
          </cell>
          <cell r="AV44">
            <v>0</v>
          </cell>
          <cell r="AW44">
            <v>1800000</v>
          </cell>
          <cell r="AX44">
            <v>1886500</v>
          </cell>
          <cell r="AY44">
            <v>4897000</v>
          </cell>
          <cell r="AZ44">
            <v>9434500</v>
          </cell>
          <cell r="BA44">
            <v>1413500</v>
          </cell>
          <cell r="BB44">
            <v>0</v>
          </cell>
          <cell r="BC44">
            <v>0</v>
          </cell>
          <cell r="BD44">
            <v>6195500</v>
          </cell>
          <cell r="BE44">
            <v>0</v>
          </cell>
          <cell r="BF44">
            <v>6500</v>
          </cell>
          <cell r="BH44">
            <v>6000</v>
          </cell>
          <cell r="BI44">
            <v>0</v>
          </cell>
          <cell r="BJ44">
            <v>100000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1413000</v>
          </cell>
          <cell r="BB45" t="str">
            <v>ESPECES EN CAISSE</v>
          </cell>
          <cell r="BD45"/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/>
          <cell r="BA46">
            <v>1413000</v>
          </cell>
          <cell r="BB46" t="str">
            <v>ESPECES EN CAISSE</v>
          </cell>
          <cell r="BD46">
            <v>-6214000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-500</v>
          </cell>
          <cell r="BD47">
            <v>-6195500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G48" t="str">
            <v>ENTREE</v>
          </cell>
          <cell r="H48" t="str">
            <v>SORTIE</v>
          </cell>
          <cell r="I48" t="str">
            <v>SOLDE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6214000</v>
          </cell>
          <cell r="D49">
            <v>6417400</v>
          </cell>
          <cell r="E49">
            <v>-203400</v>
          </cell>
          <cell r="F49"/>
          <cell r="G49">
            <v>1413000</v>
          </cell>
          <cell r="H49">
            <v>1413500</v>
          </cell>
          <cell r="I49">
            <v>-500</v>
          </cell>
          <cell r="J49"/>
        </row>
        <row r="50">
          <cell r="B50" t="str">
            <v>OPERATIONS DU JOUR</v>
          </cell>
          <cell r="C50">
            <v>6195500</v>
          </cell>
          <cell r="D50">
            <v>6417400</v>
          </cell>
          <cell r="E50">
            <v>-221900</v>
          </cell>
          <cell r="G50">
            <v>1413000</v>
          </cell>
          <cell r="H50">
            <v>1413500</v>
          </cell>
          <cell r="I50">
            <v>-500</v>
          </cell>
          <cell r="BO50" t="str">
            <v>FOYER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80000</v>
          </cell>
          <cell r="D6">
            <v>250000</v>
          </cell>
          <cell r="E6">
            <v>80000</v>
          </cell>
          <cell r="F6">
            <v>0</v>
          </cell>
          <cell r="G6"/>
          <cell r="H6">
            <v>0</v>
          </cell>
          <cell r="I6" t="str">
            <v>BANQUE</v>
          </cell>
          <cell r="J6"/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250000</v>
          </cell>
          <cell r="V6"/>
          <cell r="W6"/>
          <cell r="X6"/>
          <cell r="Y6">
            <v>250000</v>
          </cell>
          <cell r="Z6"/>
          <cell r="AA6"/>
          <cell r="AB6"/>
          <cell r="AC6"/>
          <cell r="AD6">
            <v>7500</v>
          </cell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  <cell r="AV6"/>
          <cell r="AW6">
            <v>0</v>
          </cell>
          <cell r="AX6">
            <v>892500</v>
          </cell>
          <cell r="AY6">
            <v>0</v>
          </cell>
          <cell r="AZ6">
            <v>944500</v>
          </cell>
          <cell r="BA6">
            <v>46000</v>
          </cell>
          <cell r="BB6"/>
          <cell r="BC6">
            <v>0</v>
          </cell>
          <cell r="BD6">
            <v>898500</v>
          </cell>
          <cell r="BE6"/>
          <cell r="BF6">
            <v>0</v>
          </cell>
          <cell r="BG6">
            <v>1</v>
          </cell>
          <cell r="BH6">
            <v>52000</v>
          </cell>
          <cell r="BI6">
            <v>0</v>
          </cell>
          <cell r="BJ6">
            <v>0</v>
          </cell>
          <cell r="BK6"/>
          <cell r="BL6"/>
          <cell r="BM6"/>
          <cell r="BN6">
            <v>0</v>
          </cell>
          <cell r="BO6" t="str">
            <v>ACHAT FOURNITURE</v>
          </cell>
          <cell r="BP6" t="str">
            <v>FONDS DE ROULEMENT</v>
          </cell>
          <cell r="BQ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1050000</v>
          </cell>
          <cell r="F7">
            <v>0</v>
          </cell>
          <cell r="G7"/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 t="str">
            <v>ESPECES</v>
          </cell>
          <cell r="U7">
            <v>1050000</v>
          </cell>
          <cell r="V7"/>
          <cell r="W7"/>
          <cell r="X7"/>
          <cell r="Y7">
            <v>50000</v>
          </cell>
          <cell r="Z7">
            <v>1000000</v>
          </cell>
          <cell r="AA7" t="str">
            <v>BANQUE</v>
          </cell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  <cell r="AV7"/>
          <cell r="AW7">
            <v>0</v>
          </cell>
          <cell r="AX7">
            <v>0</v>
          </cell>
          <cell r="AY7">
            <v>0</v>
          </cell>
          <cell r="AZ7">
            <v>980000</v>
          </cell>
          <cell r="BA7">
            <v>980000</v>
          </cell>
          <cell r="BB7"/>
          <cell r="BC7">
            <v>0</v>
          </cell>
          <cell r="BD7">
            <v>0</v>
          </cell>
          <cell r="BE7"/>
          <cell r="BF7">
            <v>20000</v>
          </cell>
          <cell r="BG7">
            <v>2</v>
          </cell>
          <cell r="BH7"/>
          <cell r="BI7"/>
          <cell r="BJ7"/>
          <cell r="BK7"/>
          <cell r="BL7"/>
          <cell r="BM7"/>
          <cell r="BN7"/>
          <cell r="BO7" t="str">
            <v>COMMUNICATION</v>
          </cell>
          <cell r="BP7" t="str">
            <v>FONDS DE ROULEMENT</v>
          </cell>
          <cell r="BQ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/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 t="str">
            <v>ESPECES</v>
          </cell>
          <cell r="U8">
            <v>625000</v>
          </cell>
          <cell r="V8"/>
          <cell r="W8"/>
          <cell r="X8"/>
          <cell r="Y8">
            <v>125000</v>
          </cell>
          <cell r="Z8">
            <v>500000</v>
          </cell>
          <cell r="AA8" t="str">
            <v>BANQUE</v>
          </cell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  <cell r="AV8"/>
          <cell r="AW8">
            <v>0</v>
          </cell>
          <cell r="AX8">
            <v>0</v>
          </cell>
          <cell r="AY8">
            <v>0</v>
          </cell>
          <cell r="AZ8">
            <v>490000</v>
          </cell>
          <cell r="BA8">
            <v>490000</v>
          </cell>
          <cell r="BB8"/>
          <cell r="BC8">
            <v>0</v>
          </cell>
          <cell r="BD8">
            <v>0</v>
          </cell>
          <cell r="BE8"/>
          <cell r="BF8">
            <v>10000</v>
          </cell>
          <cell r="BG8">
            <v>2</v>
          </cell>
          <cell r="BH8"/>
          <cell r="BI8"/>
          <cell r="BJ8"/>
          <cell r="BK8"/>
          <cell r="BL8"/>
          <cell r="BO8" t="str">
            <v>COMMISSION</v>
          </cell>
          <cell r="BP8" t="str">
            <v>FONDS DE ROULEMENT</v>
          </cell>
          <cell r="BQ8">
            <v>46000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0</v>
          </cell>
          <cell r="E9">
            <v>1457000</v>
          </cell>
          <cell r="F9">
            <v>0</v>
          </cell>
          <cell r="G9"/>
          <cell r="H9">
            <v>0</v>
          </cell>
          <cell r="I9" t="str">
            <v>ESPECES</v>
          </cell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207000</v>
          </cell>
          <cell r="S9">
            <v>1000000</v>
          </cell>
          <cell r="T9" t="str">
            <v>ESPECES</v>
          </cell>
          <cell r="U9">
            <v>1457000</v>
          </cell>
          <cell r="V9"/>
          <cell r="W9"/>
          <cell r="X9"/>
          <cell r="Y9">
            <v>250000</v>
          </cell>
          <cell r="Z9">
            <v>1000000</v>
          </cell>
          <cell r="AA9" t="str">
            <v>BANQUE</v>
          </cell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T9"/>
          <cell r="AV9"/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B9"/>
          <cell r="BC9">
            <v>0</v>
          </cell>
          <cell r="BD9">
            <v>0</v>
          </cell>
          <cell r="BE9"/>
          <cell r="BF9">
            <v>120000</v>
          </cell>
          <cell r="BG9">
            <v>12</v>
          </cell>
          <cell r="BH9"/>
          <cell r="BI9"/>
          <cell r="BJ9"/>
          <cell r="BK9"/>
          <cell r="BL9"/>
          <cell r="BO9" t="str">
            <v>OUVERTURE COMPTE</v>
          </cell>
          <cell r="BP9" t="str">
            <v>FONDS DE ROULEMENT</v>
          </cell>
          <cell r="BQ9"/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70000</v>
          </cell>
          <cell r="E10">
            <v>1000500</v>
          </cell>
          <cell r="F10">
            <v>0</v>
          </cell>
          <cell r="G10"/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L10"/>
          <cell r="M10">
            <v>0</v>
          </cell>
          <cell r="N10"/>
          <cell r="O10">
            <v>0</v>
          </cell>
          <cell r="P10">
            <v>20500</v>
          </cell>
          <cell r="Q10">
            <v>0</v>
          </cell>
          <cell r="R10">
            <v>0</v>
          </cell>
          <cell r="S10">
            <v>1000000</v>
          </cell>
          <cell r="T10" t="str">
            <v>ESPECES</v>
          </cell>
          <cell r="U10">
            <v>1070500</v>
          </cell>
          <cell r="V10"/>
          <cell r="W10"/>
          <cell r="X10"/>
          <cell r="Y10">
            <v>50000</v>
          </cell>
          <cell r="Z10">
            <v>1000000</v>
          </cell>
          <cell r="AA10" t="str">
            <v>BANQUE</v>
          </cell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T10"/>
          <cell r="AV10"/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A10">
            <v>880000</v>
          </cell>
          <cell r="BB10"/>
          <cell r="BC10">
            <v>0</v>
          </cell>
          <cell r="BD10">
            <v>0</v>
          </cell>
          <cell r="BE10"/>
          <cell r="BF10">
            <v>120000</v>
          </cell>
          <cell r="BG10">
            <v>12</v>
          </cell>
          <cell r="BH10"/>
          <cell r="BI10"/>
          <cell r="BJ10"/>
          <cell r="BK10"/>
          <cell r="BL10"/>
          <cell r="BO10" t="str">
            <v>CREDIT TELEPHONE</v>
          </cell>
          <cell r="BP10" t="str">
            <v>FONDS DE ROULEMENT</v>
          </cell>
          <cell r="BQ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1101500</v>
          </cell>
          <cell r="F11">
            <v>268500</v>
          </cell>
          <cell r="G11"/>
          <cell r="H11">
            <v>0</v>
          </cell>
          <cell r="I11" t="str">
            <v>ESPECES</v>
          </cell>
          <cell r="J11">
            <v>1</v>
          </cell>
          <cell r="K11">
            <v>50000</v>
          </cell>
          <cell r="L11"/>
          <cell r="M11">
            <v>0</v>
          </cell>
          <cell r="N11">
            <v>1</v>
          </cell>
          <cell r="O11">
            <v>100000</v>
          </cell>
          <cell r="P11">
            <v>51500</v>
          </cell>
          <cell r="Q11">
            <v>0</v>
          </cell>
          <cell r="R11">
            <v>168500</v>
          </cell>
          <cell r="S11">
            <v>1000000</v>
          </cell>
          <cell r="T11" t="str">
            <v>ESPECES</v>
          </cell>
          <cell r="U11">
            <v>1370000</v>
          </cell>
          <cell r="V11"/>
          <cell r="W11"/>
          <cell r="X11"/>
          <cell r="Y11">
            <v>150000</v>
          </cell>
          <cell r="Z11">
            <v>1000000</v>
          </cell>
          <cell r="AA11" t="str">
            <v>BANQUE</v>
          </cell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T11"/>
          <cell r="AV11"/>
          <cell r="AW11">
            <v>0</v>
          </cell>
          <cell r="AX11">
            <v>0</v>
          </cell>
          <cell r="AY11">
            <v>0</v>
          </cell>
          <cell r="AZ11">
            <v>980000</v>
          </cell>
          <cell r="BA11">
            <v>980000</v>
          </cell>
          <cell r="BB11"/>
          <cell r="BC11">
            <v>268500</v>
          </cell>
          <cell r="BD11">
            <v>-268500</v>
          </cell>
          <cell r="BE11"/>
          <cell r="BF11">
            <v>120000</v>
          </cell>
          <cell r="BG11">
            <v>12</v>
          </cell>
          <cell r="BH11"/>
          <cell r="BI11"/>
          <cell r="BJ11"/>
          <cell r="BK11">
            <v>100000</v>
          </cell>
          <cell r="BL11"/>
          <cell r="BO11" t="str">
            <v>PRODUCTION RAPPORT</v>
          </cell>
          <cell r="BP11" t="str">
            <v>FONDS DE ROULEMENT</v>
          </cell>
          <cell r="BQ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101500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L12"/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101500</v>
          </cell>
          <cell r="S12"/>
          <cell r="T12"/>
          <cell r="U12">
            <v>361500</v>
          </cell>
          <cell r="V12"/>
          <cell r="W12"/>
          <cell r="X12"/>
          <cell r="Y12">
            <v>250000</v>
          </cell>
          <cell r="Z12">
            <v>1000000</v>
          </cell>
          <cell r="AA12" t="str">
            <v>BANQUE</v>
          </cell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 t="str">
            <v>BANQUE</v>
          </cell>
          <cell r="AQ12">
            <v>0</v>
          </cell>
          <cell r="AR12">
            <v>0</v>
          </cell>
          <cell r="AS12">
            <v>35000</v>
          </cell>
          <cell r="AT12"/>
          <cell r="AV12"/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/>
          <cell r="BB12"/>
          <cell r="BC12">
            <v>0</v>
          </cell>
          <cell r="BD12">
            <v>1340000</v>
          </cell>
          <cell r="BE12" t="str">
            <v>0K</v>
          </cell>
          <cell r="BF12">
            <v>60000</v>
          </cell>
          <cell r="BG12">
            <v>6</v>
          </cell>
          <cell r="BH12"/>
          <cell r="BI12"/>
          <cell r="BJ12"/>
          <cell r="BK12"/>
          <cell r="BL12"/>
          <cell r="BO12" t="str">
            <v>ACHAT SOURIS ET PHOTOCOPIE</v>
          </cell>
          <cell r="BP12" t="str">
            <v>FONDS DE ROULEMENT</v>
          </cell>
          <cell r="BQ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/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/>
          <cell r="T13"/>
          <cell r="U13">
            <v>50000</v>
          </cell>
          <cell r="V13"/>
          <cell r="W13"/>
          <cell r="X13"/>
          <cell r="Y13">
            <v>50000</v>
          </cell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  <cell r="AV13"/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/>
          <cell r="BB13"/>
          <cell r="BC13">
            <v>0</v>
          </cell>
          <cell r="BD13">
            <v>0</v>
          </cell>
          <cell r="BE13"/>
          <cell r="BF13">
            <v>0</v>
          </cell>
          <cell r="BG13">
            <v>1</v>
          </cell>
          <cell r="BH13"/>
          <cell r="BI13"/>
          <cell r="BJ13"/>
          <cell r="BK13"/>
          <cell r="BL13"/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/>
          <cell r="H14">
            <v>0</v>
          </cell>
          <cell r="I14" t="str">
            <v>ESPECES</v>
          </cell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>
            <v>50000</v>
          </cell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  <cell r="AV14"/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/>
          <cell r="BB14"/>
          <cell r="BC14">
            <v>0</v>
          </cell>
          <cell r="BD14">
            <v>0</v>
          </cell>
          <cell r="BE14"/>
          <cell r="BF14">
            <v>0</v>
          </cell>
          <cell r="BG14">
            <v>1</v>
          </cell>
          <cell r="BH14"/>
          <cell r="BI14"/>
          <cell r="BJ14"/>
          <cell r="BK14"/>
          <cell r="BL14"/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150000</v>
          </cell>
          <cell r="E15">
            <v>203000</v>
          </cell>
          <cell r="F15">
            <v>0</v>
          </cell>
          <cell r="G15"/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L15"/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203000</v>
          </cell>
          <cell r="S15"/>
          <cell r="T15"/>
          <cell r="U15">
            <v>353000</v>
          </cell>
          <cell r="V15"/>
          <cell r="W15"/>
          <cell r="X15"/>
          <cell r="Y15">
            <v>150000</v>
          </cell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T15"/>
          <cell r="AV15"/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>
            <v>0</v>
          </cell>
          <cell r="BD15">
            <v>0</v>
          </cell>
          <cell r="BE15"/>
          <cell r="BF15">
            <v>0</v>
          </cell>
          <cell r="BG15">
            <v>1</v>
          </cell>
          <cell r="BH15"/>
          <cell r="BI15"/>
          <cell r="BJ15"/>
          <cell r="BK15"/>
          <cell r="BL15"/>
          <cell r="BO15" t="str">
            <v>ACHAT TERRAIN</v>
          </cell>
          <cell r="BP15" t="str">
            <v>FONDS DE ROULEMENT</v>
          </cell>
          <cell r="BQ15"/>
        </row>
        <row r="16">
          <cell r="A16" t="str">
            <v>AS201611</v>
          </cell>
          <cell r="B16" t="str">
            <v>HENGUE PAUL OMER</v>
          </cell>
          <cell r="C16">
            <v>26000</v>
          </cell>
          <cell r="D16">
            <v>125000</v>
          </cell>
          <cell r="E16">
            <v>26000</v>
          </cell>
          <cell r="F16">
            <v>0</v>
          </cell>
          <cell r="G16"/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/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/>
          <cell r="T16"/>
          <cell r="U16">
            <v>125000</v>
          </cell>
          <cell r="V16"/>
          <cell r="W16"/>
          <cell r="X16"/>
          <cell r="Y16">
            <v>125000</v>
          </cell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25000</v>
          </cell>
          <cell r="AT16"/>
          <cell r="AV16"/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/>
          <cell r="BB16"/>
          <cell r="BC16">
            <v>0</v>
          </cell>
          <cell r="BD16">
            <v>0</v>
          </cell>
          <cell r="BE16"/>
          <cell r="BF16">
            <v>0</v>
          </cell>
          <cell r="BG16">
            <v>1</v>
          </cell>
          <cell r="BH16"/>
          <cell r="BI16"/>
          <cell r="BJ16"/>
          <cell r="BK16"/>
          <cell r="BL16"/>
          <cell r="BQ16"/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603000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203000</v>
          </cell>
          <cell r="S17">
            <v>400000</v>
          </cell>
          <cell r="T17" t="str">
            <v>ESPECES</v>
          </cell>
          <cell r="U17">
            <v>853000</v>
          </cell>
          <cell r="V17"/>
          <cell r="W17"/>
          <cell r="X17"/>
          <cell r="Y17">
            <v>225000</v>
          </cell>
          <cell r="Z17">
            <v>400000</v>
          </cell>
          <cell r="AA17" t="str">
            <v>BANQUE</v>
          </cell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 t="str">
            <v>BANQUE</v>
          </cell>
          <cell r="AQ17">
            <v>0</v>
          </cell>
          <cell r="AR17">
            <v>0</v>
          </cell>
          <cell r="AS17">
            <v>50000</v>
          </cell>
          <cell r="AT17"/>
          <cell r="AV17"/>
          <cell r="AW17">
            <v>0</v>
          </cell>
          <cell r="AX17">
            <v>0</v>
          </cell>
          <cell r="AY17">
            <v>0</v>
          </cell>
          <cell r="AZ17">
            <v>392000</v>
          </cell>
          <cell r="BA17">
            <v>392000</v>
          </cell>
          <cell r="BB17"/>
          <cell r="BC17">
            <v>0</v>
          </cell>
          <cell r="BD17">
            <v>0</v>
          </cell>
          <cell r="BE17"/>
          <cell r="BF17">
            <v>8000</v>
          </cell>
          <cell r="BG17">
            <v>2</v>
          </cell>
          <cell r="BH17"/>
          <cell r="BI17"/>
          <cell r="BJ17"/>
          <cell r="BK17"/>
          <cell r="BL17"/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-500000</v>
          </cell>
          <cell r="D18">
            <v>250000</v>
          </cell>
          <cell r="E18">
            <v>20000</v>
          </cell>
          <cell r="F18">
            <v>143500</v>
          </cell>
          <cell r="G18"/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53000</v>
          </cell>
          <cell r="Q18">
            <v>0</v>
          </cell>
          <cell r="R18">
            <v>210500</v>
          </cell>
          <cell r="S18">
            <v>500000</v>
          </cell>
          <cell r="T18" t="str">
            <v>ESPECES</v>
          </cell>
          <cell r="U18">
            <v>913500</v>
          </cell>
          <cell r="V18"/>
          <cell r="W18"/>
          <cell r="X18"/>
          <cell r="Y18">
            <v>150000</v>
          </cell>
          <cell r="Z18">
            <v>500000</v>
          </cell>
          <cell r="AA18" t="str">
            <v>BANQUE</v>
          </cell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T18"/>
          <cell r="AV18"/>
          <cell r="AW18">
            <v>0</v>
          </cell>
          <cell r="AX18">
            <v>0</v>
          </cell>
          <cell r="AY18">
            <v>0</v>
          </cell>
          <cell r="AZ18">
            <v>475000</v>
          </cell>
          <cell r="BA18"/>
          <cell r="BB18"/>
          <cell r="BC18">
            <v>143500</v>
          </cell>
          <cell r="BD18">
            <v>331500</v>
          </cell>
          <cell r="BE18"/>
          <cell r="BF18">
            <v>25000</v>
          </cell>
          <cell r="BG18">
            <v>1</v>
          </cell>
          <cell r="BH18"/>
          <cell r="BI18"/>
          <cell r="BJ18"/>
          <cell r="BK18"/>
          <cell r="BL18"/>
          <cell r="BO18"/>
          <cell r="BQ18"/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208000</v>
          </cell>
          <cell r="E19">
            <v>1235000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0</v>
          </cell>
          <cell r="R19">
            <v>208000</v>
          </cell>
          <cell r="S19">
            <v>1000000</v>
          </cell>
          <cell r="T19" t="str">
            <v>ESPECES</v>
          </cell>
          <cell r="U19">
            <v>1443000</v>
          </cell>
          <cell r="V19"/>
          <cell r="W19"/>
          <cell r="X19"/>
          <cell r="Y19">
            <v>225000</v>
          </cell>
          <cell r="Z19">
            <v>1000000</v>
          </cell>
          <cell r="AA19" t="str">
            <v>BANQUE</v>
          </cell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 t="str">
            <v>BANQUE</v>
          </cell>
          <cell r="AQ19">
            <v>0</v>
          </cell>
          <cell r="AR19">
            <v>0</v>
          </cell>
          <cell r="AS19">
            <v>35000</v>
          </cell>
          <cell r="AT19"/>
          <cell r="AV19"/>
          <cell r="AW19">
            <v>0</v>
          </cell>
          <cell r="AX19">
            <v>0</v>
          </cell>
          <cell r="AY19">
            <v>0</v>
          </cell>
          <cell r="AZ19">
            <v>880000</v>
          </cell>
          <cell r="BA19"/>
          <cell r="BB19"/>
          <cell r="BC19">
            <v>0</v>
          </cell>
          <cell r="BD19">
            <v>880000</v>
          </cell>
          <cell r="BE19" t="str">
            <v>OK</v>
          </cell>
          <cell r="BF19">
            <v>120000</v>
          </cell>
          <cell r="BG19">
            <v>12</v>
          </cell>
          <cell r="BH19"/>
          <cell r="BI19"/>
          <cell r="BJ19"/>
          <cell r="BK19"/>
          <cell r="BL19"/>
          <cell r="BO19" t="str">
            <v>TERRAIN NYOM</v>
          </cell>
          <cell r="BP19" t="str">
            <v>AUTRES DEPENSES</v>
          </cell>
          <cell r="BQ19"/>
        </row>
        <row r="20">
          <cell r="A20" t="str">
            <v>AS201620</v>
          </cell>
          <cell r="B20" t="str">
            <v>LOWE JEAN</v>
          </cell>
          <cell r="C20">
            <v>-53000</v>
          </cell>
          <cell r="D20">
            <v>50000</v>
          </cell>
          <cell r="E20">
            <v>50000</v>
          </cell>
          <cell r="F20">
            <v>0</v>
          </cell>
          <cell r="G20">
            <v>50000</v>
          </cell>
          <cell r="H20">
            <v>0</v>
          </cell>
          <cell r="I20" t="str">
            <v>BANQUE</v>
          </cell>
          <cell r="J20">
            <v>1</v>
          </cell>
          <cell r="K20">
            <v>50000</v>
          </cell>
          <cell r="L20"/>
          <cell r="M20">
            <v>0</v>
          </cell>
          <cell r="N20"/>
          <cell r="O20">
            <v>0</v>
          </cell>
          <cell r="P20">
            <v>53000</v>
          </cell>
          <cell r="Q20">
            <v>0</v>
          </cell>
          <cell r="R20">
            <v>0</v>
          </cell>
          <cell r="S20"/>
          <cell r="T20"/>
          <cell r="U20">
            <v>103000</v>
          </cell>
          <cell r="V20"/>
          <cell r="W20"/>
          <cell r="X20"/>
          <cell r="Y20">
            <v>50000</v>
          </cell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  <cell r="AV20"/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/>
          <cell r="BB20"/>
          <cell r="BC20">
            <v>0</v>
          </cell>
          <cell r="BD20">
            <v>0</v>
          </cell>
          <cell r="BE20"/>
          <cell r="BF20">
            <v>0</v>
          </cell>
          <cell r="BG20">
            <v>1</v>
          </cell>
          <cell r="BH20"/>
          <cell r="BI20"/>
          <cell r="BJ20"/>
          <cell r="BK20"/>
          <cell r="BL20"/>
          <cell r="BO20" t="str">
            <v>RETRAIT COMPTE FOYER</v>
          </cell>
          <cell r="BQ20"/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53000</v>
          </cell>
          <cell r="F21">
            <v>0</v>
          </cell>
          <cell r="G21"/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L21">
            <v>1</v>
          </cell>
          <cell r="M21">
            <v>0</v>
          </cell>
          <cell r="N21">
            <v>2</v>
          </cell>
          <cell r="O21">
            <v>0</v>
          </cell>
          <cell r="P21">
            <v>53000</v>
          </cell>
          <cell r="Q21">
            <v>0</v>
          </cell>
          <cell r="R21">
            <v>0</v>
          </cell>
          <cell r="S21"/>
          <cell r="T21"/>
          <cell r="U21">
            <v>103000</v>
          </cell>
          <cell r="V21"/>
          <cell r="W21"/>
          <cell r="X21"/>
          <cell r="Y21">
            <v>50000</v>
          </cell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>
            <v>0</v>
          </cell>
          <cell r="AR21">
            <v>0</v>
          </cell>
          <cell r="AS21">
            <v>25000</v>
          </cell>
          <cell r="AT21"/>
          <cell r="AV21"/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/>
          <cell r="BB21"/>
          <cell r="BC21">
            <v>0</v>
          </cell>
          <cell r="BD21">
            <v>0</v>
          </cell>
          <cell r="BE21"/>
          <cell r="BF21">
            <v>0</v>
          </cell>
          <cell r="BG21">
            <v>1</v>
          </cell>
          <cell r="BH21"/>
          <cell r="BI21"/>
          <cell r="BJ21"/>
          <cell r="BK21"/>
          <cell r="BL21"/>
          <cell r="BO21" t="str">
            <v>RETRAIT COMPTE FOYER</v>
          </cell>
          <cell r="BQ21"/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0</v>
          </cell>
          <cell r="E22">
            <v>1471000</v>
          </cell>
          <cell r="F22">
            <v>0</v>
          </cell>
          <cell r="G22"/>
          <cell r="H22">
            <v>0</v>
          </cell>
          <cell r="I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0</v>
          </cell>
          <cell r="R22">
            <v>146000</v>
          </cell>
          <cell r="S22">
            <v>1000000</v>
          </cell>
          <cell r="T22" t="str">
            <v>ESPECES</v>
          </cell>
          <cell r="U22">
            <v>1471000</v>
          </cell>
          <cell r="V22"/>
          <cell r="W22"/>
          <cell r="X22"/>
          <cell r="Y22">
            <v>325000</v>
          </cell>
          <cell r="Z22">
            <v>1000000</v>
          </cell>
          <cell r="AA22" t="str">
            <v>BANQUE</v>
          </cell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T22"/>
          <cell r="AV22"/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A22">
            <v>970000</v>
          </cell>
          <cell r="BB22"/>
          <cell r="BC22">
            <v>0</v>
          </cell>
          <cell r="BD22">
            <v>-90000</v>
          </cell>
          <cell r="BE22"/>
          <cell r="BF22">
            <v>120000</v>
          </cell>
          <cell r="BG22">
            <v>12</v>
          </cell>
          <cell r="BH22"/>
          <cell r="BI22"/>
          <cell r="BJ22"/>
          <cell r="BK22"/>
          <cell r="BL22"/>
          <cell r="BQ22"/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0</v>
          </cell>
          <cell r="E23">
            <v>50000</v>
          </cell>
          <cell r="F23">
            <v>0</v>
          </cell>
          <cell r="G23"/>
          <cell r="H23">
            <v>0</v>
          </cell>
          <cell r="I23" t="str">
            <v>ESPECES</v>
          </cell>
          <cell r="J23">
            <v>1</v>
          </cell>
          <cell r="K23">
            <v>50000</v>
          </cell>
          <cell r="L23">
            <v>1</v>
          </cell>
          <cell r="M23">
            <v>0</v>
          </cell>
          <cell r="N23"/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>
            <v>50000</v>
          </cell>
          <cell r="V23"/>
          <cell r="W23"/>
          <cell r="X23"/>
          <cell r="Y23">
            <v>50000</v>
          </cell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25000</v>
          </cell>
          <cell r="AT23"/>
          <cell r="AV23"/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/>
          <cell r="BB23"/>
          <cell r="BC23">
            <v>0</v>
          </cell>
          <cell r="BD23">
            <v>0</v>
          </cell>
          <cell r="BE23"/>
          <cell r="BF23">
            <v>0</v>
          </cell>
          <cell r="BG23">
            <v>1</v>
          </cell>
          <cell r="BH23"/>
          <cell r="BI23"/>
          <cell r="BJ23"/>
          <cell r="BK23"/>
          <cell r="BL23"/>
          <cell r="BO23" t="str">
            <v>S/TOTAL</v>
          </cell>
          <cell r="BQ23">
            <v>0</v>
          </cell>
        </row>
        <row r="24">
          <cell r="A24" t="str">
            <v>AS201621</v>
          </cell>
          <cell r="B24" t="str">
            <v>NANKAM APPOLINAIRE</v>
          </cell>
          <cell r="C24">
            <v>26000</v>
          </cell>
          <cell r="D24">
            <v>125000</v>
          </cell>
          <cell r="E24">
            <v>26000</v>
          </cell>
          <cell r="F24">
            <v>900000</v>
          </cell>
          <cell r="G24">
            <v>10000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 t="str">
            <v>EN COMPTE</v>
          </cell>
          <cell r="U24">
            <v>1025000</v>
          </cell>
          <cell r="V24"/>
          <cell r="W24"/>
          <cell r="X24"/>
          <cell r="Y24">
            <v>125000</v>
          </cell>
          <cell r="Z24">
            <v>900000</v>
          </cell>
          <cell r="AA24" t="str">
            <v>BANQUE</v>
          </cell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>
            <v>0</v>
          </cell>
          <cell r="AR24">
            <v>0</v>
          </cell>
          <cell r="AS24">
            <v>25000</v>
          </cell>
          <cell r="AT24"/>
          <cell r="AV24"/>
          <cell r="AW24">
            <v>0</v>
          </cell>
          <cell r="AX24">
            <v>0</v>
          </cell>
          <cell r="AY24">
            <v>0</v>
          </cell>
          <cell r="AZ24">
            <v>652000</v>
          </cell>
          <cell r="BA24"/>
          <cell r="BB24"/>
          <cell r="BC24">
            <v>900000</v>
          </cell>
          <cell r="BD24">
            <v>-248000</v>
          </cell>
          <cell r="BE24"/>
          <cell r="BF24">
            <v>108000</v>
          </cell>
          <cell r="BG24">
            <v>12</v>
          </cell>
          <cell r="BH24"/>
          <cell r="BI24"/>
          <cell r="BJ24"/>
          <cell r="BK24"/>
          <cell r="BL24"/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760000</v>
          </cell>
          <cell r="E25">
            <v>203000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L25">
            <v>1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203000</v>
          </cell>
          <cell r="S25">
            <v>500000</v>
          </cell>
          <cell r="T25" t="str">
            <v>BANQUE</v>
          </cell>
          <cell r="U25">
            <v>963000</v>
          </cell>
          <cell r="V25"/>
          <cell r="W25"/>
          <cell r="X25"/>
          <cell r="Y25">
            <v>250000</v>
          </cell>
          <cell r="Z25">
            <v>500000</v>
          </cell>
          <cell r="AA25" t="str">
            <v>BANQUE</v>
          </cell>
          <cell r="AB25"/>
          <cell r="AC25">
            <v>2500</v>
          </cell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T25"/>
          <cell r="AV25"/>
          <cell r="AW25">
            <v>0</v>
          </cell>
          <cell r="AX25">
            <v>0</v>
          </cell>
          <cell r="AY25">
            <v>0</v>
          </cell>
          <cell r="AZ25">
            <v>470000</v>
          </cell>
          <cell r="BA25">
            <v>376500</v>
          </cell>
          <cell r="BB25"/>
          <cell r="BC25">
            <v>0</v>
          </cell>
          <cell r="BD25">
            <v>93500</v>
          </cell>
          <cell r="BE25" t="str">
            <v>OK</v>
          </cell>
          <cell r="BF25">
            <v>30000</v>
          </cell>
          <cell r="BG25">
            <v>6</v>
          </cell>
          <cell r="BH25"/>
          <cell r="BI25"/>
          <cell r="BJ25"/>
          <cell r="BK25"/>
          <cell r="BL25"/>
          <cell r="BO25" t="str">
            <v>GRATIFICATION BUREAU 2023</v>
          </cell>
          <cell r="BP25" t="str">
            <v>FRAIS EXEPTIONNEL</v>
          </cell>
          <cell r="BQ25"/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1550000</v>
          </cell>
          <cell r="E26">
            <v>0</v>
          </cell>
          <cell r="F26">
            <v>0</v>
          </cell>
          <cell r="G26">
            <v>17500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104500</v>
          </cell>
          <cell r="R26">
            <v>203000</v>
          </cell>
          <cell r="S26">
            <v>1000000</v>
          </cell>
          <cell r="T26" t="str">
            <v>BANQUE</v>
          </cell>
          <cell r="U26">
            <v>1550000</v>
          </cell>
          <cell r="V26"/>
          <cell r="W26"/>
          <cell r="X26"/>
          <cell r="Y26">
            <v>225000</v>
          </cell>
          <cell r="Z26">
            <v>1000000</v>
          </cell>
          <cell r="AA26" t="str">
            <v>BANQUE</v>
          </cell>
          <cell r="AB26"/>
          <cell r="AC26">
            <v>2500</v>
          </cell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 t="str">
            <v>BANQUE</v>
          </cell>
          <cell r="AQ26">
            <v>0</v>
          </cell>
          <cell r="AR26">
            <v>0</v>
          </cell>
          <cell r="AS26">
            <v>42500</v>
          </cell>
          <cell r="AT26"/>
          <cell r="AV26"/>
          <cell r="AW26">
            <v>297500</v>
          </cell>
          <cell r="AX26">
            <v>0</v>
          </cell>
          <cell r="AY26">
            <v>0</v>
          </cell>
          <cell r="AZ26">
            <v>1177500</v>
          </cell>
          <cell r="BA26"/>
          <cell r="BB26"/>
          <cell r="BC26">
            <v>0</v>
          </cell>
          <cell r="BD26">
            <v>1177500</v>
          </cell>
          <cell r="BE26" t="str">
            <v>OK</v>
          </cell>
          <cell r="BF26">
            <v>120000</v>
          </cell>
          <cell r="BG26">
            <v>12</v>
          </cell>
          <cell r="BH26"/>
          <cell r="BI26"/>
          <cell r="BJ26"/>
          <cell r="BK26"/>
          <cell r="BL26"/>
          <cell r="BO26" t="str">
            <v>GRATIFICATION BUREAU 2023</v>
          </cell>
          <cell r="BP26" t="str">
            <v>FRAIS EXEPTIONNEL</v>
          </cell>
          <cell r="BQ26"/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L27"/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S27"/>
          <cell r="T27"/>
          <cell r="U27">
            <v>450000</v>
          </cell>
          <cell r="V27"/>
          <cell r="W27"/>
          <cell r="X27"/>
          <cell r="Y27">
            <v>250000</v>
          </cell>
          <cell r="Z27">
            <v>1000000</v>
          </cell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T27"/>
          <cell r="AV27"/>
          <cell r="AW27">
            <v>0</v>
          </cell>
          <cell r="AX27">
            <v>0</v>
          </cell>
          <cell r="AY27">
            <v>0</v>
          </cell>
          <cell r="AZ27">
            <v>950000</v>
          </cell>
          <cell r="BA27"/>
          <cell r="BB27"/>
          <cell r="BC27">
            <v>0</v>
          </cell>
          <cell r="BD27">
            <v>950000</v>
          </cell>
          <cell r="BE27"/>
          <cell r="BF27">
            <v>50000</v>
          </cell>
          <cell r="BG27">
            <v>1</v>
          </cell>
          <cell r="BH27"/>
          <cell r="BI27"/>
          <cell r="BJ27"/>
          <cell r="BK27"/>
          <cell r="BL27"/>
          <cell r="BO27" t="str">
            <v>DOSSIER TECHNIQUE NGIEMENI</v>
          </cell>
          <cell r="BP27" t="str">
            <v>FRAIS EXEPTIONNEL</v>
          </cell>
          <cell r="BQ27"/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51500</v>
          </cell>
          <cell r="E28">
            <v>1050000</v>
          </cell>
          <cell r="F28">
            <v>0</v>
          </cell>
          <cell r="G28"/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L28"/>
          <cell r="M28">
            <v>0</v>
          </cell>
          <cell r="N28"/>
          <cell r="O28">
            <v>0</v>
          </cell>
          <cell r="P28">
            <v>51500</v>
          </cell>
          <cell r="Q28">
            <v>0</v>
          </cell>
          <cell r="R28">
            <v>0</v>
          </cell>
          <cell r="S28">
            <v>1000000</v>
          </cell>
          <cell r="T28" t="str">
            <v>ESPECES</v>
          </cell>
          <cell r="U28">
            <v>1101500</v>
          </cell>
          <cell r="V28"/>
          <cell r="W28"/>
          <cell r="X28"/>
          <cell r="Y28">
            <v>50000</v>
          </cell>
          <cell r="Z28">
            <v>1000000</v>
          </cell>
          <cell r="AA28" t="str">
            <v>BANQUE</v>
          </cell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T28"/>
          <cell r="AV28"/>
          <cell r="AW28">
            <v>0</v>
          </cell>
          <cell r="AX28">
            <v>0</v>
          </cell>
          <cell r="AY28">
            <v>0</v>
          </cell>
          <cell r="AZ28">
            <v>970000</v>
          </cell>
          <cell r="BA28">
            <v>479500</v>
          </cell>
          <cell r="BB28"/>
          <cell r="BC28">
            <v>0</v>
          </cell>
          <cell r="BD28">
            <v>490500</v>
          </cell>
          <cell r="BE28" t="str">
            <v>OK</v>
          </cell>
          <cell r="BF28">
            <v>30000</v>
          </cell>
          <cell r="BG28">
            <v>3</v>
          </cell>
          <cell r="BH28"/>
          <cell r="BI28"/>
          <cell r="BJ28"/>
          <cell r="BK28"/>
          <cell r="BL28"/>
          <cell r="BQ28"/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300000</v>
          </cell>
          <cell r="E29">
            <v>0</v>
          </cell>
          <cell r="F29">
            <v>0</v>
          </cell>
          <cell r="G29"/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L29">
            <v>1</v>
          </cell>
          <cell r="M29">
            <v>0</v>
          </cell>
          <cell r="N29"/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250000</v>
          </cell>
          <cell r="T29" t="str">
            <v>BANQUE</v>
          </cell>
          <cell r="U29">
            <v>300000</v>
          </cell>
          <cell r="V29"/>
          <cell r="W29"/>
          <cell r="X29"/>
          <cell r="Y29">
            <v>50000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25000</v>
          </cell>
          <cell r="AT29"/>
          <cell r="AV29"/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/>
          <cell r="BB29"/>
          <cell r="BC29">
            <v>0</v>
          </cell>
          <cell r="BD29">
            <v>0</v>
          </cell>
          <cell r="BE29"/>
          <cell r="BF29">
            <v>0</v>
          </cell>
          <cell r="BG29">
            <v>1</v>
          </cell>
          <cell r="BH29"/>
          <cell r="BI29"/>
          <cell r="BJ29"/>
          <cell r="BK29"/>
          <cell r="BL29"/>
          <cell r="BO29" t="str">
            <v>S/TOTAL</v>
          </cell>
          <cell r="BQ29">
            <v>0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G30"/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N30"/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/>
          <cell r="T30"/>
          <cell r="U30">
            <v>125000</v>
          </cell>
          <cell r="V30"/>
          <cell r="W30"/>
          <cell r="X30"/>
          <cell r="Y30">
            <v>125000</v>
          </cell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>
            <v>0</v>
          </cell>
          <cell r="AR30">
            <v>0</v>
          </cell>
          <cell r="AS30">
            <v>25000</v>
          </cell>
          <cell r="AT30"/>
          <cell r="AV30"/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/>
          <cell r="BB30"/>
          <cell r="BC30">
            <v>0</v>
          </cell>
          <cell r="BD30">
            <v>0</v>
          </cell>
          <cell r="BE30"/>
          <cell r="BF30">
            <v>0</v>
          </cell>
          <cell r="BG30">
            <v>1</v>
          </cell>
          <cell r="BH30"/>
          <cell r="BI30"/>
          <cell r="BJ30"/>
          <cell r="BK30"/>
          <cell r="BL30"/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-1000000</v>
          </cell>
          <cell r="D31">
            <v>110000</v>
          </cell>
          <cell r="E31">
            <v>0</v>
          </cell>
          <cell r="F31">
            <v>0</v>
          </cell>
          <cell r="G31">
            <v>1000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L31"/>
          <cell r="M31">
            <v>0</v>
          </cell>
          <cell r="N31">
            <v>2</v>
          </cell>
          <cell r="O31">
            <v>0</v>
          </cell>
          <cell r="P31">
            <v>59000</v>
          </cell>
          <cell r="Q31">
            <v>0</v>
          </cell>
          <cell r="R31">
            <v>0</v>
          </cell>
          <cell r="S31">
            <v>1000000</v>
          </cell>
          <cell r="T31" t="str">
            <v>BANQUE</v>
          </cell>
          <cell r="U31">
            <v>1110000</v>
          </cell>
          <cell r="V31"/>
          <cell r="W31"/>
          <cell r="X31"/>
          <cell r="Y31">
            <v>50000</v>
          </cell>
          <cell r="Z31">
            <v>900000</v>
          </cell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>
            <v>0</v>
          </cell>
          <cell r="AR31">
            <v>0</v>
          </cell>
          <cell r="AS31">
            <v>26000</v>
          </cell>
          <cell r="AT31"/>
          <cell r="AV31"/>
          <cell r="AW31">
            <v>0</v>
          </cell>
          <cell r="AX31">
            <v>0</v>
          </cell>
          <cell r="AY31">
            <v>0</v>
          </cell>
          <cell r="AZ31">
            <v>855000</v>
          </cell>
          <cell r="BA31"/>
          <cell r="BB31"/>
          <cell r="BC31">
            <v>0</v>
          </cell>
          <cell r="BD31">
            <v>855000</v>
          </cell>
          <cell r="BE31"/>
          <cell r="BF31">
            <v>45000</v>
          </cell>
          <cell r="BG31">
            <v>1</v>
          </cell>
          <cell r="BH31"/>
          <cell r="BI31"/>
          <cell r="BJ31"/>
          <cell r="BK31"/>
          <cell r="BL31"/>
          <cell r="BO31" t="str">
            <v xml:space="preserve">DECES </v>
          </cell>
          <cell r="BP31" t="str">
            <v>MUTUELLE</v>
          </cell>
          <cell r="BQ31"/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1203000</v>
          </cell>
          <cell r="F32">
            <v>0</v>
          </cell>
          <cell r="G32"/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L32"/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203000</v>
          </cell>
          <cell r="S32">
            <v>1000000</v>
          </cell>
          <cell r="T32" t="str">
            <v>ESPECES</v>
          </cell>
          <cell r="U32">
            <v>1453000</v>
          </cell>
          <cell r="V32"/>
          <cell r="W32"/>
          <cell r="X32"/>
          <cell r="Y32">
            <v>250000</v>
          </cell>
          <cell r="Z32">
            <v>1000000</v>
          </cell>
          <cell r="AA32" t="str">
            <v>BANQUE</v>
          </cell>
          <cell r="AB32"/>
          <cell r="AC32">
            <v>2500</v>
          </cell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T32"/>
          <cell r="AV32"/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A32">
            <v>970000</v>
          </cell>
          <cell r="BB32"/>
          <cell r="BC32">
            <v>0</v>
          </cell>
          <cell r="BD32">
            <v>0</v>
          </cell>
          <cell r="BE32"/>
          <cell r="BF32">
            <v>30000</v>
          </cell>
          <cell r="BG32">
            <v>3</v>
          </cell>
          <cell r="BH32"/>
          <cell r="BI32"/>
          <cell r="BJ32"/>
          <cell r="BK32"/>
          <cell r="BL32"/>
          <cell r="BO32" t="str">
            <v xml:space="preserve">DECES </v>
          </cell>
          <cell r="BP32" t="str">
            <v>MUTUELLE</v>
          </cell>
          <cell r="BQ32"/>
        </row>
        <row r="33">
          <cell r="A33" t="str">
            <v>AS201629</v>
          </cell>
          <cell r="B33" t="str">
            <v>SIMO FONGANG ERIC</v>
          </cell>
          <cell r="C33">
            <v>-294500</v>
          </cell>
          <cell r="D33">
            <v>50000</v>
          </cell>
          <cell r="E33">
            <v>10000</v>
          </cell>
          <cell r="F33">
            <v>0</v>
          </cell>
          <cell r="G33">
            <v>307500</v>
          </cell>
          <cell r="H33">
            <v>-3000</v>
          </cell>
          <cell r="I33" t="str">
            <v>BANQUE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354500</v>
          </cell>
          <cell r="V33"/>
          <cell r="W33"/>
          <cell r="X33"/>
          <cell r="Y33">
            <v>50000</v>
          </cell>
          <cell r="Z33"/>
          <cell r="AA33"/>
          <cell r="AB33"/>
          <cell r="AC33">
            <v>2500</v>
          </cell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332500</v>
          </cell>
          <cell r="AT33"/>
          <cell r="AV33"/>
          <cell r="AW33">
            <v>297500</v>
          </cell>
          <cell r="AX33">
            <v>0</v>
          </cell>
          <cell r="AY33">
            <v>0</v>
          </cell>
          <cell r="AZ33">
            <v>297500</v>
          </cell>
          <cell r="BA33"/>
          <cell r="BB33"/>
          <cell r="BC33">
            <v>0</v>
          </cell>
          <cell r="BD33">
            <v>297500</v>
          </cell>
          <cell r="BE33"/>
          <cell r="BF33">
            <v>0</v>
          </cell>
          <cell r="BG33">
            <v>1</v>
          </cell>
          <cell r="BH33"/>
          <cell r="BI33"/>
          <cell r="BJ33"/>
          <cell r="BK33"/>
          <cell r="BL33"/>
          <cell r="BQ33"/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0</v>
          </cell>
          <cell r="E34">
            <v>0</v>
          </cell>
          <cell r="F34">
            <v>530500</v>
          </cell>
          <cell r="G34"/>
          <cell r="H34">
            <v>0</v>
          </cell>
          <cell r="I34" t="str">
            <v>ECHEC</v>
          </cell>
          <cell r="J34">
            <v>1</v>
          </cell>
          <cell r="K34">
            <v>0</v>
          </cell>
          <cell r="L34">
            <v>1</v>
          </cell>
          <cell r="M34">
            <v>0</v>
          </cell>
          <cell r="N34">
            <v>1</v>
          </cell>
          <cell r="O34">
            <v>0</v>
          </cell>
          <cell r="P34">
            <v>30500</v>
          </cell>
          <cell r="Q34">
            <v>0</v>
          </cell>
          <cell r="R34">
            <v>0</v>
          </cell>
          <cell r="S34">
            <v>500000</v>
          </cell>
          <cell r="T34" t="str">
            <v>EN COMPTE</v>
          </cell>
          <cell r="U34">
            <v>530500</v>
          </cell>
          <cell r="V34"/>
          <cell r="W34"/>
          <cell r="X34"/>
          <cell r="Y34">
            <v>0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 t="str">
            <v>BANQUE</v>
          </cell>
          <cell r="AQ34">
            <v>0</v>
          </cell>
          <cell r="AR34">
            <v>0</v>
          </cell>
          <cell r="AS34">
            <v>0</v>
          </cell>
          <cell r="AT34"/>
          <cell r="AV34"/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/>
          <cell r="BB34"/>
          <cell r="BC34">
            <v>530500</v>
          </cell>
          <cell r="BD34">
            <v>-530500</v>
          </cell>
          <cell r="BE34"/>
          <cell r="BF34">
            <v>0</v>
          </cell>
          <cell r="BG34">
            <v>1</v>
          </cell>
          <cell r="BH34"/>
          <cell r="BI34"/>
          <cell r="BJ34"/>
          <cell r="BK34"/>
          <cell r="BL34"/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1000000</v>
          </cell>
          <cell r="F35">
            <v>0</v>
          </cell>
          <cell r="G35"/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N35">
            <v>1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 t="str">
            <v>ESPECES</v>
          </cell>
          <cell r="U35">
            <v>1125000</v>
          </cell>
          <cell r="V35"/>
          <cell r="W35"/>
          <cell r="X35"/>
          <cell r="Y35">
            <v>125000</v>
          </cell>
          <cell r="Z35">
            <v>1000000</v>
          </cell>
          <cell r="AA35" t="str">
            <v>BANQUE</v>
          </cell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>
            <v>0</v>
          </cell>
          <cell r="AR35">
            <v>0</v>
          </cell>
          <cell r="AS35">
            <v>25000</v>
          </cell>
          <cell r="AT35"/>
          <cell r="AV35"/>
          <cell r="AW35">
            <v>0</v>
          </cell>
          <cell r="AX35">
            <v>0</v>
          </cell>
          <cell r="AY35">
            <v>0</v>
          </cell>
          <cell r="AZ35">
            <v>940000</v>
          </cell>
          <cell r="BA35">
            <v>1163500</v>
          </cell>
          <cell r="BB35"/>
          <cell r="BC35">
            <v>0</v>
          </cell>
          <cell r="BD35">
            <v>-223500</v>
          </cell>
          <cell r="BE35"/>
          <cell r="BF35">
            <v>60000</v>
          </cell>
          <cell r="BG35">
            <v>6</v>
          </cell>
          <cell r="BH35"/>
          <cell r="BI35"/>
          <cell r="BJ35"/>
          <cell r="BK35"/>
          <cell r="BL35"/>
          <cell r="BO35" t="str">
            <v>S/TOTAL</v>
          </cell>
          <cell r="BQ35">
            <v>0</v>
          </cell>
        </row>
        <row r="36">
          <cell r="A36" t="str">
            <v>AS201660</v>
          </cell>
          <cell r="B36" t="str">
            <v>TCHOUATEU AUGUSTIN</v>
          </cell>
          <cell r="C36">
            <v>-100000</v>
          </cell>
          <cell r="D36">
            <v>1150000</v>
          </cell>
          <cell r="E36">
            <v>3500</v>
          </cell>
          <cell r="F36">
            <v>0</v>
          </cell>
          <cell r="G36"/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L36"/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103500</v>
          </cell>
          <cell r="S36">
            <v>1000000</v>
          </cell>
          <cell r="T36" t="str">
            <v>BANQUE</v>
          </cell>
          <cell r="U36">
            <v>1253500</v>
          </cell>
          <cell r="V36"/>
          <cell r="W36"/>
          <cell r="X36"/>
          <cell r="Y36">
            <v>150000</v>
          </cell>
          <cell r="Z36">
            <v>1000000</v>
          </cell>
          <cell r="AA36" t="str">
            <v>BANQUE</v>
          </cell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 t="str">
            <v>BANQUE</v>
          </cell>
          <cell r="AQ36">
            <v>0</v>
          </cell>
          <cell r="AR36">
            <v>0</v>
          </cell>
          <cell r="AS36">
            <v>25000</v>
          </cell>
          <cell r="AT36"/>
          <cell r="AV36"/>
          <cell r="AW36">
            <v>0</v>
          </cell>
          <cell r="AX36">
            <v>0</v>
          </cell>
          <cell r="AY36">
            <v>0</v>
          </cell>
          <cell r="AZ36">
            <v>880000</v>
          </cell>
          <cell r="BA36"/>
          <cell r="BB36"/>
          <cell r="BC36">
            <v>0</v>
          </cell>
          <cell r="BD36">
            <v>880000</v>
          </cell>
          <cell r="BE36" t="str">
            <v>OK</v>
          </cell>
          <cell r="BF36">
            <v>120000</v>
          </cell>
          <cell r="BG36">
            <v>12</v>
          </cell>
          <cell r="BH36"/>
          <cell r="BI36"/>
          <cell r="BJ36"/>
          <cell r="BK36"/>
          <cell r="BL36"/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G37"/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L37"/>
          <cell r="M37">
            <v>0</v>
          </cell>
          <cell r="N37"/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50000</v>
          </cell>
          <cell r="V37"/>
          <cell r="W37"/>
          <cell r="X37"/>
          <cell r="Y37">
            <v>50000</v>
          </cell>
          <cell r="Z37"/>
          <cell r="AA37"/>
          <cell r="AB37"/>
          <cell r="AC37">
            <v>2500</v>
          </cell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  <cell r="AV37"/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/>
          <cell r="BB37"/>
          <cell r="BC37">
            <v>0</v>
          </cell>
          <cell r="BD37">
            <v>0</v>
          </cell>
          <cell r="BE37"/>
          <cell r="BF37">
            <v>0</v>
          </cell>
          <cell r="BG37">
            <v>1</v>
          </cell>
          <cell r="BH37"/>
          <cell r="BI37"/>
          <cell r="BJ37"/>
          <cell r="BK37"/>
          <cell r="BL37"/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-284200</v>
          </cell>
          <cell r="D38">
            <v>50000</v>
          </cell>
          <cell r="E38">
            <v>13300</v>
          </cell>
          <cell r="F38">
            <v>0</v>
          </cell>
          <cell r="G38">
            <v>297500</v>
          </cell>
          <cell r="H38">
            <v>0</v>
          </cell>
          <cell r="I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347500</v>
          </cell>
          <cell r="V38"/>
          <cell r="W38"/>
          <cell r="X38"/>
          <cell r="Y38">
            <v>50000</v>
          </cell>
          <cell r="Z38"/>
          <cell r="AA38"/>
          <cell r="AB38"/>
          <cell r="AC38">
            <v>2500</v>
          </cell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0</v>
          </cell>
          <cell r="AR38">
            <v>0</v>
          </cell>
          <cell r="AS38">
            <v>322500</v>
          </cell>
          <cell r="AT38"/>
          <cell r="AV38"/>
          <cell r="AW38">
            <v>297500</v>
          </cell>
          <cell r="AX38">
            <v>0</v>
          </cell>
          <cell r="AY38">
            <v>0</v>
          </cell>
          <cell r="AZ38">
            <v>297500</v>
          </cell>
          <cell r="BA38"/>
          <cell r="BB38"/>
          <cell r="BC38">
            <v>0</v>
          </cell>
          <cell r="BD38">
            <v>297500</v>
          </cell>
          <cell r="BE38"/>
          <cell r="BF38">
            <v>0</v>
          </cell>
          <cell r="BG38">
            <v>1</v>
          </cell>
          <cell r="BH38"/>
          <cell r="BI38"/>
          <cell r="BJ38"/>
          <cell r="BK38"/>
          <cell r="BL38"/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232500</v>
          </cell>
          <cell r="E39">
            <v>0</v>
          </cell>
          <cell r="F39">
            <v>0</v>
          </cell>
          <cell r="G39"/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N39"/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107500</v>
          </cell>
          <cell r="T39" t="str">
            <v>BANQUE</v>
          </cell>
          <cell r="U39">
            <v>232500</v>
          </cell>
          <cell r="V39"/>
          <cell r="W39"/>
          <cell r="X39"/>
          <cell r="Y39">
            <v>125000</v>
          </cell>
          <cell r="Z39">
            <v>500000</v>
          </cell>
          <cell r="AA39" t="str">
            <v>BANQUE</v>
          </cell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>
            <v>0</v>
          </cell>
          <cell r="AR39">
            <v>0</v>
          </cell>
          <cell r="AS39">
            <v>25000</v>
          </cell>
          <cell r="AT39"/>
          <cell r="AV39"/>
          <cell r="AW39">
            <v>0</v>
          </cell>
          <cell r="AX39">
            <v>0</v>
          </cell>
          <cell r="AY39">
            <v>0</v>
          </cell>
          <cell r="AZ39">
            <v>470000</v>
          </cell>
          <cell r="BA39">
            <v>470000</v>
          </cell>
          <cell r="BB39"/>
          <cell r="BC39">
            <v>0</v>
          </cell>
          <cell r="BD39">
            <v>0</v>
          </cell>
          <cell r="BE39"/>
          <cell r="BF39">
            <v>30000</v>
          </cell>
          <cell r="BG39">
            <v>6</v>
          </cell>
          <cell r="BH39"/>
          <cell r="BI39"/>
          <cell r="BJ39"/>
          <cell r="BK39"/>
          <cell r="BL39"/>
          <cell r="BO39" t="str">
            <v>COLLATION</v>
          </cell>
          <cell r="BP39" t="str">
            <v>COLLATION</v>
          </cell>
          <cell r="BQ39"/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G40"/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L40"/>
          <cell r="M40">
            <v>0</v>
          </cell>
          <cell r="N40">
            <v>2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>
            <v>50000</v>
          </cell>
          <cell r="V40"/>
          <cell r="W40"/>
          <cell r="X40"/>
          <cell r="Y40">
            <v>50000</v>
          </cell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>
            <v>0</v>
          </cell>
          <cell r="AR40">
            <v>0</v>
          </cell>
          <cell r="AS40">
            <v>25000</v>
          </cell>
          <cell r="AT40"/>
          <cell r="AV40"/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/>
          <cell r="BB40"/>
          <cell r="BC40">
            <v>0</v>
          </cell>
          <cell r="BD40">
            <v>0</v>
          </cell>
          <cell r="BE40"/>
          <cell r="BF40">
            <v>0</v>
          </cell>
          <cell r="BG40">
            <v>1</v>
          </cell>
          <cell r="BH40"/>
          <cell r="BI40"/>
          <cell r="BJ40"/>
          <cell r="BK40"/>
          <cell r="BL40"/>
          <cell r="BO40" t="str">
            <v>COLLATION</v>
          </cell>
          <cell r="BP40" t="str">
            <v>COLLATION</v>
          </cell>
          <cell r="BQ40"/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453000</v>
          </cell>
          <cell r="F41">
            <v>0</v>
          </cell>
          <cell r="G41"/>
          <cell r="H41">
            <v>0</v>
          </cell>
          <cell r="I41" t="str">
            <v>ESPECES</v>
          </cell>
          <cell r="J41">
            <v>1</v>
          </cell>
          <cell r="K41">
            <v>50000</v>
          </cell>
          <cell r="L41">
            <v>1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203000</v>
          </cell>
          <cell r="S41"/>
          <cell r="T41"/>
          <cell r="U41">
            <v>453000</v>
          </cell>
          <cell r="V41"/>
          <cell r="W41"/>
          <cell r="X41"/>
          <cell r="Y41">
            <v>250000</v>
          </cell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 t="str">
            <v>BANQUE</v>
          </cell>
          <cell r="AQ41">
            <v>0</v>
          </cell>
          <cell r="AR41">
            <v>0</v>
          </cell>
          <cell r="AS41">
            <v>25000</v>
          </cell>
          <cell r="AT41"/>
          <cell r="AV41"/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/>
          <cell r="BB41"/>
          <cell r="BC41">
            <v>0</v>
          </cell>
          <cell r="BD41">
            <v>0</v>
          </cell>
          <cell r="BE41"/>
          <cell r="BF41">
            <v>0</v>
          </cell>
          <cell r="BG41">
            <v>1</v>
          </cell>
          <cell r="BH41"/>
          <cell r="BI41"/>
          <cell r="BJ41"/>
          <cell r="BK41"/>
          <cell r="BL41"/>
          <cell r="BO41" t="str">
            <v>BOISSON</v>
          </cell>
          <cell r="BP41" t="str">
            <v>COLLATION</v>
          </cell>
          <cell r="BQ41"/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G42"/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/>
          <cell r="T42"/>
          <cell r="U42">
            <v>225000</v>
          </cell>
          <cell r="V42"/>
          <cell r="W42"/>
          <cell r="X42"/>
          <cell r="Y42">
            <v>225000</v>
          </cell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 t="str">
            <v>BANQUE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</v>
          </cell>
        </row>
        <row r="43">
          <cell r="B43" t="str">
            <v>TOTAUX</v>
          </cell>
          <cell r="C43">
            <v>-2947500</v>
          </cell>
          <cell r="D43">
            <v>4985000</v>
          </cell>
          <cell r="E43">
            <v>50000</v>
          </cell>
          <cell r="F43">
            <v>0</v>
          </cell>
          <cell r="G43">
            <v>45000</v>
          </cell>
          <cell r="H43">
            <v>0</v>
          </cell>
          <cell r="I43">
            <v>0</v>
          </cell>
          <cell r="J43">
            <v>35</v>
          </cell>
          <cell r="K43">
            <v>1700000</v>
          </cell>
          <cell r="L43">
            <v>13</v>
          </cell>
          <cell r="M43">
            <v>975000</v>
          </cell>
          <cell r="N43">
            <v>24</v>
          </cell>
          <cell r="O43">
            <v>2300000</v>
          </cell>
          <cell r="P43">
            <v>319000</v>
          </cell>
          <cell r="Q43">
            <v>104500</v>
          </cell>
          <cell r="R43">
            <v>2569500</v>
          </cell>
          <cell r="S43">
            <v>0</v>
          </cell>
          <cell r="T43"/>
          <cell r="U43">
            <v>8013000</v>
          </cell>
          <cell r="V43">
            <v>0</v>
          </cell>
          <cell r="W43">
            <v>0</v>
          </cell>
          <cell r="X43">
            <v>0</v>
          </cell>
          <cell r="Y43">
            <v>4975000</v>
          </cell>
          <cell r="Z43">
            <v>0</v>
          </cell>
          <cell r="AA43">
            <v>0</v>
          </cell>
          <cell r="AB43"/>
          <cell r="AC43">
            <v>7500</v>
          </cell>
          <cell r="AD43">
            <v>7500</v>
          </cell>
          <cell r="AE43">
            <v>0</v>
          </cell>
          <cell r="AF43">
            <v>0</v>
          </cell>
          <cell r="AG43">
            <v>0</v>
          </cell>
          <cell r="AH43"/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/>
          <cell r="AQ43">
            <v>0</v>
          </cell>
          <cell r="AR43">
            <v>0</v>
          </cell>
          <cell r="AS43">
            <v>895000</v>
          </cell>
          <cell r="AT43">
            <v>0</v>
          </cell>
          <cell r="AU43">
            <v>0</v>
          </cell>
          <cell r="AV43">
            <v>0</v>
          </cell>
          <cell r="AW43">
            <v>892500</v>
          </cell>
          <cell r="AX43">
            <v>892500</v>
          </cell>
          <cell r="AY43">
            <v>0</v>
          </cell>
          <cell r="AZ43">
            <v>1785000</v>
          </cell>
          <cell r="BA43">
            <v>0</v>
          </cell>
          <cell r="BB43">
            <v>0</v>
          </cell>
          <cell r="BC43">
            <v>0</v>
          </cell>
          <cell r="BD43">
            <v>1785000</v>
          </cell>
          <cell r="BE43">
            <v>0</v>
          </cell>
          <cell r="BF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/>
          <cell r="BO43" t="str">
            <v>S/TOTAL</v>
          </cell>
          <cell r="BQ43">
            <v>0</v>
          </cell>
        </row>
        <row r="44">
          <cell r="B44" t="str">
            <v>TOTAUX</v>
          </cell>
          <cell r="C44">
            <v>-2046700</v>
          </cell>
          <cell r="D44">
            <v>7392000</v>
          </cell>
          <cell r="E44">
            <v>13063300</v>
          </cell>
          <cell r="F44">
            <v>1842500</v>
          </cell>
          <cell r="G44">
            <v>722000</v>
          </cell>
          <cell r="H44">
            <v>-3000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319000</v>
          </cell>
          <cell r="Q44">
            <v>104500</v>
          </cell>
          <cell r="R44">
            <v>2569500</v>
          </cell>
          <cell r="S44">
            <v>15657500</v>
          </cell>
          <cell r="T44"/>
          <cell r="U44">
            <v>24294500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17200000</v>
          </cell>
          <cell r="AA44">
            <v>0</v>
          </cell>
          <cell r="AB44"/>
          <cell r="AC44">
            <v>7500</v>
          </cell>
          <cell r="AD44">
            <v>7500</v>
          </cell>
          <cell r="AE44">
            <v>0</v>
          </cell>
          <cell r="AF44">
            <v>0</v>
          </cell>
          <cell r="AG44">
            <v>0</v>
          </cell>
          <cell r="AH44"/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/>
          <cell r="AQ44">
            <v>0</v>
          </cell>
          <cell r="AR44">
            <v>0</v>
          </cell>
          <cell r="AS44">
            <v>1522000</v>
          </cell>
          <cell r="AT44">
            <v>0</v>
          </cell>
          <cell r="AU44">
            <v>0</v>
          </cell>
          <cell r="AV44">
            <v>0</v>
          </cell>
          <cell r="AW44">
            <v>892500</v>
          </cell>
          <cell r="AX44">
            <v>892500</v>
          </cell>
          <cell r="AY44">
            <v>0</v>
          </cell>
          <cell r="AZ44">
            <v>17651000</v>
          </cell>
          <cell r="BA44">
            <v>9077500</v>
          </cell>
          <cell r="BB44">
            <v>0</v>
          </cell>
          <cell r="BC44">
            <v>1842500</v>
          </cell>
          <cell r="BD44">
            <v>7131000</v>
          </cell>
          <cell r="BE44">
            <v>0</v>
          </cell>
          <cell r="BF44">
            <v>1346000</v>
          </cell>
          <cell r="BH44">
            <v>52000</v>
          </cell>
          <cell r="BI44">
            <v>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5">
          <cell r="Z45"/>
          <cell r="AW45"/>
          <cell r="AX45"/>
          <cell r="AY45"/>
          <cell r="AZ45"/>
          <cell r="BA45">
            <v>50000</v>
          </cell>
          <cell r="BB45" t="str">
            <v>ESPECES EN CAISSE</v>
          </cell>
          <cell r="BD45"/>
          <cell r="BE45" t="str">
            <v>CHEQUE TIRE</v>
          </cell>
        </row>
        <row r="46">
          <cell r="B46" t="str">
            <v>LIBELLE</v>
          </cell>
          <cell r="C46" t="str">
            <v>BANQUE</v>
          </cell>
          <cell r="D46"/>
          <cell r="E46"/>
          <cell r="F46"/>
          <cell r="G46" t="str">
            <v>ESPECES</v>
          </cell>
          <cell r="H46"/>
          <cell r="I46"/>
          <cell r="Z46"/>
          <cell r="AI46"/>
          <cell r="AV46"/>
          <cell r="AW46"/>
          <cell r="AX46"/>
          <cell r="AY46"/>
          <cell r="AZ46">
            <v>12931300</v>
          </cell>
          <cell r="BA46">
            <v>13063300</v>
          </cell>
          <cell r="BB46" t="str">
            <v>ESPECES EN CAISSE</v>
          </cell>
          <cell r="BD46">
            <v>-1785000</v>
          </cell>
          <cell r="BE46" t="str">
            <v>CHEQUE TIRE</v>
          </cell>
        </row>
        <row r="47">
          <cell r="B47" t="str">
            <v>LIBELLE</v>
          </cell>
          <cell r="C47" t="str">
            <v>BANQUE</v>
          </cell>
          <cell r="D47" t="str">
            <v>ENTREE</v>
          </cell>
          <cell r="E47" t="str">
            <v>EN COMPTE</v>
          </cell>
          <cell r="F47"/>
          <cell r="G47" t="str">
            <v>ESPECES</v>
          </cell>
          <cell r="H47" t="str">
            <v>SORTIE</v>
          </cell>
          <cell r="I47" t="str">
            <v>SOLDE</v>
          </cell>
          <cell r="J47"/>
          <cell r="K47"/>
          <cell r="Z47"/>
          <cell r="AI47"/>
          <cell r="AW47"/>
          <cell r="AX47"/>
          <cell r="AY47"/>
          <cell r="AZ47"/>
          <cell r="BA47">
            <v>3985800</v>
          </cell>
          <cell r="BD47">
            <v>-7131000</v>
          </cell>
          <cell r="BO47" t="str">
            <v>S/TOTAL</v>
          </cell>
          <cell r="BQ47">
            <v>0</v>
          </cell>
        </row>
        <row r="48">
          <cell r="B48" t="str">
            <v>REPORT</v>
          </cell>
          <cell r="C48" t="str">
            <v>SORTIE</v>
          </cell>
          <cell r="D48" t="str">
            <v>ENTREE</v>
          </cell>
          <cell r="E48" t="str">
            <v>EN COMPTE</v>
          </cell>
          <cell r="F48"/>
          <cell r="G48" t="str">
            <v>ENTREE</v>
          </cell>
          <cell r="H48" t="str">
            <v>SORTIE</v>
          </cell>
          <cell r="I48" t="str">
            <v>SOLDE</v>
          </cell>
          <cell r="J48"/>
          <cell r="K48"/>
          <cell r="Z48"/>
          <cell r="AI48"/>
          <cell r="BB48">
            <v>2520000</v>
          </cell>
          <cell r="BO48" t="str">
            <v>S/TOTAL</v>
          </cell>
          <cell r="BQ48">
            <v>0</v>
          </cell>
        </row>
        <row r="49">
          <cell r="B49" t="str">
            <v>REPORT</v>
          </cell>
          <cell r="C49">
            <v>1785000</v>
          </cell>
          <cell r="D49">
            <v>4985000</v>
          </cell>
          <cell r="E49">
            <v>-3200000</v>
          </cell>
          <cell r="F49"/>
          <cell r="G49">
            <v>50000</v>
          </cell>
          <cell r="H49">
            <v>0</v>
          </cell>
          <cell r="I49">
            <v>50000</v>
          </cell>
          <cell r="J49"/>
          <cell r="AZ49">
            <v>1333800</v>
          </cell>
          <cell r="BA49">
            <v>11597500</v>
          </cell>
        </row>
        <row r="50">
          <cell r="B50" t="str">
            <v>OPERATIONS DU JOUR</v>
          </cell>
          <cell r="C50">
            <v>7131000</v>
          </cell>
          <cell r="D50">
            <v>7392000</v>
          </cell>
          <cell r="E50">
            <v>-261000</v>
          </cell>
          <cell r="F50"/>
          <cell r="G50">
            <v>13063300</v>
          </cell>
          <cell r="H50">
            <v>9077500</v>
          </cell>
          <cell r="I50">
            <v>3985800</v>
          </cell>
          <cell r="J50"/>
          <cell r="BO50" t="str">
            <v>FOYER</v>
          </cell>
        </row>
        <row r="51">
          <cell r="AZ51" t="str">
            <v>T25</v>
          </cell>
          <cell r="BA51">
            <v>376500</v>
          </cell>
          <cell r="BB51">
            <v>350000</v>
          </cell>
          <cell r="BC51">
            <v>26500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DEC24"/>
      <sheetName val="MVTJANV25"/>
      <sheetName val="MVTFEV25"/>
      <sheetName val="MVTMARS25"/>
      <sheetName val="MVTAVRIL25"/>
      <sheetName val="MVTMAI25"/>
      <sheetName val="MVTJUIN25"/>
      <sheetName val="MVTJUIL25"/>
      <sheetName val="MVTAOUT25"/>
      <sheetName val="MVTSEPT25"/>
      <sheetName val="MVTOCT25"/>
      <sheetName val="MVTNOV25"/>
      <sheetName val="MVTDEC25"/>
      <sheetName val="MVTRESUME25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A6" t="str">
            <v>AS201648</v>
          </cell>
          <cell r="B6" t="str">
            <v>ASELBY</v>
          </cell>
          <cell r="D6">
            <v>1023134</v>
          </cell>
          <cell r="E6">
            <v>0</v>
          </cell>
          <cell r="F6">
            <v>1023134</v>
          </cell>
          <cell r="G6">
            <v>1023134</v>
          </cell>
          <cell r="H6">
            <v>49185.181654784057</v>
          </cell>
          <cell r="I6">
            <v>1072319.1816547841</v>
          </cell>
          <cell r="AF6">
            <v>6000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A7" t="str">
            <v>AS201601</v>
          </cell>
          <cell r="B7" t="str">
            <v>BAKOP ACHILLE</v>
          </cell>
          <cell r="C7">
            <v>800000</v>
          </cell>
          <cell r="D7">
            <v>18598</v>
          </cell>
          <cell r="E7">
            <v>0</v>
          </cell>
          <cell r="F7">
            <v>818598</v>
          </cell>
          <cell r="G7">
            <v>818598</v>
          </cell>
          <cell r="H7">
            <v>39352.510357629522</v>
          </cell>
          <cell r="I7">
            <v>857950.51035762951</v>
          </cell>
          <cell r="J7">
            <v>0</v>
          </cell>
          <cell r="K7">
            <v>15000</v>
          </cell>
          <cell r="L7">
            <v>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600000</v>
          </cell>
          <cell r="W7" t="str">
            <v>BANQUE</v>
          </cell>
          <cell r="X7" t="str">
            <v>BANQUE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700000</v>
          </cell>
        </row>
        <row r="8">
          <cell r="A8" t="str">
            <v>AS201602</v>
          </cell>
          <cell r="B8" t="str">
            <v>BOUTCHOUANG WILLIAM</v>
          </cell>
          <cell r="C8">
            <v>800000</v>
          </cell>
          <cell r="D8">
            <v>132669</v>
          </cell>
          <cell r="E8">
            <v>0</v>
          </cell>
          <cell r="F8">
            <v>932669</v>
          </cell>
          <cell r="G8">
            <v>932669</v>
          </cell>
          <cell r="H8">
            <v>44836.252327442729</v>
          </cell>
          <cell r="I8">
            <v>977505.25232744275</v>
          </cell>
          <cell r="J8">
            <v>0</v>
          </cell>
          <cell r="K8">
            <v>15000</v>
          </cell>
          <cell r="L8">
            <v>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15000</v>
          </cell>
          <cell r="U8">
            <v>0</v>
          </cell>
          <cell r="V8">
            <v>0</v>
          </cell>
          <cell r="W8">
            <v>0</v>
          </cell>
          <cell r="X8" t="str">
            <v>BANQUE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800000</v>
          </cell>
          <cell r="D9">
            <v>6643</v>
          </cell>
          <cell r="E9">
            <v>0</v>
          </cell>
          <cell r="F9">
            <v>806643</v>
          </cell>
          <cell r="G9">
            <v>806643</v>
          </cell>
          <cell r="H9">
            <v>38777.796931350123</v>
          </cell>
          <cell r="I9">
            <v>845420.79693135014</v>
          </cell>
          <cell r="J9">
            <v>0</v>
          </cell>
          <cell r="K9">
            <v>40000</v>
          </cell>
          <cell r="L9">
            <v>34000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 t="str">
            <v>BANQUE</v>
          </cell>
          <cell r="X9" t="str">
            <v>BANQUE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100000</v>
          </cell>
        </row>
        <row r="10">
          <cell r="A10" t="str">
            <v>AS201654</v>
          </cell>
          <cell r="B10" t="str">
            <v>DJOMOU TCHAPDA</v>
          </cell>
          <cell r="C10">
            <v>800000</v>
          </cell>
          <cell r="D10">
            <v>7246</v>
          </cell>
          <cell r="E10">
            <v>0</v>
          </cell>
          <cell r="F10">
            <v>807246</v>
          </cell>
          <cell r="G10">
            <v>807246</v>
          </cell>
          <cell r="H10">
            <v>38806.784986226448</v>
          </cell>
          <cell r="I10">
            <v>846052.78498622647</v>
          </cell>
          <cell r="J10">
            <v>0</v>
          </cell>
          <cell r="K10">
            <v>15000</v>
          </cell>
          <cell r="L10">
            <v>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0</v>
          </cell>
          <cell r="W10">
            <v>0</v>
          </cell>
          <cell r="X10" t="str">
            <v>BANQUE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800000</v>
          </cell>
          <cell r="D11">
            <v>6032</v>
          </cell>
          <cell r="E11">
            <v>0</v>
          </cell>
          <cell r="F11">
            <v>806032</v>
          </cell>
          <cell r="G11">
            <v>806032</v>
          </cell>
          <cell r="H11">
            <v>38748.424291997828</v>
          </cell>
          <cell r="I11">
            <v>844780.4242919978</v>
          </cell>
          <cell r="J11">
            <v>0</v>
          </cell>
          <cell r="K11">
            <v>15000</v>
          </cell>
          <cell r="L11">
            <v>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1135000</v>
          </cell>
          <cell r="T11">
            <v>0</v>
          </cell>
          <cell r="U11">
            <v>0</v>
          </cell>
          <cell r="V11">
            <v>1000000</v>
          </cell>
          <cell r="W11" t="str">
            <v>BANQUE</v>
          </cell>
          <cell r="X11" t="str">
            <v>BANQUE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800000</v>
          </cell>
          <cell r="D12">
            <v>14486</v>
          </cell>
          <cell r="E12">
            <v>0</v>
          </cell>
          <cell r="F12">
            <v>814486</v>
          </cell>
          <cell r="G12">
            <v>814486</v>
          </cell>
          <cell r="H12">
            <v>39154.833936980343</v>
          </cell>
          <cell r="I12">
            <v>853640.83393698034</v>
          </cell>
          <cell r="J12">
            <v>0</v>
          </cell>
          <cell r="K12">
            <v>20800</v>
          </cell>
          <cell r="L12">
            <v>14800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60000</v>
          </cell>
          <cell r="U12">
            <v>0</v>
          </cell>
          <cell r="V12">
            <v>719200</v>
          </cell>
          <cell r="W12" t="str">
            <v>BANQUE</v>
          </cell>
          <cell r="X12" t="str">
            <v>BANQUE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100000</v>
          </cell>
        </row>
        <row r="13">
          <cell r="A13" t="str">
            <v>AS201651</v>
          </cell>
          <cell r="B13" t="str">
            <v>DOMOU FABIEN</v>
          </cell>
          <cell r="C13">
            <v>800000</v>
          </cell>
          <cell r="D13">
            <v>6365</v>
          </cell>
          <cell r="E13">
            <v>0</v>
          </cell>
          <cell r="F13">
            <v>806365</v>
          </cell>
          <cell r="G13">
            <v>806365</v>
          </cell>
          <cell r="H13">
            <v>38764.432620810127</v>
          </cell>
          <cell r="I13">
            <v>845129.43262081011</v>
          </cell>
          <cell r="J13">
            <v>0</v>
          </cell>
          <cell r="K13">
            <v>15000</v>
          </cell>
          <cell r="L13">
            <v>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1000000</v>
          </cell>
          <cell r="W13" t="str">
            <v>BANQUE</v>
          </cell>
          <cell r="X13" t="str">
            <v>BANQUE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100000</v>
          </cell>
        </row>
        <row r="14">
          <cell r="A14" t="str">
            <v>AS201609</v>
          </cell>
          <cell r="B14" t="str">
            <v>DONHOU DAVID</v>
          </cell>
          <cell r="C14">
            <v>800000</v>
          </cell>
          <cell r="D14">
            <v>702391</v>
          </cell>
          <cell r="E14">
            <v>0</v>
          </cell>
          <cell r="F14">
            <v>1502391</v>
          </cell>
          <cell r="G14">
            <v>1502391</v>
          </cell>
          <cell r="H14">
            <v>72224.531929847581</v>
          </cell>
          <cell r="I14">
            <v>1574615.5319298476</v>
          </cell>
          <cell r="J14">
            <v>0</v>
          </cell>
          <cell r="K14">
            <v>15000</v>
          </cell>
          <cell r="L14">
            <v>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100000</v>
          </cell>
        </row>
        <row r="15">
          <cell r="A15" t="str">
            <v>AS201663</v>
          </cell>
          <cell r="B15" t="str">
            <v>FAMPOU PAUL</v>
          </cell>
          <cell r="H15">
            <v>0</v>
          </cell>
          <cell r="I15">
            <v>0</v>
          </cell>
          <cell r="M15">
            <v>0</v>
          </cell>
          <cell r="S15">
            <v>0</v>
          </cell>
          <cell r="T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800000</v>
          </cell>
          <cell r="D16">
            <v>7143</v>
          </cell>
          <cell r="E16">
            <v>0</v>
          </cell>
          <cell r="F16">
            <v>807143</v>
          </cell>
          <cell r="G16">
            <v>807143</v>
          </cell>
          <cell r="H16">
            <v>38801.833461098322</v>
          </cell>
          <cell r="I16">
            <v>845944.83346109837</v>
          </cell>
          <cell r="J16">
            <v>0</v>
          </cell>
          <cell r="K16">
            <v>15000</v>
          </cell>
          <cell r="L16">
            <v>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100000</v>
          </cell>
        </row>
        <row r="17">
          <cell r="A17" t="str">
            <v>AS201613</v>
          </cell>
          <cell r="B17" t="str">
            <v>HOTCHO BENJAMIN</v>
          </cell>
          <cell r="C17">
            <v>800000</v>
          </cell>
          <cell r="D17">
            <v>6301</v>
          </cell>
          <cell r="E17">
            <v>0</v>
          </cell>
          <cell r="F17">
            <v>806301</v>
          </cell>
          <cell r="G17">
            <v>806301</v>
          </cell>
          <cell r="H17">
            <v>38761.355945002353</v>
          </cell>
          <cell r="I17">
            <v>845062.3559450024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238500</v>
          </cell>
          <cell r="W17" t="str">
            <v>BANQUE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100000</v>
          </cell>
        </row>
        <row r="18">
          <cell r="A18" t="str">
            <v>AS201617</v>
          </cell>
          <cell r="B18" t="str">
            <v>KOUAMOU MOISE</v>
          </cell>
          <cell r="C18">
            <v>800000</v>
          </cell>
          <cell r="D18">
            <v>6353</v>
          </cell>
          <cell r="E18">
            <v>0</v>
          </cell>
          <cell r="F18">
            <v>806353</v>
          </cell>
          <cell r="G18">
            <v>806353</v>
          </cell>
          <cell r="H18">
            <v>38763.855744096167</v>
          </cell>
          <cell r="I18">
            <v>845116.85574409622</v>
          </cell>
          <cell r="J18">
            <v>0</v>
          </cell>
          <cell r="K18">
            <v>15000</v>
          </cell>
          <cell r="L18">
            <v>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346500</v>
          </cell>
          <cell r="T18">
            <v>0</v>
          </cell>
          <cell r="U18">
            <v>0</v>
          </cell>
          <cell r="V18">
            <v>1000000</v>
          </cell>
          <cell r="W18" t="str">
            <v>BANQUE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800000</v>
          </cell>
          <cell r="D19">
            <v>9944</v>
          </cell>
          <cell r="E19">
            <v>0</v>
          </cell>
          <cell r="F19">
            <v>809944</v>
          </cell>
          <cell r="G19">
            <v>809944</v>
          </cell>
          <cell r="H19">
            <v>38936.486100747723</v>
          </cell>
          <cell r="I19">
            <v>848880.48610074772</v>
          </cell>
          <cell r="J19">
            <v>0</v>
          </cell>
          <cell r="K19">
            <v>15000</v>
          </cell>
          <cell r="L19">
            <v>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  <cell r="W19" t="str">
            <v>BANQUE</v>
          </cell>
          <cell r="X19" t="str">
            <v>BANQUE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100000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198625</v>
          </cell>
          <cell r="E21">
            <v>0</v>
          </cell>
          <cell r="F21">
            <v>198625</v>
          </cell>
          <cell r="G21">
            <v>0</v>
          </cell>
          <cell r="H21">
            <v>0</v>
          </cell>
          <cell r="I21">
            <v>198625</v>
          </cell>
          <cell r="J21">
            <v>0</v>
          </cell>
          <cell r="L21">
            <v>0</v>
          </cell>
          <cell r="M21">
            <v>0</v>
          </cell>
          <cell r="S21">
            <v>0</v>
          </cell>
          <cell r="T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800000</v>
          </cell>
          <cell r="D22">
            <v>8501</v>
          </cell>
          <cell r="E22">
            <v>0</v>
          </cell>
          <cell r="F22">
            <v>808501</v>
          </cell>
          <cell r="G22">
            <v>808501</v>
          </cell>
          <cell r="H22">
            <v>38867.116675894424</v>
          </cell>
          <cell r="I22">
            <v>847368.11667589447</v>
          </cell>
          <cell r="J22">
            <v>0</v>
          </cell>
          <cell r="L22">
            <v>0</v>
          </cell>
          <cell r="M22">
            <v>0</v>
          </cell>
          <cell r="S22">
            <v>1000000</v>
          </cell>
          <cell r="T22">
            <v>30000</v>
          </cell>
        </row>
        <row r="23">
          <cell r="A23" t="str">
            <v>AS201639</v>
          </cell>
          <cell r="B23" t="str">
            <v>NANGUEN MARTIN</v>
          </cell>
          <cell r="C23">
            <v>800000</v>
          </cell>
          <cell r="D23">
            <v>7819</v>
          </cell>
          <cell r="E23">
            <v>0</v>
          </cell>
          <cell r="F23">
            <v>807819</v>
          </cell>
          <cell r="G23">
            <v>807819</v>
          </cell>
          <cell r="H23">
            <v>38834.330849317885</v>
          </cell>
          <cell r="I23">
            <v>846653.33084931783</v>
          </cell>
          <cell r="J23">
            <v>0</v>
          </cell>
          <cell r="K23">
            <v>15000</v>
          </cell>
          <cell r="L23">
            <v>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500000</v>
          </cell>
          <cell r="W23" t="str">
            <v>BANQUE</v>
          </cell>
          <cell r="X23" t="str">
            <v>BANQUE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100000</v>
          </cell>
        </row>
        <row r="24">
          <cell r="A24" t="str">
            <v>AS201621</v>
          </cell>
          <cell r="B24" t="str">
            <v>NANKAM APPOLINAIRE</v>
          </cell>
          <cell r="C24">
            <v>800000</v>
          </cell>
          <cell r="D24">
            <v>249258</v>
          </cell>
          <cell r="E24">
            <v>0</v>
          </cell>
          <cell r="F24">
            <v>1049258</v>
          </cell>
          <cell r="G24">
            <v>1049258</v>
          </cell>
          <cell r="H24">
            <v>50441.042261067865</v>
          </cell>
          <cell r="I24">
            <v>1099699.0422610678</v>
          </cell>
          <cell r="J24">
            <v>0</v>
          </cell>
          <cell r="K24">
            <v>15000</v>
          </cell>
          <cell r="L24">
            <v>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>
            <v>108000</v>
          </cell>
          <cell r="U24">
            <v>0</v>
          </cell>
          <cell r="V24">
            <v>107500</v>
          </cell>
          <cell r="W24" t="str">
            <v>BANQUE</v>
          </cell>
          <cell r="X24" t="str">
            <v>BANQUE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100000</v>
          </cell>
        </row>
        <row r="25">
          <cell r="A25" t="str">
            <v>AS201622</v>
          </cell>
          <cell r="B25" t="str">
            <v>NDJOMO ETIENNE</v>
          </cell>
          <cell r="C25">
            <v>800000</v>
          </cell>
          <cell r="D25">
            <v>256158</v>
          </cell>
          <cell r="E25">
            <v>0</v>
          </cell>
          <cell r="F25">
            <v>1056158</v>
          </cell>
          <cell r="G25">
            <v>1056158</v>
          </cell>
          <cell r="H25">
            <v>50772.746371592992</v>
          </cell>
          <cell r="I25">
            <v>1106930.7463715931</v>
          </cell>
          <cell r="J25">
            <v>0</v>
          </cell>
          <cell r="K25">
            <v>25000</v>
          </cell>
          <cell r="L25">
            <v>19000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500000</v>
          </cell>
          <cell r="T25">
            <v>30000</v>
          </cell>
          <cell r="U25">
            <v>0</v>
          </cell>
          <cell r="V25">
            <v>600000</v>
          </cell>
          <cell r="W25" t="str">
            <v>BANQUE</v>
          </cell>
          <cell r="X25" t="str">
            <v>BANQUE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100000</v>
          </cell>
        </row>
        <row r="26">
          <cell r="A26" t="str">
            <v>AS201624</v>
          </cell>
          <cell r="B26" t="str">
            <v>NGONDIEP CLAUDE</v>
          </cell>
          <cell r="C26">
            <v>800000</v>
          </cell>
          <cell r="D26">
            <v>353356</v>
          </cell>
          <cell r="E26">
            <v>0</v>
          </cell>
          <cell r="F26">
            <v>1153356</v>
          </cell>
          <cell r="G26">
            <v>1153356</v>
          </cell>
          <cell r="H26">
            <v>55445.351608523539</v>
          </cell>
          <cell r="I26">
            <v>1208801.3516085236</v>
          </cell>
          <cell r="J26">
            <v>0</v>
          </cell>
          <cell r="K26">
            <v>15000</v>
          </cell>
          <cell r="L26">
            <v>9000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1000000</v>
          </cell>
          <cell r="W26" t="str">
            <v>BANQUE</v>
          </cell>
          <cell r="X26" t="str">
            <v>BANQUE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100000</v>
          </cell>
        </row>
        <row r="27">
          <cell r="A27" t="str">
            <v>AS201626</v>
          </cell>
          <cell r="B27" t="str">
            <v>NGUIEMEGNI MATHIEU BLAISE</v>
          </cell>
          <cell r="C27">
            <v>800000</v>
          </cell>
          <cell r="D27">
            <v>9175</v>
          </cell>
          <cell r="E27">
            <v>0</v>
          </cell>
          <cell r="F27">
            <v>809175</v>
          </cell>
          <cell r="G27">
            <v>809175</v>
          </cell>
          <cell r="H27">
            <v>38899.517917994992</v>
          </cell>
          <cell r="I27">
            <v>848074.51791799499</v>
          </cell>
          <cell r="J27">
            <v>0</v>
          </cell>
          <cell r="K27">
            <v>123000</v>
          </cell>
          <cell r="L27">
            <v>117000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T27">
            <v>120000</v>
          </cell>
          <cell r="U27">
            <v>0</v>
          </cell>
          <cell r="V27">
            <v>1000000</v>
          </cell>
          <cell r="W27" t="str">
            <v>BANQUE</v>
          </cell>
          <cell r="X27" t="str">
            <v>BANQUE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100000</v>
          </cell>
        </row>
        <row r="28">
          <cell r="A28" t="str">
            <v>AS201628</v>
          </cell>
          <cell r="B28" t="str">
            <v>NKAMGANG JUSTIN DEJOLIE</v>
          </cell>
          <cell r="C28">
            <v>800000</v>
          </cell>
          <cell r="D28">
            <v>10531</v>
          </cell>
          <cell r="E28">
            <v>0</v>
          </cell>
          <cell r="F28">
            <v>810531</v>
          </cell>
          <cell r="G28">
            <v>810531</v>
          </cell>
          <cell r="H28">
            <v>38964.704986672106</v>
          </cell>
          <cell r="I28">
            <v>849495.70498667215</v>
          </cell>
          <cell r="J28">
            <v>0</v>
          </cell>
          <cell r="K28">
            <v>15000</v>
          </cell>
          <cell r="L28">
            <v>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 t="str">
            <v>BANQUE</v>
          </cell>
          <cell r="X28" t="str">
            <v>BANQUE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100000</v>
          </cell>
        </row>
        <row r="29">
          <cell r="A29" t="str">
            <v>AS201656</v>
          </cell>
          <cell r="B29" t="str">
            <v>NOUBE ETIENNE</v>
          </cell>
          <cell r="C29">
            <v>800000</v>
          </cell>
          <cell r="D29">
            <v>-17159</v>
          </cell>
          <cell r="E29">
            <v>0</v>
          </cell>
          <cell r="F29">
            <v>782841</v>
          </cell>
          <cell r="G29">
            <v>782841</v>
          </cell>
          <cell r="H29">
            <v>37633.561969216942</v>
          </cell>
          <cell r="I29">
            <v>820474.56196921691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700000</v>
          </cell>
        </row>
        <row r="30">
          <cell r="A30" t="str">
            <v>AS201633</v>
          </cell>
          <cell r="B30" t="str">
            <v>PATEGO NJOSSU GUSTAVE</v>
          </cell>
          <cell r="C30">
            <v>800000</v>
          </cell>
          <cell r="D30">
            <v>133342</v>
          </cell>
          <cell r="E30">
            <v>0</v>
          </cell>
          <cell r="F30">
            <v>933342</v>
          </cell>
          <cell r="G30">
            <v>933342</v>
          </cell>
          <cell r="H30">
            <v>44868.605496483804</v>
          </cell>
          <cell r="I30">
            <v>978210.60549648385</v>
          </cell>
          <cell r="J30">
            <v>0</v>
          </cell>
          <cell r="K30">
            <v>15000</v>
          </cell>
          <cell r="L30">
            <v>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100000</v>
          </cell>
        </row>
        <row r="31">
          <cell r="A31" t="str">
            <v>AS201657</v>
          </cell>
          <cell r="B31" t="str">
            <v>SEUMO POLYCARPE</v>
          </cell>
          <cell r="C31">
            <v>800000</v>
          </cell>
          <cell r="D31">
            <v>-9977</v>
          </cell>
          <cell r="E31">
            <v>0</v>
          </cell>
          <cell r="F31">
            <v>790023</v>
          </cell>
          <cell r="G31">
            <v>790023</v>
          </cell>
          <cell r="H31">
            <v>37978.822682520047</v>
          </cell>
          <cell r="I31">
            <v>828001.82268252003</v>
          </cell>
          <cell r="J31">
            <v>0</v>
          </cell>
          <cell r="K31">
            <v>15000</v>
          </cell>
          <cell r="L31">
            <v>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>
            <v>120000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800000</v>
          </cell>
          <cell r="D32">
            <v>79106</v>
          </cell>
          <cell r="E32">
            <v>0</v>
          </cell>
          <cell r="F32">
            <v>879106</v>
          </cell>
          <cell r="G32">
            <v>879106</v>
          </cell>
          <cell r="H32">
            <v>42261.315041637354</v>
          </cell>
          <cell r="I32">
            <v>921367.3150416374</v>
          </cell>
          <cell r="J32">
            <v>0</v>
          </cell>
          <cell r="K32">
            <v>15000</v>
          </cell>
          <cell r="L32">
            <v>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0</v>
          </cell>
          <cell r="W32">
            <v>0</v>
          </cell>
          <cell r="X32" t="str">
            <v>BANQUE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100000</v>
          </cell>
        </row>
        <row r="33">
          <cell r="A33" t="str">
            <v>AS201629</v>
          </cell>
          <cell r="B33" t="str">
            <v>SIMO FONGANG ERIC</v>
          </cell>
          <cell r="H33">
            <v>0</v>
          </cell>
          <cell r="I33">
            <v>0</v>
          </cell>
          <cell r="M33">
            <v>0</v>
          </cell>
          <cell r="S33">
            <v>0</v>
          </cell>
          <cell r="T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800000</v>
          </cell>
          <cell r="D34">
            <v>46691</v>
          </cell>
          <cell r="E34">
            <v>0</v>
          </cell>
          <cell r="F34">
            <v>846691</v>
          </cell>
          <cell r="G34">
            <v>846691</v>
          </cell>
          <cell r="H34">
            <v>40703.026818061728</v>
          </cell>
          <cell r="I34">
            <v>887394.02681806171</v>
          </cell>
          <cell r="J34">
            <v>0</v>
          </cell>
          <cell r="K34">
            <v>15000</v>
          </cell>
          <cell r="L34">
            <v>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1000000</v>
          </cell>
          <cell r="T34">
            <v>120000</v>
          </cell>
          <cell r="U34">
            <v>0</v>
          </cell>
          <cell r="V34">
            <v>1000000</v>
          </cell>
          <cell r="W34" t="str">
            <v>BANQUE</v>
          </cell>
          <cell r="X34" t="str">
            <v>BANQUE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800000</v>
          </cell>
          <cell r="D35">
            <v>6050</v>
          </cell>
          <cell r="E35">
            <v>0</v>
          </cell>
          <cell r="F35">
            <v>806050</v>
          </cell>
          <cell r="G35">
            <v>806050</v>
          </cell>
          <cell r="H35">
            <v>38749.289607068764</v>
          </cell>
          <cell r="I35">
            <v>844799.28960706876</v>
          </cell>
          <cell r="J35">
            <v>0</v>
          </cell>
          <cell r="K35">
            <v>15000</v>
          </cell>
          <cell r="L35">
            <v>4000</v>
          </cell>
          <cell r="M35">
            <v>1000</v>
          </cell>
          <cell r="N35">
            <v>2000</v>
          </cell>
          <cell r="O35">
            <v>8000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>
            <v>120000</v>
          </cell>
          <cell r="U35">
            <v>0</v>
          </cell>
          <cell r="V35">
            <v>200000</v>
          </cell>
          <cell r="W35" t="str">
            <v>BANQUE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100000</v>
          </cell>
        </row>
        <row r="36">
          <cell r="A36" t="str">
            <v>AS201660</v>
          </cell>
          <cell r="B36" t="str">
            <v>TCHOUATEU AUGUSTIN</v>
          </cell>
          <cell r="C36">
            <v>800000</v>
          </cell>
          <cell r="D36">
            <v>-3392</v>
          </cell>
          <cell r="E36">
            <v>0</v>
          </cell>
          <cell r="F36">
            <v>796608</v>
          </cell>
          <cell r="G36">
            <v>796608</v>
          </cell>
          <cell r="H36">
            <v>38295.383779303804</v>
          </cell>
          <cell r="I36">
            <v>834903.38377930375</v>
          </cell>
          <cell r="J36">
            <v>0</v>
          </cell>
          <cell r="L36">
            <v>0</v>
          </cell>
          <cell r="M36">
            <v>0</v>
          </cell>
          <cell r="S36">
            <v>1000000</v>
          </cell>
          <cell r="T36">
            <v>120000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L37">
            <v>19000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70000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S38">
            <v>0</v>
          </cell>
          <cell r="T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800000</v>
          </cell>
          <cell r="D39">
            <v>-32497</v>
          </cell>
          <cell r="E39">
            <v>0</v>
          </cell>
          <cell r="F39">
            <v>767503</v>
          </cell>
          <cell r="G39">
            <v>767503</v>
          </cell>
          <cell r="H39">
            <v>36896.217382661242</v>
          </cell>
          <cell r="I39">
            <v>804399.2173826613</v>
          </cell>
          <cell r="J39">
            <v>0</v>
          </cell>
          <cell r="K39">
            <v>15000</v>
          </cell>
          <cell r="L39">
            <v>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1000000</v>
          </cell>
          <cell r="T39">
            <v>120000</v>
          </cell>
          <cell r="U39">
            <v>0</v>
          </cell>
          <cell r="V39">
            <v>0</v>
          </cell>
          <cell r="W39">
            <v>0</v>
          </cell>
          <cell r="X39" t="str">
            <v>BANQUE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700000</v>
          </cell>
        </row>
        <row r="40">
          <cell r="A40" t="str">
            <v>AS201646</v>
          </cell>
          <cell r="B40" t="str">
            <v>YEPMOU JEAN JACQUES</v>
          </cell>
          <cell r="C40">
            <v>800000</v>
          </cell>
          <cell r="D40">
            <v>739643</v>
          </cell>
          <cell r="E40">
            <v>0</v>
          </cell>
          <cell r="F40">
            <v>1539643</v>
          </cell>
          <cell r="G40">
            <v>1539643</v>
          </cell>
          <cell r="H40">
            <v>74015.349542207274</v>
          </cell>
          <cell r="I40">
            <v>1613658.3495422073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S40">
            <v>0</v>
          </cell>
          <cell r="T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800000</v>
          </cell>
          <cell r="D41">
            <v>241</v>
          </cell>
          <cell r="E41">
            <v>0</v>
          </cell>
          <cell r="F41">
            <v>800241</v>
          </cell>
          <cell r="G41">
            <v>800241</v>
          </cell>
          <cell r="H41">
            <v>38470.033204454208</v>
          </cell>
          <cell r="I41">
            <v>838711.03320445423</v>
          </cell>
          <cell r="J41">
            <v>0</v>
          </cell>
          <cell r="M41">
            <v>0</v>
          </cell>
          <cell r="N41">
            <v>0</v>
          </cell>
          <cell r="O41">
            <v>0</v>
          </cell>
          <cell r="S41">
            <v>0</v>
          </cell>
          <cell r="T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800000</v>
          </cell>
          <cell r="D42">
            <v>1296586</v>
          </cell>
          <cell r="E42">
            <v>0</v>
          </cell>
          <cell r="F42">
            <v>2096586</v>
          </cell>
          <cell r="G42">
            <v>2096586</v>
          </cell>
          <cell r="H42">
            <v>100789.30351730769</v>
          </cell>
          <cell r="I42">
            <v>2197375.3035173076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S42">
            <v>500000</v>
          </cell>
          <cell r="T42">
            <v>15000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F6">
            <v>1072319.1816547841</v>
          </cell>
          <cell r="G6">
            <v>1072319.1816547841</v>
          </cell>
          <cell r="H6">
            <v>7885.6837367924445</v>
          </cell>
          <cell r="I6">
            <v>1080204.8653915767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72000</v>
          </cell>
          <cell r="AG6">
            <v>200000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401000</v>
          </cell>
          <cell r="AM6" t="str">
            <v>RETRAIT POUR LE COMPTE LAAGWE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876950.51035762951</v>
          </cell>
          <cell r="G7">
            <v>876950.51035762951</v>
          </cell>
          <cell r="H7">
            <v>6448.9701348318131</v>
          </cell>
          <cell r="I7">
            <v>883399.48049246136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>
            <v>110000</v>
          </cell>
          <cell r="U7">
            <v>0</v>
          </cell>
          <cell r="V7">
            <v>0</v>
          </cell>
          <cell r="W7">
            <v>0</v>
          </cell>
          <cell r="X7" t="str">
            <v>BANQUE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996505.25232744275</v>
          </cell>
          <cell r="G8">
            <v>996505.25232744275</v>
          </cell>
          <cell r="H8">
            <v>7328.1588134796257</v>
          </cell>
          <cell r="I8">
            <v>1003833.4111409223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864420.79693135014</v>
          </cell>
          <cell r="G9">
            <v>864420.79693135014</v>
          </cell>
          <cell r="H9">
            <v>6356.8283928182027</v>
          </cell>
          <cell r="I9">
            <v>870777.62532416836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865052.78498622647</v>
          </cell>
          <cell r="G10">
            <v>865052.78498622647</v>
          </cell>
          <cell r="H10">
            <v>6361.4759436700815</v>
          </cell>
          <cell r="I10">
            <v>871414.2609298965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863780.4242919978</v>
          </cell>
          <cell r="G11">
            <v>863780.4242919978</v>
          </cell>
          <cell r="H11">
            <v>6352.1191829168793</v>
          </cell>
          <cell r="I11">
            <v>870132.54347491462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882640.83393698034</v>
          </cell>
          <cell r="G12">
            <v>882640.83393698034</v>
          </cell>
          <cell r="H12">
            <v>6490.8159703576948</v>
          </cell>
          <cell r="I12">
            <v>889131.64990733808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864129.43262081011</v>
          </cell>
          <cell r="G13">
            <v>864129.43262081011</v>
          </cell>
          <cell r="H13">
            <v>6354.6857408500064</v>
          </cell>
          <cell r="I13">
            <v>870484.11836166016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1593615.5319298476</v>
          </cell>
          <cell r="G14">
            <v>1593615.5319298476</v>
          </cell>
          <cell r="H14">
            <v>11719.223434431393</v>
          </cell>
          <cell r="I14">
            <v>1605334.755364279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864944.83346109837</v>
          </cell>
          <cell r="G16">
            <v>864944.83346109837</v>
          </cell>
          <cell r="H16">
            <v>6360.6820834084838</v>
          </cell>
          <cell r="I16">
            <v>871305.51554450684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914062.3559450024</v>
          </cell>
          <cell r="G17">
            <v>914062.3559450024</v>
          </cell>
          <cell r="H17">
            <v>6721.8854031561968</v>
          </cell>
          <cell r="I17">
            <v>920784.24134815857</v>
          </cell>
          <cell r="J17">
            <v>0</v>
          </cell>
          <cell r="K17">
            <v>75000</v>
          </cell>
          <cell r="L17">
            <v>69000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864116.85574409622</v>
          </cell>
          <cell r="G18">
            <v>864116.85574409622</v>
          </cell>
          <cell r="H18">
            <v>6354.5932522758403</v>
          </cell>
          <cell r="I18">
            <v>870471.44899637206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16500</v>
          </cell>
          <cell r="U18">
            <v>0</v>
          </cell>
          <cell r="V18">
            <v>346500</v>
          </cell>
          <cell r="W18" t="str">
            <v>BANQUE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877880.48610074772</v>
          </cell>
          <cell r="G19">
            <v>877880.48610074772</v>
          </cell>
          <cell r="H19">
            <v>6455.8090450355849</v>
          </cell>
          <cell r="I19">
            <v>884336.29514578334</v>
          </cell>
          <cell r="J19">
            <v>0</v>
          </cell>
          <cell r="K19">
            <v>35000</v>
          </cell>
          <cell r="L19">
            <v>29000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F20">
            <v>0</v>
          </cell>
          <cell r="G20">
            <v>0</v>
          </cell>
          <cell r="H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1016250</v>
          </cell>
          <cell r="G21">
            <v>1016250</v>
          </cell>
          <cell r="H21">
            <v>7473.3588978129865</v>
          </cell>
          <cell r="I21">
            <v>1023723.358897813</v>
          </cell>
          <cell r="J21">
            <v>0</v>
          </cell>
          <cell r="K21">
            <v>625000</v>
          </cell>
          <cell r="L21">
            <v>817625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866368.11667589447</v>
          </cell>
          <cell r="G22">
            <v>866368.11667589447</v>
          </cell>
          <cell r="H22">
            <v>6371.148707051686</v>
          </cell>
          <cell r="I22">
            <v>872739.26538294612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865653.33084931783</v>
          </cell>
          <cell r="G23">
            <v>865653.33084931783</v>
          </cell>
          <cell r="H23">
            <v>6365.8922730865424</v>
          </cell>
          <cell r="I23">
            <v>872019.22312240442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1118699.0422610678</v>
          </cell>
          <cell r="G24">
            <v>1118699.0422610678</v>
          </cell>
          <cell r="H24">
            <v>8226.7546779400909</v>
          </cell>
          <cell r="I24">
            <v>1126925.7969390079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1135930.7463715931</v>
          </cell>
          <cell r="G25">
            <v>1135930.7463715931</v>
          </cell>
          <cell r="H25">
            <v>8353.4741950263142</v>
          </cell>
          <cell r="I25">
            <v>1144284.2205666194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1242801.3516085236</v>
          </cell>
          <cell r="G26">
            <v>1242801.3516085236</v>
          </cell>
          <cell r="H26">
            <v>9139.3855244846909</v>
          </cell>
          <cell r="I26">
            <v>1251940.7371330084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>
            <v>110000</v>
          </cell>
          <cell r="U26">
            <v>0</v>
          </cell>
          <cell r="V26">
            <v>0</v>
          </cell>
          <cell r="W26">
            <v>0</v>
          </cell>
          <cell r="X26" t="str">
            <v>BANQUE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867074.51791799499</v>
          </cell>
          <cell r="G27">
            <v>867074.51791799499</v>
          </cell>
          <cell r="H27">
            <v>6376.3434819673839</v>
          </cell>
          <cell r="I27">
            <v>873450.86139996233</v>
          </cell>
          <cell r="J27">
            <v>0</v>
          </cell>
          <cell r="K27">
            <v>25000</v>
          </cell>
          <cell r="L27">
            <v>19000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868495.70498667215</v>
          </cell>
          <cell r="G28">
            <v>868495.70498667215</v>
          </cell>
          <cell r="H28">
            <v>6386.7946908482254</v>
          </cell>
          <cell r="I28">
            <v>874882.49967752036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839474.56196921691</v>
          </cell>
          <cell r="G29">
            <v>839474.56196921691</v>
          </cell>
          <cell r="H29">
            <v>6173.3773059584819</v>
          </cell>
          <cell r="I29">
            <v>845647.93927517545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997210.60549648385</v>
          </cell>
          <cell r="G30">
            <v>997210.60549648385</v>
          </cell>
          <cell r="H30">
            <v>7333.3458810141437</v>
          </cell>
          <cell r="I30">
            <v>1004543.951377498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847001.82268252003</v>
          </cell>
          <cell r="G31">
            <v>847001.82268252003</v>
          </cell>
          <cell r="H31">
            <v>6228.731717597273</v>
          </cell>
          <cell r="I31">
            <v>853230.55440011725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940367.3150416374</v>
          </cell>
          <cell r="G32">
            <v>940367.3150416374</v>
          </cell>
          <cell r="H32">
            <v>6915.3283553052188</v>
          </cell>
          <cell r="I32">
            <v>947282.64339694264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906394.02681806171</v>
          </cell>
          <cell r="G34">
            <v>906394.02681806171</v>
          </cell>
          <cell r="H34">
            <v>6665.493594337323</v>
          </cell>
          <cell r="I34">
            <v>913059.52041239908</v>
          </cell>
          <cell r="J34">
            <v>0</v>
          </cell>
          <cell r="K34">
            <v>25000</v>
          </cell>
          <cell r="L34">
            <v>19000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863799.28960706876</v>
          </cell>
          <cell r="G35">
            <v>863799.28960706876</v>
          </cell>
          <cell r="H35">
            <v>6352.2579157781302</v>
          </cell>
          <cell r="I35">
            <v>870151.54752284684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853903.38377930375</v>
          </cell>
          <cell r="G36">
            <v>853903.38377930375</v>
          </cell>
          <cell r="H36">
            <v>6279.4848226712693</v>
          </cell>
          <cell r="I36">
            <v>860182.86860197503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823399.2173826613</v>
          </cell>
          <cell r="G39">
            <v>823399.2173826613</v>
          </cell>
          <cell r="H39">
            <v>6055.1614934110321</v>
          </cell>
          <cell r="I39">
            <v>829454.37887607235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1632658.3495422073</v>
          </cell>
          <cell r="G40">
            <v>1632658.3495422073</v>
          </cell>
          <cell r="H40">
            <v>12006.338798169663</v>
          </cell>
          <cell r="I40">
            <v>1644664.6883403771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857711.03320445423</v>
          </cell>
          <cell r="G41">
            <v>857711.03320445423</v>
          </cell>
          <cell r="H41">
            <v>6307.4857385002488</v>
          </cell>
          <cell r="I41">
            <v>864018.51894295448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100000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2216375.3035173076</v>
          </cell>
          <cell r="G42">
            <v>2216375.3035173076</v>
          </cell>
          <cell r="H42">
            <v>16298.910795015036</v>
          </cell>
          <cell r="I42">
            <v>2232674.2143123224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F6">
            <v>1080204.8653915767</v>
          </cell>
          <cell r="G6">
            <v>1080204.8653915767</v>
          </cell>
          <cell r="H6">
            <v>955.55686757766159</v>
          </cell>
          <cell r="I6">
            <v>1081160.4222591543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36000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 t="str">
            <v>RETRAIT POUR LE COMPTE LAAGWE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902399.48049246136</v>
          </cell>
          <cell r="G7">
            <v>902399.48049246136</v>
          </cell>
          <cell r="H7">
            <v>798.26896592481285</v>
          </cell>
          <cell r="I7">
            <v>903197.74945838621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1022833.4111409223</v>
          </cell>
          <cell r="G8">
            <v>1022833.4111409223</v>
          </cell>
          <cell r="H8">
            <v>904.80567318060866</v>
          </cell>
          <cell r="I8">
            <v>1023738.216814103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889777.62532416836</v>
          </cell>
          <cell r="G9">
            <v>889777.62532416836</v>
          </cell>
          <cell r="H9">
            <v>787.10358352926062</v>
          </cell>
          <cell r="I9">
            <v>890564.7289076976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890414.2609298965</v>
          </cell>
          <cell r="G10">
            <v>890414.2609298965</v>
          </cell>
          <cell r="H10">
            <v>787.6667558909935</v>
          </cell>
          <cell r="I10">
            <v>891201.92768578744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889507.54347491462</v>
          </cell>
          <cell r="G11">
            <v>889507.54347491462</v>
          </cell>
          <cell r="H11">
            <v>786.86466721428087</v>
          </cell>
          <cell r="I11">
            <v>890294.40814212896</v>
          </cell>
          <cell r="J11">
            <v>0</v>
          </cell>
          <cell r="K11">
            <v>25375</v>
          </cell>
          <cell r="L11">
            <v>19375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1568131.649907338</v>
          </cell>
          <cell r="G12">
            <v>1568131.649907338</v>
          </cell>
          <cell r="H12">
            <v>1387.1803537856301</v>
          </cell>
          <cell r="I12">
            <v>1569518.8302611236</v>
          </cell>
          <cell r="J12">
            <v>0</v>
          </cell>
          <cell r="K12">
            <v>685000</v>
          </cell>
          <cell r="L12">
            <v>679000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889484.11836166016</v>
          </cell>
          <cell r="G13">
            <v>889484.11836166016</v>
          </cell>
          <cell r="H13">
            <v>786.84394519333728</v>
          </cell>
          <cell r="I13">
            <v>890270.9623068535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1624334.755364279</v>
          </cell>
          <cell r="G14">
            <v>1624334.755364279</v>
          </cell>
          <cell r="H14">
            <v>1436.8980185723956</v>
          </cell>
          <cell r="I14">
            <v>1625771.6533828515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50000</v>
          </cell>
          <cell r="M15">
            <v>2000</v>
          </cell>
          <cell r="N15">
            <v>2000</v>
          </cell>
          <cell r="O15">
            <v>8000</v>
          </cell>
          <cell r="P15">
            <v>0</v>
          </cell>
          <cell r="Q15">
            <v>25000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890305.51554450684</v>
          </cell>
          <cell r="G16">
            <v>890305.51554450684</v>
          </cell>
          <cell r="H16">
            <v>787.57055895358315</v>
          </cell>
          <cell r="I16">
            <v>891093.0861034604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974784.24134815857</v>
          </cell>
          <cell r="G17">
            <v>974784.24134815857</v>
          </cell>
          <cell r="H17">
            <v>862.30103758054884</v>
          </cell>
          <cell r="I17">
            <v>975646.54238573916</v>
          </cell>
          <cell r="J17">
            <v>0</v>
          </cell>
          <cell r="K17">
            <v>60000</v>
          </cell>
          <cell r="L17">
            <v>54000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889471.44899637206</v>
          </cell>
          <cell r="G18">
            <v>889471.44899637206</v>
          </cell>
          <cell r="H18">
            <v>786.83273778315356</v>
          </cell>
          <cell r="I18">
            <v>890258.28173415526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500000</v>
          </cell>
          <cell r="T18">
            <v>30000</v>
          </cell>
          <cell r="U18">
            <v>0</v>
          </cell>
          <cell r="V18">
            <v>0</v>
          </cell>
          <cell r="W18">
            <v>0</v>
          </cell>
          <cell r="X18" t="str">
            <v>BANQUE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913336.29514578334</v>
          </cell>
          <cell r="G19">
            <v>913336.29514578334</v>
          </cell>
          <cell r="H19">
            <v>807.9437495572837</v>
          </cell>
          <cell r="I19">
            <v>914144.23889534059</v>
          </cell>
          <cell r="J19">
            <v>0</v>
          </cell>
          <cell r="K19">
            <v>35000</v>
          </cell>
          <cell r="L19">
            <v>29000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F20">
            <v>0</v>
          </cell>
          <cell r="G20">
            <v>0</v>
          </cell>
          <cell r="H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1042723.358897813</v>
          </cell>
          <cell r="G21">
            <v>1042723.358897813</v>
          </cell>
          <cell r="H21">
            <v>922.40046170988273</v>
          </cell>
          <cell r="I21">
            <v>1043645.7593595228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891739.26538294612</v>
          </cell>
          <cell r="G22">
            <v>891739.26538294612</v>
          </cell>
          <cell r="H22">
            <v>788.83886420604313</v>
          </cell>
          <cell r="I22">
            <v>892528.10424715211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891019.22312240442</v>
          </cell>
          <cell r="G23">
            <v>891019.22312240442</v>
          </cell>
          <cell r="H23">
            <v>788.20190972726721</v>
          </cell>
          <cell r="I23">
            <v>891807.42503213172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600000</v>
          </cell>
          <cell r="F24">
            <v>1438425.7969390079</v>
          </cell>
          <cell r="G24">
            <v>1438425.7969390079</v>
          </cell>
          <cell r="H24">
            <v>1272.4416384365029</v>
          </cell>
          <cell r="I24">
            <v>1439698.2385774443</v>
          </cell>
          <cell r="J24">
            <v>0</v>
          </cell>
          <cell r="K24">
            <v>917500</v>
          </cell>
          <cell r="L24">
            <v>911500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1173284.2205666194</v>
          </cell>
          <cell r="G25">
            <v>1173284.2205666194</v>
          </cell>
          <cell r="H25">
            <v>1037.8955238055898</v>
          </cell>
          <cell r="I25">
            <v>1174322.1160904251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1285940.7371330084</v>
          </cell>
          <cell r="G26">
            <v>1285940.7371330084</v>
          </cell>
          <cell r="H26">
            <v>1137.5522755305196</v>
          </cell>
          <cell r="I26">
            <v>1287078.289408539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892450.86139996233</v>
          </cell>
          <cell r="G27">
            <v>892450.86139996233</v>
          </cell>
          <cell r="H27">
            <v>789.46834707802998</v>
          </cell>
          <cell r="I27">
            <v>893240.32974704041</v>
          </cell>
          <cell r="J27">
            <v>0</v>
          </cell>
          <cell r="K27">
            <v>25000</v>
          </cell>
          <cell r="L27">
            <v>19000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901882.49967752036</v>
          </cell>
          <cell r="G28">
            <v>901882.49967752036</v>
          </cell>
          <cell r="H28">
            <v>797.81164103770107</v>
          </cell>
          <cell r="I28">
            <v>902680.31131855806</v>
          </cell>
          <cell r="J28">
            <v>0</v>
          </cell>
          <cell r="K28">
            <v>33000</v>
          </cell>
          <cell r="L28">
            <v>27000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864647.93927517545</v>
          </cell>
          <cell r="G29">
            <v>864647.93927517545</v>
          </cell>
          <cell r="H29">
            <v>764.87368542980983</v>
          </cell>
          <cell r="I29">
            <v>865412.81296060525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1023543.951377498</v>
          </cell>
          <cell r="G30">
            <v>1023543.951377498</v>
          </cell>
          <cell r="H30">
            <v>905.43422210174685</v>
          </cell>
          <cell r="I30">
            <v>1024449.3855995997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872230.55440011725</v>
          </cell>
          <cell r="G31">
            <v>872230.55440011725</v>
          </cell>
          <cell r="H31">
            <v>771.58132042477882</v>
          </cell>
          <cell r="I31">
            <v>873002.13572054205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966282.64339694264</v>
          </cell>
          <cell r="G32">
            <v>966282.64339694264</v>
          </cell>
          <cell r="H32">
            <v>854.78046387463087</v>
          </cell>
          <cell r="I32">
            <v>967137.42386081722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932059.52041239908</v>
          </cell>
          <cell r="G34">
            <v>932059.52041239908</v>
          </cell>
          <cell r="H34">
            <v>824.5064471157998</v>
          </cell>
          <cell r="I34">
            <v>932884.02685951488</v>
          </cell>
          <cell r="J34">
            <v>0</v>
          </cell>
          <cell r="K34">
            <v>25000</v>
          </cell>
          <cell r="L34">
            <v>19000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889151.54752284684</v>
          </cell>
          <cell r="G35">
            <v>889151.54752284684</v>
          </cell>
          <cell r="H35">
            <v>786.54975067601401</v>
          </cell>
          <cell r="I35">
            <v>889938.09727352287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879182.86860197503</v>
          </cell>
          <cell r="G36">
            <v>879182.86860197503</v>
          </cell>
          <cell r="H36">
            <v>777.73138676310691</v>
          </cell>
          <cell r="I36">
            <v>879960.59998873819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848454.37887607235</v>
          </cell>
          <cell r="G39">
            <v>848454.37887607235</v>
          </cell>
          <cell r="H39">
            <v>750.54874731329119</v>
          </cell>
          <cell r="I39">
            <v>849204.92762338568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1660664.6883403771</v>
          </cell>
          <cell r="G40">
            <v>1660664.6883403771</v>
          </cell>
          <cell r="H40">
            <v>1469.0357343577825</v>
          </cell>
          <cell r="I40">
            <v>1662133.7240747348</v>
          </cell>
          <cell r="J40">
            <v>0</v>
          </cell>
          <cell r="K40">
            <v>22000</v>
          </cell>
          <cell r="L40">
            <v>16000</v>
          </cell>
          <cell r="M40">
            <v>1000</v>
          </cell>
          <cell r="N40">
            <v>1000</v>
          </cell>
          <cell r="O40">
            <v>4000</v>
          </cell>
          <cell r="P40">
            <v>3000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883018.51894295448</v>
          </cell>
          <cell r="G41">
            <v>883018.51894295448</v>
          </cell>
          <cell r="H41">
            <v>781.12443019623458</v>
          </cell>
          <cell r="I41">
            <v>883799.64337315073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100000</v>
          </cell>
          <cell r="F42">
            <v>2151674.2143123224</v>
          </cell>
          <cell r="G42">
            <v>2151674.2143123224</v>
          </cell>
          <cell r="H42">
            <v>1903.3862354717198</v>
          </cell>
          <cell r="I42">
            <v>2153577.6005477943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F6">
            <v>1081160.4222591543</v>
          </cell>
          <cell r="G6">
            <v>1081160.4222591543</v>
          </cell>
          <cell r="H6">
            <v>15846.191263982795</v>
          </cell>
          <cell r="I6">
            <v>1097006.6135231371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52000</v>
          </cell>
          <cell r="AG6">
            <v>0</v>
          </cell>
          <cell r="AH6">
            <v>300000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922197.74945838621</v>
          </cell>
          <cell r="G7">
            <v>922197.74945838621</v>
          </cell>
          <cell r="H7">
            <v>13516.330805558529</v>
          </cell>
          <cell r="I7">
            <v>935714.08026394469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1042738.216814103</v>
          </cell>
          <cell r="G8">
            <v>1042738.216814103</v>
          </cell>
          <cell r="H8">
            <v>15283.050398176681</v>
          </cell>
          <cell r="I8">
            <v>1058021.2672122796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15000</v>
          </cell>
          <cell r="U8">
            <v>0</v>
          </cell>
          <cell r="V8">
            <v>500000</v>
          </cell>
          <cell r="W8" t="str">
            <v>AUTRES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909564.7289076976</v>
          </cell>
          <cell r="G9">
            <v>909564.7289076976</v>
          </cell>
          <cell r="H9">
            <v>13331.173029000507</v>
          </cell>
          <cell r="I9">
            <v>922895.90193669812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919701.92768578744</v>
          </cell>
          <cell r="G10">
            <v>919701.92768578744</v>
          </cell>
          <cell r="H10">
            <v>13479.750416233166</v>
          </cell>
          <cell r="I10">
            <v>933181.67810202064</v>
          </cell>
          <cell r="J10">
            <v>0</v>
          </cell>
          <cell r="K10">
            <v>34500</v>
          </cell>
          <cell r="L10">
            <v>28500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909294.40814212896</v>
          </cell>
          <cell r="G11">
            <v>909294.40814212896</v>
          </cell>
          <cell r="H11">
            <v>13327.211031811526</v>
          </cell>
          <cell r="I11">
            <v>922621.6191739405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1000000</v>
          </cell>
          <cell r="T11">
            <v>225000</v>
          </cell>
          <cell r="U11">
            <v>0</v>
          </cell>
          <cell r="V11">
            <v>1135000</v>
          </cell>
          <cell r="W11" t="str">
            <v>EN COMPTE</v>
          </cell>
          <cell r="X11" t="str">
            <v>BANQUE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1598518.8302611236</v>
          </cell>
          <cell r="G12">
            <v>1598518.8302611236</v>
          </cell>
          <cell r="H12">
            <v>23428.933025929899</v>
          </cell>
          <cell r="I12">
            <v>1621947.7632870534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909270.9623068535</v>
          </cell>
          <cell r="G13">
            <v>909270.9623068535</v>
          </cell>
          <cell r="H13">
            <v>13326.867394380421</v>
          </cell>
          <cell r="I13">
            <v>922597.82970123389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1644771.6533828515</v>
          </cell>
          <cell r="G14">
            <v>1644771.6533828515</v>
          </cell>
          <cell r="H14">
            <v>24106.844524164877</v>
          </cell>
          <cell r="I14">
            <v>1668878.4979070164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25000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910093.0861034604</v>
          </cell>
          <cell r="G16">
            <v>910093.0861034604</v>
          </cell>
          <cell r="H16">
            <v>13338.916976158935</v>
          </cell>
          <cell r="I16">
            <v>923432.00307961938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155000</v>
          </cell>
          <cell r="U16">
            <v>0</v>
          </cell>
          <cell r="V16">
            <v>1050000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100000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1019646.5423857392</v>
          </cell>
          <cell r="G17">
            <v>1019646.5423857392</v>
          </cell>
          <cell r="H17">
            <v>14944.60377909598</v>
          </cell>
          <cell r="I17">
            <v>1034591.1461648351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909258.28173415526</v>
          </cell>
          <cell r="G18">
            <v>909258.28173415526</v>
          </cell>
          <cell r="H18">
            <v>13326.68153964862</v>
          </cell>
          <cell r="I18">
            <v>922584.96327380394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944644.23889534059</v>
          </cell>
          <cell r="G19">
            <v>944644.23889534059</v>
          </cell>
          <cell r="H19">
            <v>13845.321173222663</v>
          </cell>
          <cell r="I19">
            <v>958489.56006856321</v>
          </cell>
          <cell r="J19">
            <v>0</v>
          </cell>
          <cell r="K19">
            <v>36500</v>
          </cell>
          <cell r="L19">
            <v>30500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E20">
            <v>0</v>
          </cell>
          <cell r="F20">
            <v>0</v>
          </cell>
          <cell r="G20">
            <v>0</v>
          </cell>
          <cell r="S20">
            <v>0</v>
          </cell>
          <cell r="T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1062645.7593595227</v>
          </cell>
          <cell r="G21">
            <v>1062645.7593595227</v>
          </cell>
          <cell r="H21">
            <v>15574.82830668671</v>
          </cell>
          <cell r="I21">
            <v>1078220.5876662093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911528.10424715211</v>
          </cell>
          <cell r="G22">
            <v>911528.10424715211</v>
          </cell>
          <cell r="H22">
            <v>13359.949536641227</v>
          </cell>
          <cell r="I22">
            <v>924888.05378379335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>
            <v>30000</v>
          </cell>
          <cell r="U22">
            <v>0</v>
          </cell>
          <cell r="V22">
            <v>1000000</v>
          </cell>
          <cell r="W22" t="str">
            <v>AUTRES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910807.42503213172</v>
          </cell>
          <cell r="G23">
            <v>910807.42503213172</v>
          </cell>
          <cell r="H23">
            <v>13349.38679271713</v>
          </cell>
          <cell r="I23">
            <v>924156.81182484888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600000</v>
          </cell>
          <cell r="F24">
            <v>858698.23857744434</v>
          </cell>
          <cell r="G24">
            <v>858698.23857744434</v>
          </cell>
          <cell r="H24">
            <v>12585.640619465526</v>
          </cell>
          <cell r="I24">
            <v>871283.87919690984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1203322.1160904251</v>
          </cell>
          <cell r="G25">
            <v>1203322.1160904251</v>
          </cell>
          <cell r="H25">
            <v>17636.672607664845</v>
          </cell>
          <cell r="I25">
            <v>1220958.78869809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1321078.289408539</v>
          </cell>
          <cell r="G26">
            <v>1321078.289408539</v>
          </cell>
          <cell r="H26">
            <v>19362.583773571605</v>
          </cell>
          <cell r="I26">
            <v>1340440.8731821105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905740.32974704041</v>
          </cell>
          <cell r="G27">
            <v>905740.32974704041</v>
          </cell>
          <cell r="H27">
            <v>13275.120144227905</v>
          </cell>
          <cell r="I27">
            <v>919015.44989126828</v>
          </cell>
          <cell r="J27">
            <v>0</v>
          </cell>
          <cell r="K27">
            <v>18500</v>
          </cell>
          <cell r="L27">
            <v>12500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921680.31131855806</v>
          </cell>
          <cell r="G28">
            <v>921680.31131855806</v>
          </cell>
          <cell r="H28">
            <v>13508.74689519501</v>
          </cell>
          <cell r="I28">
            <v>935189.05821375304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>
            <v>0</v>
          </cell>
          <cell r="X28" t="str">
            <v>AUTRES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884412.81296060525</v>
          </cell>
          <cell r="G29">
            <v>884412.81296060525</v>
          </cell>
          <cell r="H29">
            <v>12962.530168470686</v>
          </cell>
          <cell r="I29">
            <v>897375.34312907595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150000</v>
          </cell>
          <cell r="T29">
            <v>13500</v>
          </cell>
          <cell r="U29">
            <v>0</v>
          </cell>
          <cell r="V29">
            <v>0</v>
          </cell>
          <cell r="W29">
            <v>0</v>
          </cell>
          <cell r="X29" t="str">
            <v>BANQUE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1043449.3855995997</v>
          </cell>
          <cell r="G30">
            <v>1043449.3855995997</v>
          </cell>
          <cell r="H30">
            <v>15293.473751051924</v>
          </cell>
          <cell r="I30">
            <v>1058742.8593506515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892002.13572054205</v>
          </cell>
          <cell r="G31">
            <v>892002.13572054205</v>
          </cell>
          <cell r="H31">
            <v>13073.76422545435</v>
          </cell>
          <cell r="I31">
            <v>905075.89994599635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986137.42386081722</v>
          </cell>
          <cell r="G32">
            <v>986137.42386081722</v>
          </cell>
          <cell r="H32">
            <v>14453.472314882889</v>
          </cell>
          <cell r="I32">
            <v>1000590.8961757001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3000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  <cell r="W32" t="str">
            <v>AUTRES</v>
          </cell>
          <cell r="X32" t="str">
            <v>AUTRES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25000</v>
          </cell>
          <cell r="M33">
            <v>1000</v>
          </cell>
          <cell r="N33">
            <v>1000</v>
          </cell>
          <cell r="O33">
            <v>4000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951884.02685951488</v>
          </cell>
          <cell r="G34">
            <v>951884.02685951488</v>
          </cell>
          <cell r="H34">
            <v>13951.432220601982</v>
          </cell>
          <cell r="I34">
            <v>965835.45908011682</v>
          </cell>
          <cell r="J34">
            <v>0</v>
          </cell>
          <cell r="K34">
            <v>25000</v>
          </cell>
          <cell r="L34">
            <v>19000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908938.09727352287</v>
          </cell>
          <cell r="G35">
            <v>908938.09727352287</v>
          </cell>
          <cell r="H35">
            <v>13321.988707670611</v>
          </cell>
          <cell r="I35">
            <v>922260.08598119346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898960.59998873819</v>
          </cell>
          <cell r="G36">
            <v>898960.59998873819</v>
          </cell>
          <cell r="H36">
            <v>13175.75200953085</v>
          </cell>
          <cell r="I36">
            <v>912136.35199826909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22000</v>
          </cell>
          <cell r="M38">
            <v>1000</v>
          </cell>
          <cell r="N38">
            <v>1000</v>
          </cell>
          <cell r="O38">
            <v>4000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873204.92762338568</v>
          </cell>
          <cell r="G39">
            <v>873204.92762338568</v>
          </cell>
          <cell r="H39">
            <v>12798.260101733264</v>
          </cell>
          <cell r="I39">
            <v>886003.18772511894</v>
          </cell>
          <cell r="J39">
            <v>0</v>
          </cell>
          <cell r="K39">
            <v>30000</v>
          </cell>
          <cell r="L39">
            <v>24000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1681133.7240747348</v>
          </cell>
          <cell r="G40">
            <v>1681133.7240747348</v>
          </cell>
          <cell r="H40">
            <v>24639.790713347458</v>
          </cell>
          <cell r="I40">
            <v>1705773.5147880823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902799.64337315073</v>
          </cell>
          <cell r="G41">
            <v>902799.64337315073</v>
          </cell>
          <cell r="H41">
            <v>13232.019529583991</v>
          </cell>
          <cell r="I41">
            <v>916031.66290273471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3000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2172577.6005477943</v>
          </cell>
          <cell r="G42">
            <v>2172577.6005477943</v>
          </cell>
          <cell r="H42">
            <v>31842.712224137431</v>
          </cell>
          <cell r="I42">
            <v>2204420.3127719318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500000</v>
          </cell>
          <cell r="W42" t="str">
            <v>BANQUE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F6">
            <v>1097006.6135231371</v>
          </cell>
          <cell r="G6">
            <v>1097006.6135231371</v>
          </cell>
          <cell r="H6">
            <v>281.17270386573352</v>
          </cell>
          <cell r="I6">
            <v>1097287.7862270027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400000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935714.08026394469</v>
          </cell>
          <cell r="G7">
            <v>935714.08026394469</v>
          </cell>
          <cell r="H7">
            <v>239.83197070078768</v>
          </cell>
          <cell r="I7">
            <v>935953.91223464545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1077021.2672122796</v>
          </cell>
          <cell r="G8">
            <v>1077021.2672122796</v>
          </cell>
          <cell r="H8">
            <v>276.05027908666142</v>
          </cell>
          <cell r="I8">
            <v>1077297.3174913663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941895.90193669812</v>
          </cell>
          <cell r="G9">
            <v>941895.90193669812</v>
          </cell>
          <cell r="H9">
            <v>241.4164274334245</v>
          </cell>
          <cell r="I9">
            <v>942137.3183641315</v>
          </cell>
          <cell r="J9">
            <v>5000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952181.67810202064</v>
          </cell>
          <cell r="G10">
            <v>952181.67810202064</v>
          </cell>
          <cell r="H10">
            <v>244.052764771878</v>
          </cell>
          <cell r="I10">
            <v>952425.7308667925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941621.6191739405</v>
          </cell>
          <cell r="G11">
            <v>941621.6191739405</v>
          </cell>
          <cell r="H11">
            <v>241.3461262838438</v>
          </cell>
          <cell r="I11">
            <v>941862.96530022437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1650947.7632870534</v>
          </cell>
          <cell r="G12">
            <v>1650947.7632870534</v>
          </cell>
          <cell r="H12">
            <v>423.15282407795189</v>
          </cell>
          <cell r="I12">
            <v>1651370.9161111314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941597.82970123389</v>
          </cell>
          <cell r="G13">
            <v>941597.82970123389</v>
          </cell>
          <cell r="H13">
            <v>241.34002882710834</v>
          </cell>
          <cell r="I13">
            <v>941839.16973006097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1687878.4979070164</v>
          </cell>
          <cell r="G14">
            <v>1687878.4979070164</v>
          </cell>
          <cell r="H14">
            <v>432.61850494152844</v>
          </cell>
          <cell r="I14">
            <v>1688311.1164119579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25000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937432.00307961938</v>
          </cell>
          <cell r="G16">
            <v>937432.00307961938</v>
          </cell>
          <cell r="H16">
            <v>240.27228983575131</v>
          </cell>
          <cell r="I16">
            <v>937672.27536945511</v>
          </cell>
          <cell r="J16">
            <v>0</v>
          </cell>
          <cell r="K16">
            <v>20000</v>
          </cell>
          <cell r="L16">
            <v>14000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150000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150000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1048591.146164835</v>
          </cell>
          <cell r="G17">
            <v>1048591.146164835</v>
          </cell>
          <cell r="H17">
            <v>268.7633822643466</v>
          </cell>
          <cell r="I17">
            <v>1048859.9095470994</v>
          </cell>
          <cell r="J17">
            <v>0</v>
          </cell>
          <cell r="K17">
            <v>20000</v>
          </cell>
          <cell r="L17">
            <v>14000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941584.96327380394</v>
          </cell>
          <cell r="G18">
            <v>941584.96327380394</v>
          </cell>
          <cell r="H18">
            <v>241.33673104554077</v>
          </cell>
          <cell r="I18">
            <v>941826.30000484944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985489.56006856321</v>
          </cell>
          <cell r="G19">
            <v>985489.56006856321</v>
          </cell>
          <cell r="H19">
            <v>252.58987577661119</v>
          </cell>
          <cell r="I19">
            <v>985742.14994433976</v>
          </cell>
          <cell r="J19">
            <v>0</v>
          </cell>
          <cell r="K19">
            <v>33000</v>
          </cell>
          <cell r="L19">
            <v>27000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  <cell r="S20">
            <v>0</v>
          </cell>
          <cell r="T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1097220.5876662093</v>
          </cell>
          <cell r="G21">
            <v>1097220.5876662093</v>
          </cell>
          <cell r="H21">
            <v>281.22754737134534</v>
          </cell>
          <cell r="I21">
            <v>1097501.8152135806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>
            <v>9000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943888.05378379335</v>
          </cell>
          <cell r="G22">
            <v>943888.05378379335</v>
          </cell>
          <cell r="H22">
            <v>241.92703394614182</v>
          </cell>
          <cell r="I22">
            <v>944129.9808177395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943156.81182484888</v>
          </cell>
          <cell r="G23">
            <v>943156.81182484888</v>
          </cell>
          <cell r="H23">
            <v>241.73961002704971</v>
          </cell>
          <cell r="I23">
            <v>943398.55143487593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890283.87919690984</v>
          </cell>
          <cell r="G24">
            <v>890283.87919690984</v>
          </cell>
          <cell r="H24">
            <v>228.18779981456291</v>
          </cell>
          <cell r="I24">
            <v>890512.06699672434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1249958.78869809</v>
          </cell>
          <cell r="G25">
            <v>1249958.78869809</v>
          </cell>
          <cell r="H25">
            <v>320.37572791858696</v>
          </cell>
          <cell r="I25">
            <v>1250279.1644260087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1374440.8731821105</v>
          </cell>
          <cell r="G26">
            <v>1374440.8731821105</v>
          </cell>
          <cell r="H26">
            <v>352.28161056846989</v>
          </cell>
          <cell r="I26">
            <v>1374793.154792679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938515.44989126828</v>
          </cell>
          <cell r="G27">
            <v>938515.44989126828</v>
          </cell>
          <cell r="H27">
            <v>240.54998703991643</v>
          </cell>
          <cell r="I27">
            <v>938755.99987830815</v>
          </cell>
          <cell r="J27">
            <v>0</v>
          </cell>
          <cell r="K27">
            <v>25500</v>
          </cell>
          <cell r="L27">
            <v>19500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954189.05821375304</v>
          </cell>
          <cell r="G28">
            <v>954189.05821375304</v>
          </cell>
          <cell r="H28">
            <v>244.56727442637259</v>
          </cell>
          <cell r="I28">
            <v>954433.62548817939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916375.34312907595</v>
          </cell>
          <cell r="G29">
            <v>916375.34312907595</v>
          </cell>
          <cell r="H29">
            <v>234.87527769408226</v>
          </cell>
          <cell r="I29">
            <v>916610.21840677003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1077742.8593506515</v>
          </cell>
          <cell r="G30">
            <v>1077742.8593506515</v>
          </cell>
          <cell r="H30">
            <v>276.23522966957785</v>
          </cell>
          <cell r="I30">
            <v>1078019.0945803211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924075.89994599635</v>
          </cell>
          <cell r="G31">
            <v>924075.89994599635</v>
          </cell>
          <cell r="H31">
            <v>236.84899996229314</v>
          </cell>
          <cell r="I31">
            <v>924312.74894595868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1019590.8961757001</v>
          </cell>
          <cell r="G32">
            <v>1019590.8961757001</v>
          </cell>
          <cell r="H32">
            <v>261.330356244531</v>
          </cell>
          <cell r="I32">
            <v>1019852.2265319447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100000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22000</v>
          </cell>
          <cell r="M33">
            <v>1000</v>
          </cell>
          <cell r="N33">
            <v>1000</v>
          </cell>
          <cell r="O33">
            <v>4000</v>
          </cell>
          <cell r="P33">
            <v>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984835.45908011682</v>
          </cell>
          <cell r="G34">
            <v>984835.45908011682</v>
          </cell>
          <cell r="H34">
            <v>252.4222237850411</v>
          </cell>
          <cell r="I34">
            <v>985087.8813039019</v>
          </cell>
          <cell r="J34">
            <v>0</v>
          </cell>
          <cell r="K34">
            <v>25000</v>
          </cell>
          <cell r="L34">
            <v>19000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941260.08598119346</v>
          </cell>
          <cell r="G35">
            <v>941260.08598119346</v>
          </cell>
          <cell r="H35">
            <v>241.25346206095873</v>
          </cell>
          <cell r="I35">
            <v>941501.3394432544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931136.35199826909</v>
          </cell>
          <cell r="G36">
            <v>931136.35199826909</v>
          </cell>
          <cell r="H36">
            <v>238.6586575975158</v>
          </cell>
          <cell r="I36">
            <v>931375.01065586659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22000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22000</v>
          </cell>
          <cell r="M38">
            <v>1000</v>
          </cell>
          <cell r="N38">
            <v>1000</v>
          </cell>
          <cell r="O38">
            <v>4000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905003.18772511894</v>
          </cell>
          <cell r="G39">
            <v>905003.18772511894</v>
          </cell>
          <cell r="H39">
            <v>231.96049154393984</v>
          </cell>
          <cell r="I39">
            <v>905235.14821666293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1724773.5147880823</v>
          </cell>
          <cell r="G40">
            <v>1724773.5147880823</v>
          </cell>
          <cell r="H40">
            <v>442.07503102600162</v>
          </cell>
          <cell r="I40">
            <v>1725215.5898191084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3000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935031.66290273471</v>
          </cell>
          <cell r="G41">
            <v>935031.66290273471</v>
          </cell>
          <cell r="H41">
            <v>239.65706096710787</v>
          </cell>
          <cell r="I41">
            <v>935271.31996370177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3000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2223420.3127719318</v>
          </cell>
          <cell r="G42">
            <v>2223420.3127719318</v>
          </cell>
          <cell r="H42">
            <v>569.882709425337</v>
          </cell>
          <cell r="I42">
            <v>2223990.1954813572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F6">
            <v>1097287.7862270027</v>
          </cell>
          <cell r="G6">
            <v>1097287.7862270027</v>
          </cell>
          <cell r="H6">
            <v>0</v>
          </cell>
          <cell r="I6">
            <v>1097287.7862270027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968953.91223464545</v>
          </cell>
          <cell r="G7">
            <v>968953.91223464545</v>
          </cell>
          <cell r="H7">
            <v>0</v>
          </cell>
          <cell r="I7">
            <v>968953.91223464545</v>
          </cell>
          <cell r="J7">
            <v>0</v>
          </cell>
          <cell r="K7">
            <v>45000</v>
          </cell>
          <cell r="L7">
            <v>33000</v>
          </cell>
          <cell r="M7">
            <v>2000</v>
          </cell>
          <cell r="N7">
            <v>2000</v>
          </cell>
          <cell r="O7">
            <v>8000</v>
          </cell>
          <cell r="P7">
            <v>5000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1096297.3174913663</v>
          </cell>
          <cell r="G8">
            <v>1096297.3174913663</v>
          </cell>
          <cell r="H8">
            <v>0</v>
          </cell>
          <cell r="I8">
            <v>1096297.3174913663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961137.3183641315</v>
          </cell>
          <cell r="G9">
            <v>961137.3183641315</v>
          </cell>
          <cell r="H9">
            <v>0</v>
          </cell>
          <cell r="I9">
            <v>961137.3183641315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971425.7308667925</v>
          </cell>
          <cell r="G10">
            <v>971425.7308667925</v>
          </cell>
          <cell r="H10">
            <v>0</v>
          </cell>
          <cell r="I10">
            <v>971425.7308667925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960862.96530022437</v>
          </cell>
          <cell r="G11">
            <v>960862.96530022437</v>
          </cell>
          <cell r="H11">
            <v>0</v>
          </cell>
          <cell r="I11">
            <v>960862.96530022437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1680370.9161111314</v>
          </cell>
          <cell r="G12">
            <v>1680370.9161111314</v>
          </cell>
          <cell r="H12">
            <v>0</v>
          </cell>
          <cell r="I12">
            <v>1680370.9161111314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960839.16973006097</v>
          </cell>
          <cell r="G13">
            <v>960839.16973006097</v>
          </cell>
          <cell r="H13">
            <v>0</v>
          </cell>
          <cell r="I13">
            <v>960839.16973006097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1707311.1164119579</v>
          </cell>
          <cell r="G14">
            <v>1707311.1164119579</v>
          </cell>
          <cell r="H14">
            <v>0</v>
          </cell>
          <cell r="I14">
            <v>1707311.1164119579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25000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956672.27536945511</v>
          </cell>
          <cell r="G16">
            <v>956672.27536945511</v>
          </cell>
          <cell r="H16">
            <v>0</v>
          </cell>
          <cell r="I16">
            <v>956672.27536945511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1092859.9095470994</v>
          </cell>
          <cell r="G17">
            <v>1092859.9095470994</v>
          </cell>
          <cell r="H17">
            <v>0</v>
          </cell>
          <cell r="I17">
            <v>1092859.9095470994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960826.30000484944</v>
          </cell>
          <cell r="G18">
            <v>960826.30000484944</v>
          </cell>
          <cell r="H18">
            <v>0</v>
          </cell>
          <cell r="I18">
            <v>960826.30000484944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1004742.1499443398</v>
          </cell>
          <cell r="G19">
            <v>1004742.1499443398</v>
          </cell>
          <cell r="H19">
            <v>0</v>
          </cell>
          <cell r="I19">
            <v>1004742.1499443398</v>
          </cell>
          <cell r="J19">
            <v>0</v>
          </cell>
          <cell r="K19">
            <v>25000</v>
          </cell>
          <cell r="L19">
            <v>19000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1116501.8152135806</v>
          </cell>
          <cell r="G21">
            <v>1116501.8152135806</v>
          </cell>
          <cell r="H21">
            <v>0</v>
          </cell>
          <cell r="I21">
            <v>1116501.8152135806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963129.9808177395</v>
          </cell>
          <cell r="G22">
            <v>963129.9808177395</v>
          </cell>
          <cell r="H22">
            <v>0</v>
          </cell>
          <cell r="I22">
            <v>963129.9808177395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962398.55143487593</v>
          </cell>
          <cell r="G23">
            <v>962398.55143487593</v>
          </cell>
          <cell r="H23">
            <v>0</v>
          </cell>
          <cell r="I23">
            <v>962398.55143487593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3000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909512.06699672434</v>
          </cell>
          <cell r="G24">
            <v>909512.06699672434</v>
          </cell>
          <cell r="H24">
            <v>0</v>
          </cell>
          <cell r="I24">
            <v>909512.06699672434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1279279.1644260087</v>
          </cell>
          <cell r="G25">
            <v>1279279.1644260087</v>
          </cell>
          <cell r="H25">
            <v>0</v>
          </cell>
          <cell r="I25">
            <v>1279279.1644260087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1408793.154792679</v>
          </cell>
          <cell r="G26">
            <v>1408793.154792679</v>
          </cell>
          <cell r="H26">
            <v>0</v>
          </cell>
          <cell r="I26">
            <v>1408793.154792679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957755.99987830815</v>
          </cell>
          <cell r="G27">
            <v>957755.99987830815</v>
          </cell>
          <cell r="H27">
            <v>0</v>
          </cell>
          <cell r="I27">
            <v>957755.99987830815</v>
          </cell>
          <cell r="J27">
            <v>0</v>
          </cell>
          <cell r="K27">
            <v>25000</v>
          </cell>
          <cell r="L27">
            <v>19000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100000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973433.62548817939</v>
          </cell>
          <cell r="G28">
            <v>973433.62548817939</v>
          </cell>
          <cell r="H28">
            <v>0</v>
          </cell>
          <cell r="I28">
            <v>973433.62548817939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935610.21840677003</v>
          </cell>
          <cell r="G29">
            <v>935610.21840677003</v>
          </cell>
          <cell r="H29">
            <v>0</v>
          </cell>
          <cell r="I29">
            <v>935610.21840677003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1097019.0945803211</v>
          </cell>
          <cell r="G30">
            <v>1097019.0945803211</v>
          </cell>
          <cell r="H30">
            <v>0</v>
          </cell>
          <cell r="I30">
            <v>1097019.0945803211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943312.74894595868</v>
          </cell>
          <cell r="G31">
            <v>943312.74894595868</v>
          </cell>
          <cell r="H31">
            <v>0</v>
          </cell>
          <cell r="I31">
            <v>943312.74894595868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1038852.2265319447</v>
          </cell>
          <cell r="G32">
            <v>1038852.2265319447</v>
          </cell>
          <cell r="H32">
            <v>0</v>
          </cell>
          <cell r="I32">
            <v>1038852.2265319447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25000</v>
          </cell>
          <cell r="M33">
            <v>1000</v>
          </cell>
          <cell r="N33">
            <v>1000</v>
          </cell>
          <cell r="O33">
            <v>4000</v>
          </cell>
          <cell r="P33">
            <v>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1004087.8813039019</v>
          </cell>
          <cell r="G34">
            <v>1004087.8813039019</v>
          </cell>
          <cell r="H34">
            <v>0</v>
          </cell>
          <cell r="I34">
            <v>1004087.8813039019</v>
          </cell>
          <cell r="J34">
            <v>0</v>
          </cell>
          <cell r="K34">
            <v>25000</v>
          </cell>
          <cell r="L34">
            <v>19000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960501.3394432544</v>
          </cell>
          <cell r="G35">
            <v>960501.3394432544</v>
          </cell>
          <cell r="H35">
            <v>0</v>
          </cell>
          <cell r="I35">
            <v>960501.3394432544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950375.01065586659</v>
          </cell>
          <cell r="G36">
            <v>950375.01065586659</v>
          </cell>
          <cell r="H36">
            <v>0</v>
          </cell>
          <cell r="I36">
            <v>950375.01065586659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22000</v>
          </cell>
          <cell r="M38">
            <v>1000</v>
          </cell>
          <cell r="N38">
            <v>1000</v>
          </cell>
          <cell r="O38">
            <v>4000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924235.14821666293</v>
          </cell>
          <cell r="G39">
            <v>924235.14821666293</v>
          </cell>
          <cell r="H39">
            <v>0</v>
          </cell>
          <cell r="I39">
            <v>924235.14821666293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1744215.5898191084</v>
          </cell>
          <cell r="G40">
            <v>1744215.5898191084</v>
          </cell>
          <cell r="H40">
            <v>0</v>
          </cell>
          <cell r="I40">
            <v>1744215.5898191084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954271.31996370177</v>
          </cell>
          <cell r="G41">
            <v>954271.31996370177</v>
          </cell>
          <cell r="H41">
            <v>0</v>
          </cell>
          <cell r="I41">
            <v>954271.31996370177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2242990.1954813572</v>
          </cell>
          <cell r="G42">
            <v>2242990.1954813572</v>
          </cell>
          <cell r="H42">
            <v>0</v>
          </cell>
          <cell r="I42">
            <v>2242990.1954813572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F6">
            <v>1097287.7862270027</v>
          </cell>
          <cell r="G6">
            <v>1097287.7862270027</v>
          </cell>
          <cell r="H6">
            <v>3161.7039562301043</v>
          </cell>
          <cell r="I6">
            <v>1100449.4901832328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987953.91223464545</v>
          </cell>
          <cell r="G7">
            <v>987953.91223464545</v>
          </cell>
          <cell r="H7">
            <v>2846.6714312256872</v>
          </cell>
          <cell r="I7">
            <v>990800.58366587118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1115297.3174913663</v>
          </cell>
          <cell r="G8">
            <v>1115297.3174913663</v>
          </cell>
          <cell r="H8">
            <v>3213.5962737817081</v>
          </cell>
          <cell r="I8">
            <v>1118510.913765148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15000</v>
          </cell>
          <cell r="U8">
            <v>0</v>
          </cell>
          <cell r="V8">
            <v>500000</v>
          </cell>
          <cell r="W8" t="str">
            <v>BANQUE</v>
          </cell>
          <cell r="X8" t="str">
            <v>BANQUE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980137.3183641315</v>
          </cell>
          <cell r="G9">
            <v>980137.3183641315</v>
          </cell>
          <cell r="H9">
            <v>2824.1488477477233</v>
          </cell>
          <cell r="I9">
            <v>982961.46721187921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100000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990925.7308667925</v>
          </cell>
          <cell r="G10">
            <v>990925.7308667925</v>
          </cell>
          <cell r="H10">
            <v>2855.2343723650993</v>
          </cell>
          <cell r="I10">
            <v>993780.96523915755</v>
          </cell>
          <cell r="J10">
            <v>0</v>
          </cell>
          <cell r="K10">
            <v>25500</v>
          </cell>
          <cell r="L10">
            <v>19500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979862.96530022437</v>
          </cell>
          <cell r="G11">
            <v>979862.96530022437</v>
          </cell>
          <cell r="H11">
            <v>2823.3583320977295</v>
          </cell>
          <cell r="I11">
            <v>982686.32363232214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1710370.9161111314</v>
          </cell>
          <cell r="G12">
            <v>1710370.9161111314</v>
          </cell>
          <cell r="H12">
            <v>4928.2299137618857</v>
          </cell>
          <cell r="I12">
            <v>1715299.1460248933</v>
          </cell>
          <cell r="J12">
            <v>0</v>
          </cell>
          <cell r="K12">
            <v>36000</v>
          </cell>
          <cell r="L12">
            <v>30000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979839.16973006097</v>
          </cell>
          <cell r="G13">
            <v>979839.16973006097</v>
          </cell>
          <cell r="H13">
            <v>2823.2897679988027</v>
          </cell>
          <cell r="I13">
            <v>982662.45949805982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1726311.1164119579</v>
          </cell>
          <cell r="G14">
            <v>1726311.1164119579</v>
          </cell>
          <cell r="H14">
            <v>4974.1597008121144</v>
          </cell>
          <cell r="I14">
            <v>1731285.27611277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25000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975672.27536945511</v>
          </cell>
          <cell r="G16">
            <v>975672.27536945511</v>
          </cell>
          <cell r="H16">
            <v>2811.2833586042166</v>
          </cell>
          <cell r="I16">
            <v>978483.55872805929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1136859.9095470994</v>
          </cell>
          <cell r="G17">
            <v>1136859.9095470994</v>
          </cell>
          <cell r="H17">
            <v>3275.726312468827</v>
          </cell>
          <cell r="I17">
            <v>1140135.6358595681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979826.30000484944</v>
          </cell>
          <cell r="G18">
            <v>979826.30000484944</v>
          </cell>
          <cell r="H18">
            <v>2823.2526854197131</v>
          </cell>
          <cell r="I18">
            <v>982649.55269026919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1033742.1499443398</v>
          </cell>
          <cell r="G19">
            <v>1033742.1499443398</v>
          </cell>
          <cell r="H19">
            <v>2978.604780099759</v>
          </cell>
          <cell r="I19">
            <v>1036720.7547244395</v>
          </cell>
          <cell r="J19">
            <v>0</v>
          </cell>
          <cell r="K19">
            <v>35000</v>
          </cell>
          <cell r="L19">
            <v>29000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1135501.8152135806</v>
          </cell>
          <cell r="G21">
            <v>1135501.8152135806</v>
          </cell>
          <cell r="H21">
            <v>3271.8131255354483</v>
          </cell>
          <cell r="I21">
            <v>1138773.628339116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300000</v>
          </cell>
          <cell r="W21" t="str">
            <v>BANQUE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981129.9808177395</v>
          </cell>
          <cell r="G22">
            <v>981129.9808177395</v>
          </cell>
          <cell r="H22">
            <v>2827.0090862796446</v>
          </cell>
          <cell r="I22">
            <v>983956.98990401917</v>
          </cell>
          <cell r="J22">
            <v>0</v>
          </cell>
          <cell r="K22">
            <v>24000</v>
          </cell>
          <cell r="L22">
            <v>18000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>
            <v>30000</v>
          </cell>
          <cell r="U22">
            <v>0</v>
          </cell>
          <cell r="V22">
            <v>1000000</v>
          </cell>
          <cell r="W22" t="str">
            <v>BANQUE</v>
          </cell>
          <cell r="X22" t="str">
            <v>BANQUE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981398.55143487593</v>
          </cell>
          <cell r="G23">
            <v>981398.55143487593</v>
          </cell>
          <cell r="H23">
            <v>2827.7829404985523</v>
          </cell>
          <cell r="I23">
            <v>984226.33437537448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928512.06699672434</v>
          </cell>
          <cell r="G24">
            <v>928512.06699672434</v>
          </cell>
          <cell r="H24">
            <v>2675.396839807358</v>
          </cell>
          <cell r="I24">
            <v>931187.46383653174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1308279.1644260087</v>
          </cell>
          <cell r="G25">
            <v>1308279.1644260087</v>
          </cell>
          <cell r="H25">
            <v>3769.6504617462365</v>
          </cell>
          <cell r="I25">
            <v>1312048.8148877549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1442793.154792679</v>
          </cell>
          <cell r="G26">
            <v>1442793.154792679</v>
          </cell>
          <cell r="H26">
            <v>4157.2364905427121</v>
          </cell>
          <cell r="I26">
            <v>1446950.3912832218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974755.99987830815</v>
          </cell>
          <cell r="G27">
            <v>974755.99987830815</v>
          </cell>
          <cell r="H27">
            <v>2808.6432199990863</v>
          </cell>
          <cell r="I27">
            <v>977564.64309830719</v>
          </cell>
          <cell r="J27">
            <v>0</v>
          </cell>
          <cell r="K27">
            <v>23000</v>
          </cell>
          <cell r="L27">
            <v>17000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992433.62548817939</v>
          </cell>
          <cell r="G28">
            <v>992433.62548817939</v>
          </cell>
          <cell r="H28">
            <v>2859.5791909713557</v>
          </cell>
          <cell r="I28">
            <v>995293.20467915072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3000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 t="str">
            <v>BANQUE</v>
          </cell>
          <cell r="X28" t="str">
            <v>BANQUE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954610.21840677003</v>
          </cell>
          <cell r="G29">
            <v>954610.21840677003</v>
          </cell>
          <cell r="H29">
            <v>2750.5955521225274</v>
          </cell>
          <cell r="I29">
            <v>957360.8139588926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1116019.0945803211</v>
          </cell>
          <cell r="G30">
            <v>1116019.0945803211</v>
          </cell>
          <cell r="H30">
            <v>3215.6759884256771</v>
          </cell>
          <cell r="I30">
            <v>1119234.7705687468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962312.74894595868</v>
          </cell>
          <cell r="G31">
            <v>962312.74894595868</v>
          </cell>
          <cell r="H31">
            <v>2772.7894757079466</v>
          </cell>
          <cell r="I31">
            <v>965085.5384216666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1057852.2265319447</v>
          </cell>
          <cell r="G32">
            <v>1057852.2265319447</v>
          </cell>
          <cell r="H32">
            <v>3048.0750917981627</v>
          </cell>
          <cell r="I32">
            <v>1060900.3016237428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  <cell r="W32" t="str">
            <v>BANQUE</v>
          </cell>
          <cell r="X32" t="str">
            <v>BANQUE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22000</v>
          </cell>
          <cell r="M33">
            <v>1000</v>
          </cell>
          <cell r="N33">
            <v>1000</v>
          </cell>
          <cell r="O33">
            <v>4000</v>
          </cell>
          <cell r="P33">
            <v>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1023587.8813039019</v>
          </cell>
          <cell r="G34">
            <v>1023587.8813039019</v>
          </cell>
          <cell r="H34">
            <v>2949.3464654296508</v>
          </cell>
          <cell r="I34">
            <v>1026537.2277693315</v>
          </cell>
          <cell r="J34">
            <v>0</v>
          </cell>
          <cell r="K34">
            <v>25500</v>
          </cell>
          <cell r="L34">
            <v>19500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979501.3394432544</v>
          </cell>
          <cell r="G35">
            <v>979501.3394432544</v>
          </cell>
          <cell r="H35">
            <v>2822.3163502976877</v>
          </cell>
          <cell r="I35">
            <v>982323.65579355205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969375.01065586659</v>
          </cell>
          <cell r="G36">
            <v>969375.01065586659</v>
          </cell>
          <cell r="H36">
            <v>2793.1385409836348</v>
          </cell>
          <cell r="I36">
            <v>972168.14919685025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22000</v>
          </cell>
          <cell r="M38">
            <v>1000</v>
          </cell>
          <cell r="N38">
            <v>1000</v>
          </cell>
          <cell r="O38">
            <v>4000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943235.14821666293</v>
          </cell>
          <cell r="G39">
            <v>943235.14821666293</v>
          </cell>
          <cell r="H39">
            <v>2717.8196433100179</v>
          </cell>
          <cell r="I39">
            <v>945952.96785997297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1760215.5898191084</v>
          </cell>
          <cell r="G40">
            <v>1760215.5898191084</v>
          </cell>
          <cell r="H40">
            <v>5071.8513994264558</v>
          </cell>
          <cell r="I40">
            <v>1765287.4412185347</v>
          </cell>
          <cell r="J40">
            <v>0</v>
          </cell>
          <cell r="K40">
            <v>22000</v>
          </cell>
          <cell r="L40">
            <v>16000</v>
          </cell>
          <cell r="M40">
            <v>1000</v>
          </cell>
          <cell r="N40">
            <v>1000</v>
          </cell>
          <cell r="O40">
            <v>4000</v>
          </cell>
          <cell r="P40">
            <v>3000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973271.31996370177</v>
          </cell>
          <cell r="G41">
            <v>973271.31996370177</v>
          </cell>
          <cell r="H41">
            <v>2804.3652918031594</v>
          </cell>
          <cell r="I41">
            <v>976075.68525550491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3000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2261990.1954813572</v>
          </cell>
          <cell r="G42">
            <v>2261990.1954813572</v>
          </cell>
          <cell r="H42">
            <v>6517.6551127012981</v>
          </cell>
          <cell r="I42">
            <v>2268507.8505940586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F6">
            <v>1100449.4901832328</v>
          </cell>
          <cell r="G6">
            <v>1100449.4901832328</v>
          </cell>
          <cell r="H6">
            <v>1627.5834718207145</v>
          </cell>
          <cell r="I6">
            <v>1102077.0736550535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6000</v>
          </cell>
          <cell r="AG6">
            <v>0</v>
          </cell>
          <cell r="AH6">
            <v>0</v>
          </cell>
          <cell r="AI6">
            <v>70000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1009800.5836658712</v>
          </cell>
          <cell r="G7">
            <v>1009800.5836658712</v>
          </cell>
          <cell r="H7">
            <v>1493.5122006697663</v>
          </cell>
          <cell r="I7">
            <v>1011294.0958665409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1137510.913765148</v>
          </cell>
          <cell r="G8">
            <v>1137510.913765148</v>
          </cell>
          <cell r="H8">
            <v>1682.397946271539</v>
          </cell>
          <cell r="I8">
            <v>1139193.3117114196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1001961.4672118792</v>
          </cell>
          <cell r="G9">
            <v>1001961.4672118792</v>
          </cell>
          <cell r="H9">
            <v>1481.9180143958733</v>
          </cell>
          <cell r="I9">
            <v>1003443.3852262751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1012780.9652391576</v>
          </cell>
          <cell r="G10">
            <v>1012780.9652391576</v>
          </cell>
          <cell r="H10">
            <v>1497.9202355970144</v>
          </cell>
          <cell r="I10">
            <v>1014278.8854747546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1001686.3236323221</v>
          </cell>
          <cell r="G11">
            <v>1001686.3236323221</v>
          </cell>
          <cell r="H11">
            <v>1481.5110723722189</v>
          </cell>
          <cell r="I11">
            <v>1003167.8347046943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1747799.1460248933</v>
          </cell>
          <cell r="G12">
            <v>1747799.1460248933</v>
          </cell>
          <cell r="H12">
            <v>2585.0245990470808</v>
          </cell>
          <cell r="I12">
            <v>1750384.1706239404</v>
          </cell>
          <cell r="J12">
            <v>0</v>
          </cell>
          <cell r="K12">
            <v>38500</v>
          </cell>
          <cell r="L12">
            <v>32500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1001662.4594980598</v>
          </cell>
          <cell r="G13">
            <v>1001662.4594980598</v>
          </cell>
          <cell r="H13">
            <v>1481.4757769126443</v>
          </cell>
          <cell r="I13">
            <v>1003143.9352749725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1750285.27611277</v>
          </cell>
          <cell r="G14">
            <v>1750285.27611277</v>
          </cell>
          <cell r="H14">
            <v>2588.7016276394161</v>
          </cell>
          <cell r="I14">
            <v>1752873.9777404093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100000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25000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997483.55872805929</v>
          </cell>
          <cell r="G16">
            <v>997483.55872805929</v>
          </cell>
          <cell r="H16">
            <v>1475.2951117532655</v>
          </cell>
          <cell r="I16">
            <v>998958.85383981257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1173635.6358595681</v>
          </cell>
          <cell r="G17">
            <v>1173635.6358595681</v>
          </cell>
          <cell r="H17">
            <v>1735.8270233255025</v>
          </cell>
          <cell r="I17">
            <v>1175371.4628828936</v>
          </cell>
          <cell r="J17">
            <v>0</v>
          </cell>
          <cell r="K17">
            <v>39500</v>
          </cell>
          <cell r="L17">
            <v>33500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500000</v>
          </cell>
          <cell r="T17">
            <v>15000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1001649.5526902692</v>
          </cell>
          <cell r="G18">
            <v>1001649.5526902692</v>
          </cell>
          <cell r="H18">
            <v>1481.456687524879</v>
          </cell>
          <cell r="I18">
            <v>1003131.0093777941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500000</v>
          </cell>
          <cell r="T18">
            <v>25000</v>
          </cell>
          <cell r="U18">
            <v>0</v>
          </cell>
          <cell r="V18">
            <v>500000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1064720.7547244395</v>
          </cell>
          <cell r="G19">
            <v>1064720.7547244395</v>
          </cell>
          <cell r="H19">
            <v>1574.7400657211724</v>
          </cell>
          <cell r="I19">
            <v>1066295.4947901606</v>
          </cell>
          <cell r="J19">
            <v>0</v>
          </cell>
          <cell r="K19">
            <v>34000</v>
          </cell>
          <cell r="L19">
            <v>28000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1157773.628339116</v>
          </cell>
          <cell r="G21">
            <v>1157773.628339116</v>
          </cell>
          <cell r="H21">
            <v>1712.3668450070184</v>
          </cell>
          <cell r="I21">
            <v>1159485.9951841231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1002956.9899040192</v>
          </cell>
          <cell r="G22">
            <v>1002956.9899040192</v>
          </cell>
          <cell r="H22">
            <v>1483.3904093526646</v>
          </cell>
          <cell r="I22">
            <v>1004440.3803133718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1003226.3343753745</v>
          </cell>
          <cell r="G23">
            <v>1003226.3343753745</v>
          </cell>
          <cell r="H23">
            <v>1483.7887743968715</v>
          </cell>
          <cell r="I23">
            <v>1004710.1231497714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950187.46383653174</v>
          </cell>
          <cell r="G24">
            <v>950187.46383653174</v>
          </cell>
          <cell r="H24">
            <v>1405.3433847418812</v>
          </cell>
          <cell r="I24">
            <v>951592.80722127366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1341048.8148877549</v>
          </cell>
          <cell r="G25">
            <v>1341048.8148877549</v>
          </cell>
          <cell r="H25">
            <v>1983.4339562942018</v>
          </cell>
          <cell r="I25">
            <v>1343032.2488440489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15000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1480950.3912832218</v>
          </cell>
          <cell r="G26">
            <v>1480950.3912832218</v>
          </cell>
          <cell r="H26">
            <v>2190.3507620669147</v>
          </cell>
          <cell r="I26">
            <v>1483140.7420452887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986564.64309830719</v>
          </cell>
          <cell r="G27">
            <v>986564.64309830719</v>
          </cell>
          <cell r="H27">
            <v>1459.1458502308394</v>
          </cell>
          <cell r="I27">
            <v>988023.78894853801</v>
          </cell>
          <cell r="J27">
            <v>0</v>
          </cell>
          <cell r="K27">
            <v>15000</v>
          </cell>
          <cell r="L27">
            <v>9000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1014293.2046791507</v>
          </cell>
          <cell r="G28">
            <v>1014293.2046791507</v>
          </cell>
          <cell r="H28">
            <v>1500.1568633931329</v>
          </cell>
          <cell r="I28">
            <v>1015793.3615425439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976360.8139588926</v>
          </cell>
          <cell r="G29">
            <v>976360.8139588926</v>
          </cell>
          <cell r="H29">
            <v>1444.0542137634277</v>
          </cell>
          <cell r="I29">
            <v>977804.86817265605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1138234.7705687468</v>
          </cell>
          <cell r="G30">
            <v>1138234.7705687468</v>
          </cell>
          <cell r="H30">
            <v>1683.4685427687089</v>
          </cell>
          <cell r="I30">
            <v>1139918.2391115155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984085.5384216666</v>
          </cell>
          <cell r="G31">
            <v>984085.5384216666</v>
          </cell>
          <cell r="H31">
            <v>1455.4792123409516</v>
          </cell>
          <cell r="I31">
            <v>985541.0176340075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1079900.3016237428</v>
          </cell>
          <cell r="G32">
            <v>1079900.3016237428</v>
          </cell>
          <cell r="H32">
            <v>1597.1908731988692</v>
          </cell>
          <cell r="I32">
            <v>1081497.4924969417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22000</v>
          </cell>
          <cell r="M33">
            <v>1000</v>
          </cell>
          <cell r="N33">
            <v>1000</v>
          </cell>
          <cell r="O33">
            <v>4000</v>
          </cell>
          <cell r="P33">
            <v>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1045537.2277693315</v>
          </cell>
          <cell r="G34">
            <v>1045537.2277693315</v>
          </cell>
          <cell r="H34">
            <v>1546.3673037889896</v>
          </cell>
          <cell r="I34">
            <v>1047083.5950731206</v>
          </cell>
          <cell r="J34">
            <v>0</v>
          </cell>
          <cell r="K34">
            <v>25000</v>
          </cell>
          <cell r="L34">
            <v>19000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1001323.6557935521</v>
          </cell>
          <cell r="G35">
            <v>1001323.6557935521</v>
          </cell>
          <cell r="H35">
            <v>1480.9746804838053</v>
          </cell>
          <cell r="I35">
            <v>1002804.6304740359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991168.14919685025</v>
          </cell>
          <cell r="G36">
            <v>991168.14919685025</v>
          </cell>
          <cell r="H36">
            <v>1465.9545138771527</v>
          </cell>
          <cell r="I36">
            <v>992634.10371072742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25000</v>
          </cell>
          <cell r="M38">
            <v>1000</v>
          </cell>
          <cell r="N38">
            <v>1000</v>
          </cell>
          <cell r="O38">
            <v>4000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964952.96785997297</v>
          </cell>
          <cell r="G39">
            <v>964952.96785997297</v>
          </cell>
          <cell r="H39">
            <v>1427.1818157794146</v>
          </cell>
          <cell r="I39">
            <v>966380.14967575239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1784287.4412185347</v>
          </cell>
          <cell r="G40">
            <v>1784287.4412185347</v>
          </cell>
          <cell r="H40">
            <v>2638.9914068850285</v>
          </cell>
          <cell r="I40">
            <v>1786926.4326254197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995075.68525550491</v>
          </cell>
          <cell r="G41">
            <v>995075.68525550491</v>
          </cell>
          <cell r="H41">
            <v>1471.7338260230929</v>
          </cell>
          <cell r="I41">
            <v>996547.41908152797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2287507.8505940586</v>
          </cell>
          <cell r="G42">
            <v>2287507.8505940586</v>
          </cell>
          <cell r="H42">
            <v>3383.2629325559446</v>
          </cell>
          <cell r="I42">
            <v>2290891.1135266144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F6">
            <v>1102077.0736550535</v>
          </cell>
          <cell r="G6">
            <v>1102077.0736550535</v>
          </cell>
          <cell r="H6">
            <v>866.32511693003198</v>
          </cell>
          <cell r="I6">
            <v>1102943.3987719836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6000</v>
          </cell>
          <cell r="AG6">
            <v>0</v>
          </cell>
          <cell r="AH6">
            <v>660000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1030294.0958665409</v>
          </cell>
          <cell r="G7">
            <v>1030294.0958665409</v>
          </cell>
          <cell r="H7">
            <v>809.89766905655995</v>
          </cell>
          <cell r="I7">
            <v>1031103.9935355975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1158193.3117114196</v>
          </cell>
          <cell r="G8">
            <v>1158193.3117114196</v>
          </cell>
          <cell r="H8">
            <v>910.43719190009085</v>
          </cell>
          <cell r="I8">
            <v>1159103.7489033197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1022443.3852262751</v>
          </cell>
          <cell r="G9">
            <v>1022443.3852262751</v>
          </cell>
          <cell r="H9">
            <v>803.7263513003021</v>
          </cell>
          <cell r="I9">
            <v>1023247.1115775753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1033778.8854747546</v>
          </cell>
          <cell r="G10">
            <v>1033778.8854747546</v>
          </cell>
          <cell r="H10">
            <v>812.63700629256641</v>
          </cell>
          <cell r="I10">
            <v>1034591.5224810472</v>
          </cell>
          <cell r="J10">
            <v>0</v>
          </cell>
          <cell r="K10">
            <v>25500</v>
          </cell>
          <cell r="L10">
            <v>19500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1272167.8347046943</v>
          </cell>
          <cell r="G11">
            <v>1272167.8347046943</v>
          </cell>
          <cell r="H11">
            <v>1000.0307369610766</v>
          </cell>
          <cell r="I11">
            <v>1273167.8654416555</v>
          </cell>
          <cell r="J11">
            <v>0</v>
          </cell>
          <cell r="K11">
            <v>275000</v>
          </cell>
          <cell r="L11">
            <v>269000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1781884.1706239404</v>
          </cell>
          <cell r="G12">
            <v>1781884.1706239404</v>
          </cell>
          <cell r="H12">
            <v>1400.7105758510029</v>
          </cell>
          <cell r="I12">
            <v>1783284.8811997913</v>
          </cell>
          <cell r="J12">
            <v>0</v>
          </cell>
          <cell r="K12">
            <v>37500</v>
          </cell>
          <cell r="L12">
            <v>31500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30000</v>
          </cell>
          <cell r="U12">
            <v>0</v>
          </cell>
          <cell r="V12">
            <v>1000000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1022143.9352749725</v>
          </cell>
          <cell r="G13">
            <v>1022143.9352749725</v>
          </cell>
          <cell r="H13">
            <v>803.4909584949545</v>
          </cell>
          <cell r="I13">
            <v>1022947.4262334674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1771873.9777404093</v>
          </cell>
          <cell r="G14">
            <v>1771873.9777404093</v>
          </cell>
          <cell r="H14">
            <v>1392.8417237283868</v>
          </cell>
          <cell r="I14">
            <v>1773266.8194641378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24000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1017958.8538398126</v>
          </cell>
          <cell r="G16">
            <v>1017958.8538398126</v>
          </cell>
          <cell r="H16">
            <v>800.20113308224347</v>
          </cell>
          <cell r="I16">
            <v>1018759.0549728948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1219371.4628828936</v>
          </cell>
          <cell r="G17">
            <v>1219371.4628828936</v>
          </cell>
          <cell r="H17">
            <v>958.52835560737549</v>
          </cell>
          <cell r="I17">
            <v>1220329.9912385009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100000</v>
          </cell>
          <cell r="W17" t="str">
            <v>BANQUE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1022131.0093777941</v>
          </cell>
          <cell r="G18">
            <v>1022131.0093777941</v>
          </cell>
          <cell r="H18">
            <v>803.48079765443606</v>
          </cell>
          <cell r="I18">
            <v>1022934.4901754486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1098295.4947901606</v>
          </cell>
          <cell r="G19">
            <v>1098295.4947901606</v>
          </cell>
          <cell r="H19">
            <v>863.35247841805983</v>
          </cell>
          <cell r="I19">
            <v>1099158.8472685786</v>
          </cell>
          <cell r="J19">
            <v>0</v>
          </cell>
          <cell r="K19">
            <v>38000</v>
          </cell>
          <cell r="L19">
            <v>32000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1178485.9951841231</v>
          </cell>
          <cell r="G21">
            <v>1178485.9951841231</v>
          </cell>
          <cell r="H21">
            <v>926.38894500571485</v>
          </cell>
          <cell r="I21">
            <v>1179412.3841291287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1026440.3803133718</v>
          </cell>
          <cell r="G22">
            <v>1026440.3803133718</v>
          </cell>
          <cell r="H22">
            <v>806.86832505057146</v>
          </cell>
          <cell r="I22">
            <v>1027247.2486384223</v>
          </cell>
          <cell r="J22">
            <v>0</v>
          </cell>
          <cell r="K22">
            <v>28000</v>
          </cell>
          <cell r="L22">
            <v>22000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1023710.1231497714</v>
          </cell>
          <cell r="G23">
            <v>1023710.1231497714</v>
          </cell>
          <cell r="H23">
            <v>804.72211367112527</v>
          </cell>
          <cell r="I23">
            <v>1024514.8452634425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970592.80722127366</v>
          </cell>
          <cell r="G24">
            <v>970592.80722127366</v>
          </cell>
          <cell r="H24">
            <v>762.96744330115769</v>
          </cell>
          <cell r="I24">
            <v>971355.77466457477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1372032.2488440489</v>
          </cell>
          <cell r="G25">
            <v>1372032.2488440489</v>
          </cell>
          <cell r="H25">
            <v>1078.5325516930511</v>
          </cell>
          <cell r="I25">
            <v>1373110.781395742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1516640.7420452887</v>
          </cell>
          <cell r="G26">
            <v>1516640.7420452887</v>
          </cell>
          <cell r="H26">
            <v>1192.2069695503735</v>
          </cell>
          <cell r="I26">
            <v>1517832.949014839</v>
          </cell>
          <cell r="J26">
            <v>0</v>
          </cell>
          <cell r="K26">
            <v>39500</v>
          </cell>
          <cell r="L26">
            <v>33500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1007023.788948538</v>
          </cell>
          <cell r="G27">
            <v>1007023.788948538</v>
          </cell>
          <cell r="H27">
            <v>791.60525390370969</v>
          </cell>
          <cell r="I27">
            <v>1007815.3942024417</v>
          </cell>
          <cell r="J27">
            <v>0</v>
          </cell>
          <cell r="K27">
            <v>25000</v>
          </cell>
          <cell r="L27">
            <v>19000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1034793.3615425439</v>
          </cell>
          <cell r="G28">
            <v>1034793.3615425439</v>
          </cell>
          <cell r="H28">
            <v>813.43446966337717</v>
          </cell>
          <cell r="I28">
            <v>1035606.7960122073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996804.86817265605</v>
          </cell>
          <cell r="G29">
            <v>996804.86817265605</v>
          </cell>
          <cell r="H29">
            <v>783.57232413165309</v>
          </cell>
          <cell r="I29">
            <v>997588.44049678766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1158918.2391115155</v>
          </cell>
          <cell r="G30">
            <v>1158918.2391115155</v>
          </cell>
          <cell r="H30">
            <v>911.00704570584242</v>
          </cell>
          <cell r="I30">
            <v>1159829.2461572213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1004541.0176340075</v>
          </cell>
          <cell r="G31">
            <v>1004541.0176340075</v>
          </cell>
          <cell r="H31">
            <v>789.65358718203686</v>
          </cell>
          <cell r="I31">
            <v>1005330.6712211896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1100497.4924969417</v>
          </cell>
          <cell r="G32">
            <v>1100497.4924969417</v>
          </cell>
          <cell r="H32">
            <v>865.08343350859639</v>
          </cell>
          <cell r="I32">
            <v>1101362.5759304503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22000</v>
          </cell>
          <cell r="M33">
            <v>1000</v>
          </cell>
          <cell r="N33">
            <v>1000</v>
          </cell>
          <cell r="O33">
            <v>4000</v>
          </cell>
          <cell r="P33">
            <v>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300000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1070583.5950731207</v>
          </cell>
          <cell r="G34">
            <v>1070583.5950731207</v>
          </cell>
          <cell r="H34">
            <v>841.56859838225012</v>
          </cell>
          <cell r="I34">
            <v>1071425.1636715028</v>
          </cell>
          <cell r="J34">
            <v>0</v>
          </cell>
          <cell r="K34">
            <v>29500</v>
          </cell>
          <cell r="L34">
            <v>23500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1021804.6304740359</v>
          </cell>
          <cell r="G35">
            <v>1021804.6304740359</v>
          </cell>
          <cell r="H35">
            <v>803.22423643134107</v>
          </cell>
          <cell r="I35">
            <v>1022607.8547104672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1011634.1037107274</v>
          </cell>
          <cell r="G36">
            <v>1011634.1037107274</v>
          </cell>
          <cell r="H36">
            <v>795.22934841662038</v>
          </cell>
          <cell r="I36">
            <v>1012429.3330591441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100000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25000</v>
          </cell>
          <cell r="M38">
            <v>1000</v>
          </cell>
          <cell r="N38">
            <v>1000</v>
          </cell>
          <cell r="O38">
            <v>4000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985380.14967575239</v>
          </cell>
          <cell r="G39">
            <v>985380.14967575239</v>
          </cell>
          <cell r="H39">
            <v>774.59153610482531</v>
          </cell>
          <cell r="I39">
            <v>986154.74121185718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1805926.4326254197</v>
          </cell>
          <cell r="G40">
            <v>1805926.4326254197</v>
          </cell>
          <cell r="H40">
            <v>1419.6098125174697</v>
          </cell>
          <cell r="I40">
            <v>1807346.0424379371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1015547.419081528</v>
          </cell>
          <cell r="G41">
            <v>1015547.419081528</v>
          </cell>
          <cell r="H41">
            <v>798.30554288362737</v>
          </cell>
          <cell r="I41">
            <v>1016345.7246244116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3000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2309891.1135266144</v>
          </cell>
          <cell r="G42">
            <v>2309891.1135266144</v>
          </cell>
          <cell r="H42">
            <v>1815.768367619567</v>
          </cell>
          <cell r="I42">
            <v>2311706.8818942341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F6">
            <v>1102943.3987719836</v>
          </cell>
          <cell r="G6">
            <v>1102943.3987719836</v>
          </cell>
          <cell r="H6">
            <v>0</v>
          </cell>
          <cell r="I6">
            <v>1102943.3987719836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12000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1050103.9935355973</v>
          </cell>
          <cell r="G7">
            <v>1050103.9935355973</v>
          </cell>
          <cell r="H7">
            <v>0</v>
          </cell>
          <cell r="I7">
            <v>1050103.9935355973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1178103.7489033197</v>
          </cell>
          <cell r="G8">
            <v>1178103.7489033197</v>
          </cell>
          <cell r="H8">
            <v>0</v>
          </cell>
          <cell r="I8">
            <v>1178103.7489033197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1042247.1115775753</v>
          </cell>
          <cell r="G9">
            <v>1042247.1115775753</v>
          </cell>
          <cell r="H9">
            <v>0</v>
          </cell>
          <cell r="I9">
            <v>1042247.1115775753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1050591.5224810471</v>
          </cell>
          <cell r="G10">
            <v>1050591.5224810471</v>
          </cell>
          <cell r="H10">
            <v>0</v>
          </cell>
          <cell r="I10">
            <v>1050591.5224810471</v>
          </cell>
          <cell r="J10">
            <v>0</v>
          </cell>
          <cell r="K10">
            <v>22000</v>
          </cell>
          <cell r="L10">
            <v>16000</v>
          </cell>
          <cell r="M10">
            <v>1000</v>
          </cell>
          <cell r="N10">
            <v>1000</v>
          </cell>
          <cell r="O10">
            <v>4000</v>
          </cell>
          <cell r="P10">
            <v>3000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1292167.8654416555</v>
          </cell>
          <cell r="G11">
            <v>1292167.8654416555</v>
          </cell>
          <cell r="H11">
            <v>0</v>
          </cell>
          <cell r="I11">
            <v>1292167.8654416555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1812284.8811997913</v>
          </cell>
          <cell r="G12">
            <v>1812284.8811997913</v>
          </cell>
          <cell r="H12">
            <v>0</v>
          </cell>
          <cell r="I12">
            <v>1812284.8811997913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1041947.4262334674</v>
          </cell>
          <cell r="G13">
            <v>1041947.4262334674</v>
          </cell>
          <cell r="H13">
            <v>0</v>
          </cell>
          <cell r="I13">
            <v>1041947.4262334674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1792266.8194641378</v>
          </cell>
          <cell r="G14">
            <v>1792266.8194641378</v>
          </cell>
          <cell r="H14">
            <v>0</v>
          </cell>
          <cell r="I14">
            <v>1792266.8194641378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1619000</v>
          </cell>
          <cell r="G15">
            <v>819000</v>
          </cell>
          <cell r="H15">
            <v>0</v>
          </cell>
          <cell r="I15">
            <v>1619000</v>
          </cell>
          <cell r="J15">
            <v>0</v>
          </cell>
          <cell r="K15">
            <v>825000</v>
          </cell>
          <cell r="L15">
            <v>819000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120000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175000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1037759.0549728948</v>
          </cell>
          <cell r="G16">
            <v>1037759.0549728948</v>
          </cell>
          <cell r="H16">
            <v>0</v>
          </cell>
          <cell r="I16">
            <v>1037759.0549728948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1264329.9912385009</v>
          </cell>
          <cell r="G17">
            <v>1264329.9912385009</v>
          </cell>
          <cell r="H17">
            <v>0</v>
          </cell>
          <cell r="I17">
            <v>1264329.9912385009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1041934.4901754486</v>
          </cell>
          <cell r="G18">
            <v>1041934.4901754486</v>
          </cell>
          <cell r="H18">
            <v>0</v>
          </cell>
          <cell r="I18">
            <v>1041934.4901754486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1128158.8472685786</v>
          </cell>
          <cell r="G19">
            <v>1128158.8472685786</v>
          </cell>
          <cell r="H19">
            <v>0</v>
          </cell>
          <cell r="I19">
            <v>1128158.8472685786</v>
          </cell>
          <cell r="J19">
            <v>0</v>
          </cell>
          <cell r="K19">
            <v>35000</v>
          </cell>
          <cell r="L19">
            <v>29000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1198412.3841291287</v>
          </cell>
          <cell r="G21">
            <v>1198412.3841291287</v>
          </cell>
          <cell r="H21">
            <v>0</v>
          </cell>
          <cell r="I21">
            <v>1198412.3841291287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1046247.2486384223</v>
          </cell>
          <cell r="G22">
            <v>1046247.2486384223</v>
          </cell>
          <cell r="H22">
            <v>0</v>
          </cell>
          <cell r="I22">
            <v>1046247.2486384223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3000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1043514.8452634425</v>
          </cell>
          <cell r="G23">
            <v>1043514.8452634425</v>
          </cell>
          <cell r="H23">
            <v>0</v>
          </cell>
          <cell r="I23">
            <v>1043514.8452634425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100000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990355.77466457477</v>
          </cell>
          <cell r="G24">
            <v>990355.77466457477</v>
          </cell>
          <cell r="H24">
            <v>0</v>
          </cell>
          <cell r="I24">
            <v>990355.77466457477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1402110.781395742</v>
          </cell>
          <cell r="G25">
            <v>1402110.781395742</v>
          </cell>
          <cell r="H25">
            <v>0</v>
          </cell>
          <cell r="I25">
            <v>1402110.781395742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1548832.949014839</v>
          </cell>
          <cell r="G26">
            <v>1548832.949014839</v>
          </cell>
          <cell r="H26">
            <v>0</v>
          </cell>
          <cell r="I26">
            <v>1548832.949014839</v>
          </cell>
          <cell r="J26">
            <v>0</v>
          </cell>
          <cell r="K26">
            <v>37000</v>
          </cell>
          <cell r="L26">
            <v>31000</v>
          </cell>
          <cell r="M26">
            <v>1000</v>
          </cell>
          <cell r="N26">
            <v>1000</v>
          </cell>
          <cell r="O26">
            <v>4000</v>
          </cell>
          <cell r="P26">
            <v>3000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1025815.3942024417</v>
          </cell>
          <cell r="G27">
            <v>1025815.3942024417</v>
          </cell>
          <cell r="H27">
            <v>0</v>
          </cell>
          <cell r="I27">
            <v>1025815.3942024417</v>
          </cell>
          <cell r="J27">
            <v>0</v>
          </cell>
          <cell r="K27">
            <v>24000</v>
          </cell>
          <cell r="L27">
            <v>18000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1054606.7960122074</v>
          </cell>
          <cell r="G28">
            <v>1054606.7960122074</v>
          </cell>
          <cell r="H28">
            <v>0</v>
          </cell>
          <cell r="I28">
            <v>1054606.7960122074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1016588.4404967877</v>
          </cell>
          <cell r="G29">
            <v>1016588.4404967877</v>
          </cell>
          <cell r="H29">
            <v>0</v>
          </cell>
          <cell r="I29">
            <v>1016588.4404967877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1178829.2461572213</v>
          </cell>
          <cell r="G30">
            <v>1178829.2461572213</v>
          </cell>
          <cell r="H30">
            <v>0</v>
          </cell>
          <cell r="I30">
            <v>1178829.2461572213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1024330.6712211896</v>
          </cell>
          <cell r="G31">
            <v>1024330.6712211896</v>
          </cell>
          <cell r="H31">
            <v>0</v>
          </cell>
          <cell r="I31">
            <v>1024330.6712211896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1120362.5759304503</v>
          </cell>
          <cell r="G32">
            <v>1120362.5759304503</v>
          </cell>
          <cell r="H32">
            <v>0</v>
          </cell>
          <cell r="I32">
            <v>1120362.5759304503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25000</v>
          </cell>
          <cell r="M33">
            <v>1000</v>
          </cell>
          <cell r="N33">
            <v>1000</v>
          </cell>
          <cell r="O33">
            <v>4000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1071425.1636715028</v>
          </cell>
          <cell r="G34">
            <v>1071425.1636715028</v>
          </cell>
          <cell r="H34">
            <v>0</v>
          </cell>
          <cell r="I34">
            <v>1071425.1636715028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1041607.8547104672</v>
          </cell>
          <cell r="G35">
            <v>1041607.8547104672</v>
          </cell>
          <cell r="H35">
            <v>0</v>
          </cell>
          <cell r="I35">
            <v>1041607.8547104672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1031429.3330591441</v>
          </cell>
          <cell r="G36">
            <v>1031429.3330591441</v>
          </cell>
          <cell r="H36">
            <v>0</v>
          </cell>
          <cell r="I36">
            <v>1031429.3330591441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25000</v>
          </cell>
          <cell r="M38">
            <v>1000</v>
          </cell>
          <cell r="N38">
            <v>1000</v>
          </cell>
          <cell r="O38">
            <v>4000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1010154.7412118572</v>
          </cell>
          <cell r="G39">
            <v>1010154.7412118572</v>
          </cell>
          <cell r="H39">
            <v>0</v>
          </cell>
          <cell r="I39">
            <v>1010154.7412118572</v>
          </cell>
          <cell r="J39">
            <v>0</v>
          </cell>
          <cell r="K39">
            <v>30000</v>
          </cell>
          <cell r="L39">
            <v>24000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1826346.0424379371</v>
          </cell>
          <cell r="G40">
            <v>1826346.0424379371</v>
          </cell>
          <cell r="H40">
            <v>0</v>
          </cell>
          <cell r="I40">
            <v>1826346.0424379371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1035345.7246244116</v>
          </cell>
          <cell r="G41">
            <v>1035345.7246244116</v>
          </cell>
          <cell r="H41">
            <v>0</v>
          </cell>
          <cell r="I41">
            <v>1035345.7246244116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2330706.8818942341</v>
          </cell>
          <cell r="G42">
            <v>2330706.8818942341</v>
          </cell>
          <cell r="H42">
            <v>0</v>
          </cell>
          <cell r="I42">
            <v>2330706.8818942341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F6">
            <v>1102943.3987719836</v>
          </cell>
          <cell r="G6">
            <v>1102943.3987719836</v>
          </cell>
          <cell r="H6">
            <v>3365.8324870703273</v>
          </cell>
          <cell r="I6">
            <v>1106309.2312590538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1069103.9935355973</v>
          </cell>
          <cell r="G7">
            <v>1069103.9935355973</v>
          </cell>
          <cell r="H7">
            <v>3262.5653841395874</v>
          </cell>
          <cell r="I7">
            <v>1072366.5589197369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1197103.7489033197</v>
          </cell>
          <cell r="G8">
            <v>1197103.7489033197</v>
          </cell>
          <cell r="H8">
            <v>3653.1799301202927</v>
          </cell>
          <cell r="I8">
            <v>1200756.9288334399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15000</v>
          </cell>
          <cell r="U8">
            <v>0</v>
          </cell>
          <cell r="V8">
            <v>500000</v>
          </cell>
          <cell r="W8" t="str">
            <v>BANQUE</v>
          </cell>
          <cell r="X8" t="str">
            <v>BANQUE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100000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1061247.1115775753</v>
          </cell>
          <cell r="G9">
            <v>1061247.1115775753</v>
          </cell>
          <cell r="H9">
            <v>3238.5886791057378</v>
          </cell>
          <cell r="I9">
            <v>1064485.7002566811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1069591.5224810471</v>
          </cell>
          <cell r="G10">
            <v>1069591.5224810471</v>
          </cell>
          <cell r="H10">
            <v>3264.053167433643</v>
          </cell>
          <cell r="I10">
            <v>1072855.5756484808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1311167.8654416555</v>
          </cell>
          <cell r="G11">
            <v>1311167.8654416555</v>
          </cell>
          <cell r="H11">
            <v>4001.2673383056658</v>
          </cell>
          <cell r="I11">
            <v>1315169.1327799612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3000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1854784.8811997913</v>
          </cell>
          <cell r="G12">
            <v>1854784.8811997913</v>
          </cell>
          <cell r="H12">
            <v>5660.2135854115186</v>
          </cell>
          <cell r="I12">
            <v>1860445.0947852028</v>
          </cell>
          <cell r="J12">
            <v>0</v>
          </cell>
          <cell r="K12">
            <v>48500</v>
          </cell>
          <cell r="L12">
            <v>42500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150000</v>
          </cell>
          <cell r="T12">
            <v>1500</v>
          </cell>
          <cell r="U12">
            <v>0</v>
          </cell>
          <cell r="V12">
            <v>1000000</v>
          </cell>
          <cell r="W12" t="str">
            <v>BANQUE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1060947.4262334674</v>
          </cell>
          <cell r="G13">
            <v>1060947.4262334674</v>
          </cell>
          <cell r="H13">
            <v>3237.6741347436064</v>
          </cell>
          <cell r="I13">
            <v>1064185.100368211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1808266.8194641378</v>
          </cell>
          <cell r="G14">
            <v>1808266.8194641378</v>
          </cell>
          <cell r="H14">
            <v>5518.2552550024211</v>
          </cell>
          <cell r="I14">
            <v>1813785.0747191403</v>
          </cell>
          <cell r="J14">
            <v>0</v>
          </cell>
          <cell r="K14">
            <v>22000</v>
          </cell>
          <cell r="L14">
            <v>16000</v>
          </cell>
          <cell r="M14">
            <v>1000</v>
          </cell>
          <cell r="N14">
            <v>1000</v>
          </cell>
          <cell r="O14">
            <v>4000</v>
          </cell>
          <cell r="P14">
            <v>3000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1638000</v>
          </cell>
          <cell r="G15">
            <v>1638000</v>
          </cell>
          <cell r="H15">
            <v>4998.6550714747709</v>
          </cell>
          <cell r="I15">
            <v>1642998.6550714748</v>
          </cell>
          <cell r="J15">
            <v>0</v>
          </cell>
          <cell r="K15">
            <v>25000</v>
          </cell>
          <cell r="L15">
            <v>19000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1056759.054972895</v>
          </cell>
          <cell r="G16">
            <v>1056759.054972895</v>
          </cell>
          <cell r="H16">
            <v>3224.8925576722513</v>
          </cell>
          <cell r="I16">
            <v>1059983.9475305672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1308329.9912385009</v>
          </cell>
          <cell r="G17">
            <v>1308329.9912385009</v>
          </cell>
          <cell r="H17">
            <v>3992.6070487587758</v>
          </cell>
          <cell r="I17">
            <v>1312322.5982872597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400000</v>
          </cell>
          <cell r="T17">
            <v>4000</v>
          </cell>
          <cell r="U17">
            <v>0</v>
          </cell>
          <cell r="V17">
            <v>400000</v>
          </cell>
          <cell r="W17" t="str">
            <v>BANQUE</v>
          </cell>
          <cell r="X17" t="str">
            <v>BANQUE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1060934.4901754486</v>
          </cell>
          <cell r="G18">
            <v>1060934.4901754486</v>
          </cell>
          <cell r="H18">
            <v>3237.634658008551</v>
          </cell>
          <cell r="I18">
            <v>1064172.1248334572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1154158.8472685786</v>
          </cell>
          <cell r="G19">
            <v>1154158.8472685786</v>
          </cell>
          <cell r="H19">
            <v>3522.1257479771402</v>
          </cell>
          <cell r="I19">
            <v>1157680.9730165557</v>
          </cell>
          <cell r="J19">
            <v>0</v>
          </cell>
          <cell r="K19">
            <v>32000</v>
          </cell>
          <cell r="L19">
            <v>26000</v>
          </cell>
          <cell r="M19">
            <v>1000</v>
          </cell>
          <cell r="N19">
            <v>1000</v>
          </cell>
          <cell r="O19">
            <v>4000</v>
          </cell>
          <cell r="P19">
            <v>3000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1217412.3841291287</v>
          </cell>
          <cell r="G21">
            <v>1217412.3841291287</v>
          </cell>
          <cell r="H21">
            <v>3715.1554261314168</v>
          </cell>
          <cell r="I21">
            <v>1221127.53955526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1067747.2486384222</v>
          </cell>
          <cell r="G22">
            <v>1067747.2486384222</v>
          </cell>
          <cell r="H22">
            <v>3258.4250301951661</v>
          </cell>
          <cell r="I22">
            <v>1071005.6736686174</v>
          </cell>
          <cell r="J22">
            <v>0</v>
          </cell>
          <cell r="K22">
            <v>27500</v>
          </cell>
          <cell r="L22">
            <v>21500</v>
          </cell>
          <cell r="M22">
            <v>1000</v>
          </cell>
          <cell r="N22">
            <v>1000</v>
          </cell>
          <cell r="O22">
            <v>4000</v>
          </cell>
          <cell r="P22">
            <v>3000</v>
          </cell>
          <cell r="Q22">
            <v>0</v>
          </cell>
          <cell r="R22">
            <v>0</v>
          </cell>
          <cell r="S22">
            <v>1000000</v>
          </cell>
          <cell r="T22">
            <v>30000</v>
          </cell>
          <cell r="U22">
            <v>0</v>
          </cell>
          <cell r="V22">
            <v>1000000</v>
          </cell>
          <cell r="W22" t="str">
            <v>BANQUE</v>
          </cell>
          <cell r="X22" t="str">
            <v>BANQUE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1062514.8452634425</v>
          </cell>
          <cell r="G23">
            <v>1062514.8452634425</v>
          </cell>
          <cell r="H23">
            <v>3242.4573991412321</v>
          </cell>
          <cell r="I23">
            <v>1065757.3026625838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1009355.7746645748</v>
          </cell>
          <cell r="G24">
            <v>1009355.7746645748</v>
          </cell>
          <cell r="H24">
            <v>3080.232821702944</v>
          </cell>
          <cell r="I24">
            <v>1012436.0074862777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1431110.781395742</v>
          </cell>
          <cell r="G25">
            <v>1431110.781395742</v>
          </cell>
          <cell r="H25">
            <v>4367.2949726898951</v>
          </cell>
          <cell r="I25">
            <v>1435478.0763684318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500000</v>
          </cell>
          <cell r="T25">
            <v>15000</v>
          </cell>
          <cell r="U25">
            <v>0</v>
          </cell>
          <cell r="V25">
            <v>500000</v>
          </cell>
          <cell r="W25" t="str">
            <v>BANQUE</v>
          </cell>
          <cell r="X25" t="str">
            <v>BANQUE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1582832.949014839</v>
          </cell>
          <cell r="G26">
            <v>1582832.949014839</v>
          </cell>
          <cell r="H26">
            <v>4830.3027764898607</v>
          </cell>
          <cell r="I26">
            <v>1587663.2517913289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1049815.3942024417</v>
          </cell>
          <cell r="G27">
            <v>1049815.3942024417</v>
          </cell>
          <cell r="H27">
            <v>3203.7027132736998</v>
          </cell>
          <cell r="I27">
            <v>1053019.0969157154</v>
          </cell>
          <cell r="J27">
            <v>0</v>
          </cell>
          <cell r="K27">
            <v>30000</v>
          </cell>
          <cell r="L27">
            <v>24000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1073606.7960122074</v>
          </cell>
          <cell r="G28">
            <v>1073606.7960122074</v>
          </cell>
          <cell r="H28">
            <v>3276.3065052846155</v>
          </cell>
          <cell r="I28">
            <v>1076883.1025174919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 t="str">
            <v>BANQUE</v>
          </cell>
          <cell r="X28" t="str">
            <v>BANQUE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1035588.4404967877</v>
          </cell>
          <cell r="G29">
            <v>1035588.4404967877</v>
          </cell>
          <cell r="H29">
            <v>3160.2865751220493</v>
          </cell>
          <cell r="I29">
            <v>1038748.7270719097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1197829.2461572213</v>
          </cell>
          <cell r="G30">
            <v>1197829.2461572213</v>
          </cell>
          <cell r="H30">
            <v>3655.3939170113526</v>
          </cell>
          <cell r="I30">
            <v>1201484.6400742326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1043330.6712211896</v>
          </cell>
          <cell r="G31">
            <v>1043330.6712211896</v>
          </cell>
          <cell r="H31">
            <v>3183.9134010530988</v>
          </cell>
          <cell r="I31">
            <v>1046514.5846222426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1139362.5759304503</v>
          </cell>
          <cell r="G32">
            <v>1139362.5759304503</v>
          </cell>
          <cell r="H32">
            <v>3476.9722334696608</v>
          </cell>
          <cell r="I32">
            <v>1142839.5481639199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3000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  <cell r="W32" t="str">
            <v>BANQUE</v>
          </cell>
          <cell r="X32" t="str">
            <v>BANQUE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25000</v>
          </cell>
          <cell r="M33">
            <v>1000</v>
          </cell>
          <cell r="N33">
            <v>1000</v>
          </cell>
          <cell r="O33">
            <v>4000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1071425.1636715028</v>
          </cell>
          <cell r="G34">
            <v>1071425.1636715028</v>
          </cell>
          <cell r="H34">
            <v>3269.6488571991722</v>
          </cell>
          <cell r="I34">
            <v>1074694.812528702</v>
          </cell>
          <cell r="J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500000</v>
          </cell>
          <cell r="W34" t="str">
            <v>BANQUE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1060607.8547104672</v>
          </cell>
          <cell r="G35">
            <v>1060607.8547104672</v>
          </cell>
          <cell r="H35">
            <v>3236.6378704483841</v>
          </cell>
          <cell r="I35">
            <v>1063844.4925809156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1050429.3330591442</v>
          </cell>
          <cell r="G36">
            <v>1050429.3330591442</v>
          </cell>
          <cell r="H36">
            <v>3205.5762594151111</v>
          </cell>
          <cell r="I36">
            <v>1053634.9093185593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22000</v>
          </cell>
          <cell r="M38">
            <v>1000</v>
          </cell>
          <cell r="N38">
            <v>1000</v>
          </cell>
          <cell r="O38">
            <v>4000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1029154.7412118572</v>
          </cell>
          <cell r="G39">
            <v>1029154.7412118572</v>
          </cell>
          <cell r="H39">
            <v>3140.652970995699</v>
          </cell>
          <cell r="I39">
            <v>1032295.3941828529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1845346.0424379371</v>
          </cell>
          <cell r="G40">
            <v>1845346.0424379371</v>
          </cell>
          <cell r="H40">
            <v>5631.4092513176383</v>
          </cell>
          <cell r="I40">
            <v>1850977.4516892547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1054345.7246244117</v>
          </cell>
          <cell r="G41">
            <v>1054345.7246244117</v>
          </cell>
          <cell r="H41">
            <v>3217.5278409533316</v>
          </cell>
          <cell r="I41">
            <v>1057563.252465365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3000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2349706.8818942341</v>
          </cell>
          <cell r="G42">
            <v>2349706.8818942341</v>
          </cell>
          <cell r="H42">
            <v>7170.5581328814305</v>
          </cell>
          <cell r="I42">
            <v>2356877.4400271154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F6">
            <v>1106309.2312590538</v>
          </cell>
          <cell r="G6">
            <v>1106309.2312590538</v>
          </cell>
          <cell r="H6">
            <v>170.85953472534871</v>
          </cell>
          <cell r="I6">
            <v>1106480.0907937791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6000</v>
          </cell>
          <cell r="AG6">
            <v>0</v>
          </cell>
          <cell r="AH6">
            <v>100000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1091366.5589197369</v>
          </cell>
          <cell r="G7">
            <v>1091366.5589197369</v>
          </cell>
          <cell r="H7">
            <v>168.55177305138761</v>
          </cell>
          <cell r="I7">
            <v>1091535.1106927884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1219756.9288334399</v>
          </cell>
          <cell r="G8">
            <v>1219756.9288334399</v>
          </cell>
          <cell r="H8">
            <v>188.38051373874973</v>
          </cell>
          <cell r="I8">
            <v>1219945.3093471788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1083485.7002566811</v>
          </cell>
          <cell r="G9">
            <v>1083485.7002566811</v>
          </cell>
          <cell r="H9">
            <v>167.33464513962505</v>
          </cell>
          <cell r="I9">
            <v>1083653.0349018206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1091855.5756484808</v>
          </cell>
          <cell r="G10">
            <v>1091855.5756484808</v>
          </cell>
          <cell r="H10">
            <v>168.62729729757962</v>
          </cell>
          <cell r="I10">
            <v>1092024.2029457784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1334169.1327799612</v>
          </cell>
          <cell r="G11">
            <v>1334169.1327799612</v>
          </cell>
          <cell r="H11">
            <v>206.05045210756992</v>
          </cell>
          <cell r="I11">
            <v>1334375.1832320688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2079445.0947852028</v>
          </cell>
          <cell r="G12">
            <v>2079445.0947852028</v>
          </cell>
          <cell r="H12">
            <v>321.15163766423717</v>
          </cell>
          <cell r="I12">
            <v>2079766.2464228671</v>
          </cell>
          <cell r="J12">
            <v>0</v>
          </cell>
          <cell r="K12">
            <v>225000</v>
          </cell>
          <cell r="L12">
            <v>219000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150000</v>
          </cell>
          <cell r="W12" t="str">
            <v>BANQUE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1083185.100368211</v>
          </cell>
          <cell r="G13">
            <v>1083185.100368211</v>
          </cell>
          <cell r="H13">
            <v>167.28822018389724</v>
          </cell>
          <cell r="I13">
            <v>1083352.388588395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1832785.0747191403</v>
          </cell>
          <cell r="G14">
            <v>1832785.0747191403</v>
          </cell>
          <cell r="H14">
            <v>283.05721065139403</v>
          </cell>
          <cell r="I14">
            <v>1833068.1319297918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1661998.6550714748</v>
          </cell>
          <cell r="G15">
            <v>1661998.6550714748</v>
          </cell>
          <cell r="H15">
            <v>256.68078046903088</v>
          </cell>
          <cell r="I15">
            <v>1662255.3358519438</v>
          </cell>
          <cell r="J15">
            <v>0</v>
          </cell>
          <cell r="K15">
            <v>25000</v>
          </cell>
          <cell r="L15">
            <v>19000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1078983.9475305672</v>
          </cell>
          <cell r="G16">
            <v>1078983.9475305672</v>
          </cell>
          <cell r="H16">
            <v>166.63938982176333</v>
          </cell>
          <cell r="I16">
            <v>1079150.586920389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1346322.5982872597</v>
          </cell>
          <cell r="G17">
            <v>1346322.5982872597</v>
          </cell>
          <cell r="H17">
            <v>207.92744581168498</v>
          </cell>
          <cell r="I17">
            <v>1346530.5257330714</v>
          </cell>
          <cell r="J17">
            <v>0</v>
          </cell>
          <cell r="K17">
            <v>40000</v>
          </cell>
          <cell r="L17">
            <v>34000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400000</v>
          </cell>
          <cell r="T17">
            <v>4000</v>
          </cell>
          <cell r="U17">
            <v>0</v>
          </cell>
          <cell r="V17">
            <v>400000</v>
          </cell>
          <cell r="W17" t="str">
            <v>BANQUE</v>
          </cell>
          <cell r="X17" t="str">
            <v>BANQUE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1080172.1248334572</v>
          </cell>
          <cell r="G18">
            <v>1080172.1248334572</v>
          </cell>
          <cell r="H18">
            <v>166.82289314561424</v>
          </cell>
          <cell r="I18">
            <v>1080338.9477266029</v>
          </cell>
          <cell r="J18">
            <v>0</v>
          </cell>
          <cell r="K18">
            <v>22000</v>
          </cell>
          <cell r="L18">
            <v>16000</v>
          </cell>
          <cell r="M18">
            <v>1000</v>
          </cell>
          <cell r="N18">
            <v>1000</v>
          </cell>
          <cell r="O18">
            <v>4000</v>
          </cell>
          <cell r="P18">
            <v>3000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100000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1183680.9730165557</v>
          </cell>
          <cell r="G19">
            <v>1183680.9730165557</v>
          </cell>
          <cell r="H19">
            <v>182.80890604400949</v>
          </cell>
          <cell r="I19">
            <v>1183863.7819225998</v>
          </cell>
          <cell r="J19">
            <v>0</v>
          </cell>
          <cell r="K19">
            <v>32000</v>
          </cell>
          <cell r="L19">
            <v>26000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1240127.53955526</v>
          </cell>
          <cell r="G21">
            <v>1240127.53955526</v>
          </cell>
          <cell r="H21">
            <v>191.52657179526645</v>
          </cell>
          <cell r="I21">
            <v>1240319.0661270553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1090405.6736686174</v>
          </cell>
          <cell r="G22">
            <v>1090405.6736686174</v>
          </cell>
          <cell r="H22">
            <v>168.40337294561982</v>
          </cell>
          <cell r="I22">
            <v>1090574.0770415631</v>
          </cell>
          <cell r="J22">
            <v>0</v>
          </cell>
          <cell r="K22">
            <v>25400</v>
          </cell>
          <cell r="L22">
            <v>19400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1084757.3026625838</v>
          </cell>
          <cell r="G23">
            <v>1084757.3026625838</v>
          </cell>
          <cell r="H23">
            <v>167.53103272212846</v>
          </cell>
          <cell r="I23">
            <v>1084924.833695306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1031436.0074862777</v>
          </cell>
          <cell r="G24">
            <v>1031436.0074862777</v>
          </cell>
          <cell r="H24">
            <v>159.29603709219205</v>
          </cell>
          <cell r="I24">
            <v>1031595.3035233699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1464478.0763684318</v>
          </cell>
          <cell r="G25">
            <v>1464478.0763684318</v>
          </cell>
          <cell r="H25">
            <v>226.17549928514728</v>
          </cell>
          <cell r="I25">
            <v>1464704.2518677169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1621663.2517913289</v>
          </cell>
          <cell r="G26">
            <v>1621663.2517913289</v>
          </cell>
          <cell r="H26">
            <v>250.4513393302619</v>
          </cell>
          <cell r="I26">
            <v>1621913.7031306592</v>
          </cell>
          <cell r="J26">
            <v>0</v>
          </cell>
          <cell r="K26">
            <v>40000</v>
          </cell>
          <cell r="L26">
            <v>34000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1079519.0969157154</v>
          </cell>
          <cell r="G27">
            <v>1079519.0969157154</v>
          </cell>
          <cell r="H27">
            <v>166.72203884282493</v>
          </cell>
          <cell r="I27">
            <v>1079685.8189545581</v>
          </cell>
          <cell r="J27">
            <v>0</v>
          </cell>
          <cell r="K27">
            <v>32500</v>
          </cell>
          <cell r="L27">
            <v>26500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1094883.1025174919</v>
          </cell>
          <cell r="G28">
            <v>1094883.1025174919</v>
          </cell>
          <cell r="H28">
            <v>169.09487165888095</v>
          </cell>
          <cell r="I28">
            <v>1095052.1973891507</v>
          </cell>
          <cell r="J28">
            <v>0</v>
          </cell>
          <cell r="K28">
            <v>24000</v>
          </cell>
          <cell r="L28">
            <v>18000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1057748.7270719097</v>
          </cell>
          <cell r="G29">
            <v>1057748.7270719097</v>
          </cell>
          <cell r="H29">
            <v>163.35980054885519</v>
          </cell>
          <cell r="I29">
            <v>1057912.0868724585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250000</v>
          </cell>
          <cell r="T29">
            <v>2500</v>
          </cell>
          <cell r="U29">
            <v>0</v>
          </cell>
          <cell r="V29">
            <v>150000</v>
          </cell>
          <cell r="W29" t="str">
            <v>BANQUE</v>
          </cell>
          <cell r="X29" t="str">
            <v>BANQUE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1220484.6400742326</v>
          </cell>
          <cell r="G30">
            <v>1220484.6400742326</v>
          </cell>
          <cell r="H30">
            <v>188.49290221070953</v>
          </cell>
          <cell r="I30">
            <v>1220673.1329764433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1065514.5846222425</v>
          </cell>
          <cell r="G31">
            <v>1065514.5846222425</v>
          </cell>
          <cell r="H31">
            <v>164.55916757057221</v>
          </cell>
          <cell r="I31">
            <v>1065679.1437898132</v>
          </cell>
          <cell r="J31">
            <v>0</v>
          </cell>
          <cell r="K31">
            <v>25000</v>
          </cell>
          <cell r="L31">
            <v>19000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1161839.5481639199</v>
          </cell>
          <cell r="G32">
            <v>1161839.5481639199</v>
          </cell>
          <cell r="H32">
            <v>179.43569394144669</v>
          </cell>
          <cell r="I32">
            <v>1162018.9838578615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22000</v>
          </cell>
          <cell r="M33">
            <v>1000</v>
          </cell>
          <cell r="N33">
            <v>1000</v>
          </cell>
          <cell r="O33">
            <v>4000</v>
          </cell>
          <cell r="P33">
            <v>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1074694.812528702</v>
          </cell>
          <cell r="G34">
            <v>1074694.812528702</v>
          </cell>
          <cell r="H34">
            <v>165.97697140376019</v>
          </cell>
          <cell r="I34">
            <v>1074860.7895001057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1082844.4925809156</v>
          </cell>
          <cell r="G35">
            <v>1082844.4925809156</v>
          </cell>
          <cell r="H35">
            <v>167.23561636715525</v>
          </cell>
          <cell r="I35">
            <v>1083011.7281972826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1072634.9093185593</v>
          </cell>
          <cell r="G36">
            <v>1072634.9093185593</v>
          </cell>
          <cell r="H36">
            <v>165.65883783484503</v>
          </cell>
          <cell r="I36">
            <v>1072800.5681563942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242500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22000</v>
          </cell>
          <cell r="M38">
            <v>1000</v>
          </cell>
          <cell r="N38">
            <v>1000</v>
          </cell>
          <cell r="O38">
            <v>4000</v>
          </cell>
          <cell r="P38">
            <v>3000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1051295.3941828529</v>
          </cell>
          <cell r="G39">
            <v>1051295.3941828529</v>
          </cell>
          <cell r="H39">
            <v>162.36314118482082</v>
          </cell>
          <cell r="I39">
            <v>1051457.7573240378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892500</v>
          </cell>
          <cell r="W39" t="str">
            <v>BANQUE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1866977.4516892547</v>
          </cell>
          <cell r="G40">
            <v>1866977.4516892547</v>
          </cell>
          <cell r="H40">
            <v>288.33791649312218</v>
          </cell>
          <cell r="I40">
            <v>1867265.7896057479</v>
          </cell>
          <cell r="J40">
            <v>0</v>
          </cell>
          <cell r="K40">
            <v>22000</v>
          </cell>
          <cell r="L40">
            <v>16000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1076563.252465365</v>
          </cell>
          <cell r="G41">
            <v>1076563.252465365</v>
          </cell>
          <cell r="H41">
            <v>166.26553518793577</v>
          </cell>
          <cell r="I41">
            <v>1076729.5180005529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3000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2375877.4400271154</v>
          </cell>
          <cell r="G42">
            <v>2375877.4400271154</v>
          </cell>
          <cell r="H42">
            <v>366.93295373256285</v>
          </cell>
          <cell r="I42">
            <v>2376244.372980848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8">
        <row r="6">
          <cell r="A6" t="str">
            <v>AS201648</v>
          </cell>
          <cell r="B6" t="str">
            <v>ASELBY</v>
          </cell>
          <cell r="F6">
            <v>1106480.0907937791</v>
          </cell>
          <cell r="G6">
            <v>1106480.0907937791</v>
          </cell>
          <cell r="H6">
            <v>34838.140203176496</v>
          </cell>
          <cell r="I6">
            <v>1141318.2309969557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52000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</row>
        <row r="7">
          <cell r="A7" t="str">
            <v>AS201601</v>
          </cell>
          <cell r="B7" t="str">
            <v>BAKOP ACHILLE</v>
          </cell>
          <cell r="E7">
            <v>0</v>
          </cell>
          <cell r="F7">
            <v>1110535.1106927884</v>
          </cell>
          <cell r="G7">
            <v>1110535.1106927884</v>
          </cell>
          <cell r="H7">
            <v>34965.814756874985</v>
          </cell>
          <cell r="I7">
            <v>1145500.9254496633</v>
          </cell>
          <cell r="J7">
            <v>0</v>
          </cell>
          <cell r="K7">
            <v>25000</v>
          </cell>
          <cell r="L7">
            <v>19000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1000000</v>
          </cell>
          <cell r="T7">
            <v>20000</v>
          </cell>
          <cell r="U7">
            <v>0</v>
          </cell>
          <cell r="V7">
            <v>1000000</v>
          </cell>
          <cell r="W7" t="str">
            <v>ESPECES</v>
          </cell>
          <cell r="X7" t="str">
            <v>BANQUE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</row>
        <row r="8">
          <cell r="A8" t="str">
            <v>AS201602</v>
          </cell>
          <cell r="B8" t="str">
            <v>BOUTCHOUANG WILLIAM</v>
          </cell>
          <cell r="E8">
            <v>0</v>
          </cell>
          <cell r="F8">
            <v>1238945.3093471788</v>
          </cell>
          <cell r="G8">
            <v>1238945.3093471788</v>
          </cell>
          <cell r="H8">
            <v>39008.881181170153</v>
          </cell>
          <cell r="I8">
            <v>1277954.190528349</v>
          </cell>
          <cell r="J8">
            <v>0</v>
          </cell>
          <cell r="K8">
            <v>25000</v>
          </cell>
          <cell r="L8">
            <v>19000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10000</v>
          </cell>
          <cell r="U8">
            <v>0</v>
          </cell>
          <cell r="V8">
            <v>500000</v>
          </cell>
          <cell r="W8" t="str">
            <v>ESPECES</v>
          </cell>
          <cell r="X8" t="str">
            <v>BANQUE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E9">
            <v>0</v>
          </cell>
          <cell r="F9">
            <v>1102653.0349018206</v>
          </cell>
          <cell r="G9">
            <v>1102653.0349018206</v>
          </cell>
          <cell r="H9">
            <v>34717.643222852348</v>
          </cell>
          <cell r="I9">
            <v>1137370.678124673</v>
          </cell>
          <cell r="J9">
            <v>0</v>
          </cell>
          <cell r="K9">
            <v>25000</v>
          </cell>
          <cell r="L9">
            <v>19000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 t="str">
            <v>ESPECES</v>
          </cell>
          <cell r="X9" t="str">
            <v>BANQUE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A10" t="str">
            <v>AS201654</v>
          </cell>
          <cell r="B10" t="str">
            <v>DJOMOU TCHAPDA</v>
          </cell>
          <cell r="E10">
            <v>0</v>
          </cell>
          <cell r="F10">
            <v>1111024.2029457784</v>
          </cell>
          <cell r="G10">
            <v>1111024.2029457784</v>
          </cell>
          <cell r="H10">
            <v>34981.21409810464</v>
          </cell>
          <cell r="I10">
            <v>1146005.4170438831</v>
          </cell>
          <cell r="J10">
            <v>0</v>
          </cell>
          <cell r="K10">
            <v>25000</v>
          </cell>
          <cell r="L10">
            <v>19000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1000000</v>
          </cell>
          <cell r="W10" t="str">
            <v>ESPECES</v>
          </cell>
          <cell r="X10" t="str">
            <v>BANQUE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AS201605</v>
          </cell>
          <cell r="B11" t="str">
            <v>DJOUKWE NANGUEN GUY BLAISE</v>
          </cell>
          <cell r="E11">
            <v>0</v>
          </cell>
          <cell r="F11">
            <v>1353375.1832320688</v>
          </cell>
          <cell r="G11">
            <v>1353375.1832320688</v>
          </cell>
          <cell r="H11">
            <v>42611.769315355836</v>
          </cell>
          <cell r="I11">
            <v>1395986.9525474247</v>
          </cell>
          <cell r="J11">
            <v>0</v>
          </cell>
          <cell r="K11">
            <v>25000</v>
          </cell>
          <cell r="L11">
            <v>19000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1000000</v>
          </cell>
          <cell r="T11">
            <v>120000</v>
          </cell>
          <cell r="U11">
            <v>0</v>
          </cell>
          <cell r="V11">
            <v>1000000</v>
          </cell>
          <cell r="W11" t="str">
            <v>ESPECES</v>
          </cell>
          <cell r="X11" t="str">
            <v>BANQUE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100000</v>
          </cell>
          <cell r="AJ11">
            <v>0</v>
          </cell>
          <cell r="AK11">
            <v>0</v>
          </cell>
        </row>
        <row r="12">
          <cell r="A12" t="str">
            <v>AS201608</v>
          </cell>
          <cell r="B12" t="str">
            <v>DJUOMBESSY ANTOINE</v>
          </cell>
          <cell r="E12">
            <v>0</v>
          </cell>
          <cell r="F12">
            <v>2108766.2464228673</v>
          </cell>
          <cell r="G12">
            <v>2108766.2464228673</v>
          </cell>
          <cell r="H12">
            <v>66395.676487863951</v>
          </cell>
          <cell r="I12">
            <v>2175161.9229107313</v>
          </cell>
          <cell r="J12">
            <v>0</v>
          </cell>
          <cell r="K12">
            <v>35000</v>
          </cell>
          <cell r="L12">
            <v>29000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60000</v>
          </cell>
          <cell r="U12">
            <v>0</v>
          </cell>
          <cell r="V12">
            <v>0</v>
          </cell>
          <cell r="W12">
            <v>0</v>
          </cell>
          <cell r="X12" t="str">
            <v>BANQUE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A13" t="str">
            <v>AS201651</v>
          </cell>
          <cell r="B13" t="str">
            <v>DOMOU FABIEN</v>
          </cell>
          <cell r="E13">
            <v>0</v>
          </cell>
          <cell r="F13">
            <v>1102352.388588395</v>
          </cell>
          <cell r="G13">
            <v>1102352.388588395</v>
          </cell>
          <cell r="H13">
            <v>34708.177206693683</v>
          </cell>
          <cell r="I13">
            <v>1137060.5657950887</v>
          </cell>
          <cell r="J13">
            <v>0</v>
          </cell>
          <cell r="K13">
            <v>25000</v>
          </cell>
          <cell r="L13">
            <v>19000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A14" t="str">
            <v>AS201609</v>
          </cell>
          <cell r="B14" t="str">
            <v>DONHOU DAVID</v>
          </cell>
          <cell r="E14">
            <v>0</v>
          </cell>
          <cell r="F14">
            <v>1852068.1319297918</v>
          </cell>
          <cell r="G14">
            <v>1852068.1319297918</v>
          </cell>
          <cell r="H14">
            <v>58313.393781642575</v>
          </cell>
          <cell r="I14">
            <v>1910381.5257114344</v>
          </cell>
          <cell r="J14">
            <v>0</v>
          </cell>
          <cell r="K14">
            <v>25000</v>
          </cell>
          <cell r="L14">
            <v>19000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</row>
        <row r="15">
          <cell r="A15" t="str">
            <v>AS201663</v>
          </cell>
          <cell r="B15" t="str">
            <v>FAMPOU PAUL</v>
          </cell>
          <cell r="E15">
            <v>0</v>
          </cell>
          <cell r="F15">
            <v>1681255.3358519438</v>
          </cell>
          <cell r="G15">
            <v>1681255.3358519438</v>
          </cell>
          <cell r="H15">
            <v>52935.258026856776</v>
          </cell>
          <cell r="I15">
            <v>1734190.5938788005</v>
          </cell>
          <cell r="J15">
            <v>0</v>
          </cell>
          <cell r="K15">
            <v>25000</v>
          </cell>
          <cell r="L15">
            <v>19000</v>
          </cell>
          <cell r="M15">
            <v>1000</v>
          </cell>
          <cell r="N15">
            <v>1000</v>
          </cell>
          <cell r="O15">
            <v>4000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A16" t="str">
            <v>AS201611</v>
          </cell>
          <cell r="B16" t="str">
            <v>HENGUE PAUL OMER</v>
          </cell>
          <cell r="E16">
            <v>0</v>
          </cell>
          <cell r="F16">
            <v>1098150.586920389</v>
          </cell>
          <cell r="G16">
            <v>1098150.586920389</v>
          </cell>
          <cell r="H16">
            <v>34575.881147475018</v>
          </cell>
          <cell r="I16">
            <v>1132726.468067864</v>
          </cell>
          <cell r="J16">
            <v>0</v>
          </cell>
          <cell r="K16">
            <v>25000</v>
          </cell>
          <cell r="L16">
            <v>19000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</row>
        <row r="17">
          <cell r="A17" t="str">
            <v>AS201613</v>
          </cell>
          <cell r="B17" t="str">
            <v>HOTCHO BENJAMIN</v>
          </cell>
          <cell r="E17">
            <v>0</v>
          </cell>
          <cell r="F17">
            <v>1390530.5257330714</v>
          </cell>
          <cell r="G17">
            <v>1390530.5257330714</v>
          </cell>
          <cell r="H17">
            <v>43781.625910261544</v>
          </cell>
          <cell r="I17">
            <v>1434312.151643333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400000</v>
          </cell>
          <cell r="T17">
            <v>8000</v>
          </cell>
          <cell r="U17">
            <v>0</v>
          </cell>
          <cell r="V17">
            <v>400000</v>
          </cell>
          <cell r="W17" t="str">
            <v>ESPECES</v>
          </cell>
          <cell r="X17" t="str">
            <v>BANQUE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A18" t="str">
            <v>AS201617</v>
          </cell>
          <cell r="B18" t="str">
            <v>KOUAMOU MOISE</v>
          </cell>
          <cell r="E18">
            <v>0</v>
          </cell>
          <cell r="F18">
            <v>1099338.9477266029</v>
          </cell>
          <cell r="G18">
            <v>1099338.9477266029</v>
          </cell>
          <cell r="H18">
            <v>34613.297347480147</v>
          </cell>
          <cell r="I18">
            <v>1133952.2450740831</v>
          </cell>
          <cell r="J18">
            <v>0</v>
          </cell>
          <cell r="K18">
            <v>25000</v>
          </cell>
          <cell r="L18">
            <v>19000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500000</v>
          </cell>
          <cell r="T18">
            <v>25000</v>
          </cell>
          <cell r="U18">
            <v>0</v>
          </cell>
          <cell r="V18">
            <v>500000</v>
          </cell>
          <cell r="W18" t="str">
            <v>ESPECES</v>
          </cell>
          <cell r="X18" t="str">
            <v>BANQUE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A19" t="str">
            <v>AS201619</v>
          </cell>
          <cell r="B19" t="str">
            <v>KOUATCHO MESSACK</v>
          </cell>
          <cell r="E19">
            <v>0</v>
          </cell>
          <cell r="F19">
            <v>1212863.7819225998</v>
          </cell>
          <cell r="G19">
            <v>1212863.7819225998</v>
          </cell>
          <cell r="H19">
            <v>38187.689804397494</v>
          </cell>
          <cell r="I19">
            <v>1251051.4717269973</v>
          </cell>
          <cell r="J19">
            <v>0</v>
          </cell>
          <cell r="K19">
            <v>35000</v>
          </cell>
          <cell r="L19">
            <v>29000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  <cell r="W19" t="str">
            <v>ESPECES</v>
          </cell>
          <cell r="X19" t="str">
            <v>BANQUE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A20" t="str">
            <v>AS201620</v>
          </cell>
          <cell r="B20" t="str">
            <v>LOWE JEAN</v>
          </cell>
          <cell r="G20">
            <v>0</v>
          </cell>
        </row>
        <row r="21">
          <cell r="A21" t="str">
            <v>AS201661</v>
          </cell>
          <cell r="B21" t="str">
            <v>MASSEUNGOUE DAGOBERT</v>
          </cell>
          <cell r="E21">
            <v>0</v>
          </cell>
          <cell r="F21">
            <v>1259319.0661270553</v>
          </cell>
          <cell r="G21">
            <v>1259319.0661270553</v>
          </cell>
          <cell r="H21">
            <v>39650.360229070204</v>
          </cell>
          <cell r="I21">
            <v>1298969.4263561256</v>
          </cell>
          <cell r="J21">
            <v>0</v>
          </cell>
          <cell r="K21">
            <v>25000</v>
          </cell>
          <cell r="L21">
            <v>19000</v>
          </cell>
          <cell r="M21">
            <v>1000</v>
          </cell>
          <cell r="N21">
            <v>1000</v>
          </cell>
          <cell r="O21">
            <v>4000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A22" t="str">
            <v>AS201649</v>
          </cell>
          <cell r="B22" t="str">
            <v>MBOGNING TUGMA GUY</v>
          </cell>
          <cell r="E22">
            <v>0</v>
          </cell>
          <cell r="F22">
            <v>1109574.0770415631</v>
          </cell>
          <cell r="G22">
            <v>1109574.0770415631</v>
          </cell>
          <cell r="H22">
            <v>34935.556078603295</v>
          </cell>
          <cell r="I22">
            <v>1144509.6331201664</v>
          </cell>
          <cell r="J22">
            <v>0</v>
          </cell>
          <cell r="K22">
            <v>25000</v>
          </cell>
          <cell r="L22">
            <v>19000</v>
          </cell>
          <cell r="M22">
            <v>1000</v>
          </cell>
          <cell r="N22">
            <v>1000</v>
          </cell>
          <cell r="O22">
            <v>4000</v>
          </cell>
          <cell r="P22">
            <v>0</v>
          </cell>
          <cell r="Q22">
            <v>0</v>
          </cell>
          <cell r="R22">
            <v>0</v>
          </cell>
          <cell r="S22">
            <v>1000000</v>
          </cell>
          <cell r="T22">
            <v>120000</v>
          </cell>
          <cell r="U22">
            <v>0</v>
          </cell>
          <cell r="V22">
            <v>1000000</v>
          </cell>
          <cell r="W22" t="str">
            <v>ESPECES</v>
          </cell>
          <cell r="X22" t="str">
            <v>BANQUE</v>
          </cell>
          <cell r="Y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</row>
        <row r="23">
          <cell r="A23" t="str">
            <v>AS201639</v>
          </cell>
          <cell r="B23" t="str">
            <v>NANGUEN MARTIN</v>
          </cell>
          <cell r="E23">
            <v>0</v>
          </cell>
          <cell r="F23">
            <v>1103924.833695306</v>
          </cell>
          <cell r="G23">
            <v>1103924.833695306</v>
          </cell>
          <cell r="H23">
            <v>34757.686514228597</v>
          </cell>
          <cell r="I23">
            <v>1138682.5202095346</v>
          </cell>
          <cell r="J23">
            <v>0</v>
          </cell>
          <cell r="K23">
            <v>25000</v>
          </cell>
          <cell r="L23">
            <v>19000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A24" t="str">
            <v>AS201621</v>
          </cell>
          <cell r="B24" t="str">
            <v>NANKAM APPOLINAIRE</v>
          </cell>
          <cell r="E24">
            <v>0</v>
          </cell>
          <cell r="F24">
            <v>1050595.3035233701</v>
          </cell>
          <cell r="G24">
            <v>1050595.3035233701</v>
          </cell>
          <cell r="H24">
            <v>33078.576637279439</v>
          </cell>
          <cell r="I24">
            <v>1083673.8801606495</v>
          </cell>
          <cell r="J24">
            <v>0</v>
          </cell>
          <cell r="K24">
            <v>25000</v>
          </cell>
          <cell r="L24">
            <v>19000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>
            <v>108000</v>
          </cell>
          <cell r="U24">
            <v>0</v>
          </cell>
          <cell r="V24">
            <v>900000</v>
          </cell>
          <cell r="W24" t="str">
            <v>EN COMPTE</v>
          </cell>
          <cell r="X24" t="str">
            <v>BANQUE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</row>
        <row r="25">
          <cell r="A25" t="str">
            <v>AS201622</v>
          </cell>
          <cell r="B25" t="str">
            <v>NDJOMO ETIENNE</v>
          </cell>
          <cell r="E25">
            <v>0</v>
          </cell>
          <cell r="F25">
            <v>1493704.2518677169</v>
          </cell>
          <cell r="G25">
            <v>1493704.2518677169</v>
          </cell>
          <cell r="H25">
            <v>47030.107980810448</v>
          </cell>
          <cell r="I25">
            <v>1540734.3598485272</v>
          </cell>
          <cell r="J25">
            <v>0</v>
          </cell>
          <cell r="K25">
            <v>35000</v>
          </cell>
          <cell r="L25">
            <v>29000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500000</v>
          </cell>
          <cell r="T25">
            <v>30000</v>
          </cell>
          <cell r="U25">
            <v>0</v>
          </cell>
          <cell r="V25">
            <v>500000</v>
          </cell>
          <cell r="W25" t="str">
            <v>BANQUE</v>
          </cell>
          <cell r="X25" t="str">
            <v>BANQUE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</row>
        <row r="26">
          <cell r="A26" t="str">
            <v>AS201624</v>
          </cell>
          <cell r="B26" t="str">
            <v>NGONDIEP CLAUDE</v>
          </cell>
          <cell r="E26">
            <v>0</v>
          </cell>
          <cell r="F26">
            <v>1658413.7031306592</v>
          </cell>
          <cell r="G26">
            <v>1658413.7031306592</v>
          </cell>
          <cell r="H26">
            <v>52216.076534270942</v>
          </cell>
          <cell r="I26">
            <v>1710629.7796649302</v>
          </cell>
          <cell r="J26">
            <v>0</v>
          </cell>
          <cell r="K26">
            <v>42500</v>
          </cell>
          <cell r="L26">
            <v>36500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>
            <v>120000</v>
          </cell>
          <cell r="U26">
            <v>0</v>
          </cell>
          <cell r="V26">
            <v>1000000</v>
          </cell>
          <cell r="W26" t="str">
            <v>BANQUE</v>
          </cell>
          <cell r="X26" t="str">
            <v>BANQUE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A27" t="str">
            <v>AS201626</v>
          </cell>
          <cell r="B27" t="str">
            <v>NGUIEMEGNI MATHIEU BLAISE</v>
          </cell>
          <cell r="E27">
            <v>0</v>
          </cell>
          <cell r="F27">
            <v>1092185.8189545581</v>
          </cell>
          <cell r="G27">
            <v>1092185.8189545581</v>
          </cell>
          <cell r="H27">
            <v>34388.077115209097</v>
          </cell>
          <cell r="I27">
            <v>1126573.8960697672</v>
          </cell>
          <cell r="J27">
            <v>0</v>
          </cell>
          <cell r="K27">
            <v>18500</v>
          </cell>
          <cell r="L27">
            <v>12500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T27">
            <v>50000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A28" t="str">
            <v>AS201628</v>
          </cell>
          <cell r="B28" t="str">
            <v>NKAMGANG JUSTIN DEJOLIE</v>
          </cell>
          <cell r="E28">
            <v>0</v>
          </cell>
          <cell r="F28">
            <v>1114052.1973891507</v>
          </cell>
          <cell r="G28">
            <v>1114052.1973891507</v>
          </cell>
          <cell r="H28">
            <v>35076.55218491736</v>
          </cell>
          <cell r="I28">
            <v>1149128.749574068</v>
          </cell>
          <cell r="J28">
            <v>0</v>
          </cell>
          <cell r="K28">
            <v>25000</v>
          </cell>
          <cell r="L28">
            <v>19000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 t="str">
            <v>ESPECES</v>
          </cell>
          <cell r="X28" t="str">
            <v>BANQUE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</row>
        <row r="29">
          <cell r="A29" t="str">
            <v>AS201656</v>
          </cell>
          <cell r="B29" t="str">
            <v>NOUBE ETIENNE</v>
          </cell>
          <cell r="E29">
            <v>0</v>
          </cell>
          <cell r="F29">
            <v>1076912.0868724585</v>
          </cell>
          <cell r="G29">
            <v>1076912.0868724585</v>
          </cell>
          <cell r="H29">
            <v>33907.175177497578</v>
          </cell>
          <cell r="I29">
            <v>1110819.262049956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250000</v>
          </cell>
          <cell r="W29" t="str">
            <v>BANQUE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</row>
        <row r="30">
          <cell r="A30" t="str">
            <v>AS201633</v>
          </cell>
          <cell r="B30" t="str">
            <v>PATEGO NJOSSU GUSTAVE</v>
          </cell>
          <cell r="E30">
            <v>0</v>
          </cell>
          <cell r="F30">
            <v>1239673.1329764433</v>
          </cell>
          <cell r="G30">
            <v>1239673.1329764433</v>
          </cell>
          <cell r="H30">
            <v>39031.797112374399</v>
          </cell>
          <cell r="I30">
            <v>1278704.9300888176</v>
          </cell>
          <cell r="J30">
            <v>0</v>
          </cell>
          <cell r="K30">
            <v>25000</v>
          </cell>
          <cell r="L30">
            <v>19000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</row>
        <row r="31">
          <cell r="A31" t="str">
            <v>AS201657</v>
          </cell>
          <cell r="B31" t="str">
            <v>SEUMO POLYCARPE</v>
          </cell>
          <cell r="E31">
            <v>0</v>
          </cell>
          <cell r="F31">
            <v>1085679.1437898132</v>
          </cell>
          <cell r="G31">
            <v>1085679.1437898132</v>
          </cell>
          <cell r="H31">
            <v>34183.210833807418</v>
          </cell>
          <cell r="I31">
            <v>1119862.3546236206</v>
          </cell>
          <cell r="J31">
            <v>0</v>
          </cell>
          <cell r="K31">
            <v>26000</v>
          </cell>
          <cell r="L31">
            <v>20000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900000</v>
          </cell>
          <cell r="T31">
            <v>45000</v>
          </cell>
          <cell r="U31">
            <v>0</v>
          </cell>
          <cell r="V31">
            <v>1000000</v>
          </cell>
          <cell r="W31" t="str">
            <v>BANQUE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E32">
            <v>0</v>
          </cell>
          <cell r="F32">
            <v>1181018.9838578615</v>
          </cell>
          <cell r="G32">
            <v>1181018.9838578615</v>
          </cell>
          <cell r="H32">
            <v>37185.038650570306</v>
          </cell>
          <cell r="I32">
            <v>1218204.0225084317</v>
          </cell>
          <cell r="J32">
            <v>0</v>
          </cell>
          <cell r="K32">
            <v>25000</v>
          </cell>
          <cell r="L32">
            <v>19000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1000000</v>
          </cell>
          <cell r="W32" t="str">
            <v>ESPECES</v>
          </cell>
          <cell r="X32" t="str">
            <v>BANQUE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A33" t="str">
            <v>AS201629</v>
          </cell>
          <cell r="B33" t="str">
            <v>SIMO FONGANG ERIC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332500</v>
          </cell>
          <cell r="M33">
            <v>1000</v>
          </cell>
          <cell r="N33">
            <v>1000</v>
          </cell>
          <cell r="O33">
            <v>4000</v>
          </cell>
          <cell r="P33">
            <v>-3000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A34" t="str">
            <v>AS201638</v>
          </cell>
          <cell r="B34" t="str">
            <v>SIMO PIERRE</v>
          </cell>
          <cell r="E34">
            <v>0</v>
          </cell>
          <cell r="F34">
            <v>1074860.7895001057</v>
          </cell>
          <cell r="G34">
            <v>1074860.7895001057</v>
          </cell>
          <cell r="H34">
            <v>33842.588940428308</v>
          </cell>
          <cell r="I34">
            <v>1108703.378440534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500000</v>
          </cell>
          <cell r="W34" t="str">
            <v>EN COMPTE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A35" t="str">
            <v>AS201641</v>
          </cell>
          <cell r="B35" t="str">
            <v>TCHOUAMOU MATHIEU</v>
          </cell>
          <cell r="E35">
            <v>0</v>
          </cell>
          <cell r="F35">
            <v>1102011.7281972826</v>
          </cell>
          <cell r="G35">
            <v>1102011.7281972826</v>
          </cell>
          <cell r="H35">
            <v>34697.451325075039</v>
          </cell>
          <cell r="I35">
            <v>1136709.1795223576</v>
          </cell>
          <cell r="J35">
            <v>0</v>
          </cell>
          <cell r="K35">
            <v>25000</v>
          </cell>
          <cell r="L35">
            <v>19000</v>
          </cell>
          <cell r="M35">
            <v>1000</v>
          </cell>
          <cell r="N35">
            <v>1000</v>
          </cell>
          <cell r="O35">
            <v>4000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>
            <v>60000</v>
          </cell>
          <cell r="U35">
            <v>0</v>
          </cell>
          <cell r="V35">
            <v>1000000</v>
          </cell>
          <cell r="W35" t="str">
            <v>ESPECES</v>
          </cell>
          <cell r="X35" t="str">
            <v>BANQUE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</row>
        <row r="36">
          <cell r="A36" t="str">
            <v>AS201660</v>
          </cell>
          <cell r="B36" t="str">
            <v>TCHOUATEU AUGUSTIN</v>
          </cell>
          <cell r="E36">
            <v>0</v>
          </cell>
          <cell r="F36">
            <v>1091800.5681563942</v>
          </cell>
          <cell r="G36">
            <v>1091800.5681563942</v>
          </cell>
          <cell r="H36">
            <v>34375.947279858701</v>
          </cell>
          <cell r="I36">
            <v>1126176.5154362528</v>
          </cell>
          <cell r="J36">
            <v>0</v>
          </cell>
          <cell r="K36">
            <v>25000</v>
          </cell>
          <cell r="L36">
            <v>19000</v>
          </cell>
          <cell r="M36">
            <v>1000</v>
          </cell>
          <cell r="N36">
            <v>1000</v>
          </cell>
          <cell r="O36">
            <v>4000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>
            <v>120000</v>
          </cell>
          <cell r="U36">
            <v>0</v>
          </cell>
          <cell r="V36">
            <v>1000000</v>
          </cell>
          <cell r="W36" t="str">
            <v>BANQUE</v>
          </cell>
          <cell r="X36" t="str">
            <v>BANQUE</v>
          </cell>
          <cell r="Y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A37" t="str">
            <v>AS201643</v>
          </cell>
          <cell r="B37" t="str">
            <v>TCHOUTOU NANA CLAUDE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25000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322500</v>
          </cell>
          <cell r="M38">
            <v>1000</v>
          </cell>
          <cell r="N38">
            <v>1000</v>
          </cell>
          <cell r="O38">
            <v>4000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A39" t="str">
            <v>AS201658</v>
          </cell>
          <cell r="B39" t="str">
            <v>YANTCHOU GERVAIS</v>
          </cell>
          <cell r="E39">
            <v>0</v>
          </cell>
          <cell r="F39">
            <v>1070457.7573240378</v>
          </cell>
          <cell r="G39">
            <v>1070457.7573240378</v>
          </cell>
          <cell r="H39">
            <v>33703.95702689889</v>
          </cell>
          <cell r="I39">
            <v>1104161.7143509367</v>
          </cell>
          <cell r="J39">
            <v>0</v>
          </cell>
          <cell r="K39">
            <v>25000</v>
          </cell>
          <cell r="L39">
            <v>19000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500000</v>
          </cell>
          <cell r="T39">
            <v>30000</v>
          </cell>
          <cell r="U39">
            <v>0</v>
          </cell>
          <cell r="V39">
            <v>107500</v>
          </cell>
          <cell r="W39" t="str">
            <v>BANQUE</v>
          </cell>
          <cell r="X39" t="str">
            <v>BANQUE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A40" t="str">
            <v>AS201646</v>
          </cell>
          <cell r="B40" t="str">
            <v>YEPMOU JEAN JACQUES</v>
          </cell>
          <cell r="E40">
            <v>0</v>
          </cell>
          <cell r="F40">
            <v>1886265.7896057479</v>
          </cell>
          <cell r="G40">
            <v>1886265.7896057479</v>
          </cell>
          <cell r="H40">
            <v>59390.126027118866</v>
          </cell>
          <cell r="I40">
            <v>1945655.9156328668</v>
          </cell>
          <cell r="J40">
            <v>0</v>
          </cell>
          <cell r="K40">
            <v>25000</v>
          </cell>
          <cell r="L40">
            <v>19000</v>
          </cell>
          <cell r="M40">
            <v>1000</v>
          </cell>
          <cell r="N40">
            <v>1000</v>
          </cell>
          <cell r="O40">
            <v>4000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A41" t="str">
            <v>AS201659</v>
          </cell>
          <cell r="B41" t="str">
            <v>YIALA ALAIN OSCAR</v>
          </cell>
          <cell r="E41">
            <v>0</v>
          </cell>
          <cell r="F41">
            <v>1095729.5180005529</v>
          </cell>
          <cell r="G41">
            <v>1095729.5180005529</v>
          </cell>
          <cell r="H41">
            <v>34499.652447860281</v>
          </cell>
          <cell r="I41">
            <v>1130229.1704484131</v>
          </cell>
          <cell r="J41">
            <v>0</v>
          </cell>
          <cell r="K41">
            <v>25000</v>
          </cell>
          <cell r="L41">
            <v>19000</v>
          </cell>
          <cell r="M41">
            <v>1000</v>
          </cell>
          <cell r="N41">
            <v>1000</v>
          </cell>
          <cell r="O41">
            <v>4000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A42" t="str">
            <v>AS201647</v>
          </cell>
          <cell r="B42" t="str">
            <v>YOUMBI EMMANUEL</v>
          </cell>
          <cell r="E42">
            <v>0</v>
          </cell>
          <cell r="F42">
            <v>2395244.372980848</v>
          </cell>
          <cell r="G42">
            <v>2395244.372980848</v>
          </cell>
          <cell r="H42">
            <v>75415.599413915377</v>
          </cell>
          <cell r="I42">
            <v>2470659.9723947635</v>
          </cell>
          <cell r="J42">
            <v>0</v>
          </cell>
          <cell r="K42">
            <v>25000</v>
          </cell>
          <cell r="L42">
            <v>19000</v>
          </cell>
          <cell r="M42">
            <v>1000</v>
          </cell>
          <cell r="N42">
            <v>1000</v>
          </cell>
          <cell r="O42">
            <v>4000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J6"/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S6"/>
          <cell r="T6"/>
          <cell r="U6">
            <v>236000</v>
          </cell>
          <cell r="V6"/>
          <cell r="W6"/>
          <cell r="X6"/>
          <cell r="Y6"/>
          <cell r="Z6"/>
          <cell r="AA6"/>
          <cell r="AB6"/>
          <cell r="AC6"/>
          <cell r="AD6">
            <v>7500</v>
          </cell>
          <cell r="AE6">
            <v>10000</v>
          </cell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>
            <v>0</v>
          </cell>
          <cell r="AR6">
            <v>0</v>
          </cell>
          <cell r="AS6"/>
          <cell r="AT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I7"/>
          <cell r="J7">
            <v>1</v>
          </cell>
          <cell r="K7">
            <v>50000</v>
          </cell>
          <cell r="L7"/>
          <cell r="M7">
            <v>0</v>
          </cell>
          <cell r="N7"/>
          <cell r="O7">
            <v>0</v>
          </cell>
          <cell r="P7">
            <v>0</v>
          </cell>
          <cell r="Q7">
            <v>0</v>
          </cell>
          <cell r="R7">
            <v>0</v>
          </cell>
          <cell r="S7"/>
          <cell r="T7"/>
          <cell r="U7">
            <v>50000</v>
          </cell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>
            <v>0</v>
          </cell>
          <cell r="AR7">
            <v>0</v>
          </cell>
          <cell r="AS7">
            <v>25000</v>
          </cell>
          <cell r="AT7"/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I8"/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N8"/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/>
          <cell r="U8">
            <v>625000</v>
          </cell>
          <cell r="V8"/>
          <cell r="W8"/>
          <cell r="X8"/>
          <cell r="Y8"/>
          <cell r="Z8">
            <v>500000</v>
          </cell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>
            <v>0</v>
          </cell>
          <cell r="AR8">
            <v>0</v>
          </cell>
          <cell r="AS8">
            <v>25000</v>
          </cell>
          <cell r="AT8"/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I9"/>
          <cell r="J9">
            <v>1</v>
          </cell>
          <cell r="K9">
            <v>50000</v>
          </cell>
          <cell r="L9"/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T9"/>
          <cell r="U9">
            <v>1351000</v>
          </cell>
          <cell r="V9"/>
          <cell r="W9"/>
          <cell r="X9"/>
          <cell r="Y9"/>
          <cell r="Z9">
            <v>1000000</v>
          </cell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>
            <v>0</v>
          </cell>
          <cell r="AR9">
            <v>0</v>
          </cell>
          <cell r="AS9">
            <v>25000</v>
          </cell>
          <cell r="AT9"/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I10"/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N10"/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T10"/>
          <cell r="U10">
            <v>1318000</v>
          </cell>
          <cell r="V10"/>
          <cell r="W10"/>
          <cell r="X10"/>
          <cell r="Y10"/>
          <cell r="Z10">
            <v>1000000</v>
          </cell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>
            <v>0</v>
          </cell>
          <cell r="AR10">
            <v>0</v>
          </cell>
          <cell r="AS10">
            <v>25000</v>
          </cell>
          <cell r="AT10"/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I11"/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N11"/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S11"/>
          <cell r="T11"/>
          <cell r="U11">
            <v>228000</v>
          </cell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>
            <v>0</v>
          </cell>
          <cell r="AR11">
            <v>0</v>
          </cell>
          <cell r="AS11">
            <v>25000</v>
          </cell>
          <cell r="AT11"/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T12"/>
          <cell r="U12">
            <v>1037500</v>
          </cell>
          <cell r="V12"/>
          <cell r="W12"/>
          <cell r="X12"/>
          <cell r="Y12"/>
          <cell r="Z12">
            <v>1000000</v>
          </cell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>
            <v>0</v>
          </cell>
          <cell r="AR12">
            <v>0</v>
          </cell>
          <cell r="AS12">
            <v>30000</v>
          </cell>
          <cell r="AT12"/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/>
          <cell r="J13">
            <v>1</v>
          </cell>
          <cell r="K13">
            <v>50000</v>
          </cell>
          <cell r="L13"/>
          <cell r="M13">
            <v>0</v>
          </cell>
          <cell r="N13"/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T13"/>
          <cell r="U13">
            <v>1050000</v>
          </cell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>
            <v>0</v>
          </cell>
          <cell r="AR13">
            <v>0</v>
          </cell>
          <cell r="AS13">
            <v>25000</v>
          </cell>
          <cell r="AT13"/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I14"/>
          <cell r="J14">
            <v>1</v>
          </cell>
          <cell r="K14">
            <v>50000</v>
          </cell>
          <cell r="L14"/>
          <cell r="M14">
            <v>0</v>
          </cell>
          <cell r="N14"/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/>
          <cell r="T14"/>
          <cell r="U14">
            <v>50000</v>
          </cell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>
            <v>0</v>
          </cell>
          <cell r="AR14">
            <v>0</v>
          </cell>
          <cell r="AS14">
            <v>25000</v>
          </cell>
          <cell r="AT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I15"/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N15"/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/>
          <cell r="T15"/>
          <cell r="U15">
            <v>125000</v>
          </cell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>
            <v>0</v>
          </cell>
          <cell r="AR15">
            <v>0</v>
          </cell>
          <cell r="AS15">
            <v>25000</v>
          </cell>
          <cell r="AT15"/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T16"/>
          <cell r="U16">
            <v>1684000</v>
          </cell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>
            <v>0</v>
          </cell>
          <cell r="AR16">
            <v>0</v>
          </cell>
          <cell r="AS16">
            <v>80000</v>
          </cell>
          <cell r="AT16"/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L17"/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T17"/>
          <cell r="U17">
            <v>430000</v>
          </cell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>
            <v>0</v>
          </cell>
          <cell r="AR17">
            <v>0</v>
          </cell>
          <cell r="AS17">
            <v>30500</v>
          </cell>
          <cell r="AT17"/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L18"/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T18"/>
          <cell r="U18">
            <v>611000</v>
          </cell>
          <cell r="V18"/>
          <cell r="W18"/>
          <cell r="X18"/>
          <cell r="Y18"/>
          <cell r="Z18">
            <v>1000000</v>
          </cell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>
            <v>0</v>
          </cell>
          <cell r="AR18">
            <v>0</v>
          </cell>
          <cell r="AS18">
            <v>35000</v>
          </cell>
          <cell r="AT18"/>
        </row>
        <row r="19">
          <cell r="A19" t="str">
            <v>AS201661</v>
          </cell>
          <cell r="B19" t="str">
            <v>MASSEUNGOUE DAGOBERT</v>
          </cell>
          <cell r="C19">
            <v>-487500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L19"/>
          <cell r="M19">
            <v>0</v>
          </cell>
          <cell r="N19"/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/>
          <cell r="T19"/>
          <cell r="U19">
            <v>347500</v>
          </cell>
          <cell r="V19"/>
          <cell r="W19"/>
          <cell r="X19"/>
          <cell r="Y19"/>
          <cell r="Z19"/>
          <cell r="AA19"/>
          <cell r="AB19"/>
          <cell r="AC19">
            <v>2500</v>
          </cell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>
            <v>0</v>
          </cell>
          <cell r="AR19">
            <v>0</v>
          </cell>
          <cell r="AS19">
            <v>322500</v>
          </cell>
          <cell r="AT19"/>
        </row>
        <row r="20">
          <cell r="A20" t="str">
            <v>AS201649</v>
          </cell>
          <cell r="B20" t="str">
            <v>MBOGNING TUGMA GUY</v>
          </cell>
          <cell r="C20">
            <v>-66700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I20"/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T20"/>
          <cell r="U20">
            <v>1761000</v>
          </cell>
          <cell r="V20"/>
          <cell r="W20"/>
          <cell r="X20"/>
          <cell r="Y20"/>
          <cell r="Z20">
            <v>1000000</v>
          </cell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>
            <v>0</v>
          </cell>
          <cell r="AR20">
            <v>0</v>
          </cell>
          <cell r="AS20">
            <v>25000</v>
          </cell>
          <cell r="AT20"/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I21"/>
          <cell r="J21">
            <v>1</v>
          </cell>
          <cell r="K21">
            <v>50000</v>
          </cell>
          <cell r="L21"/>
          <cell r="M21">
            <v>0</v>
          </cell>
          <cell r="N21"/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T21"/>
          <cell r="U21">
            <v>350000</v>
          </cell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>
            <v>0</v>
          </cell>
          <cell r="AR21">
            <v>0</v>
          </cell>
          <cell r="AS21">
            <v>25000</v>
          </cell>
          <cell r="AT21"/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/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/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T22"/>
          <cell r="U22">
            <v>232500</v>
          </cell>
          <cell r="V22"/>
          <cell r="W22"/>
          <cell r="X22"/>
          <cell r="Y22"/>
          <cell r="Z22">
            <v>900000</v>
          </cell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>
            <v>0</v>
          </cell>
          <cell r="AR22">
            <v>0</v>
          </cell>
          <cell r="AS22">
            <v>25000</v>
          </cell>
          <cell r="AT22"/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L23"/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T23"/>
          <cell r="U23">
            <v>1164000</v>
          </cell>
          <cell r="V23"/>
          <cell r="W23"/>
          <cell r="X23"/>
          <cell r="Y23"/>
          <cell r="Z23">
            <v>500000</v>
          </cell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>
            <v>0</v>
          </cell>
          <cell r="AR23">
            <v>0</v>
          </cell>
          <cell r="AS23">
            <v>35000</v>
          </cell>
          <cell r="AT23"/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T24"/>
          <cell r="U24">
            <v>942000</v>
          </cell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>
            <v>0</v>
          </cell>
          <cell r="AR24">
            <v>0</v>
          </cell>
          <cell r="AS24">
            <v>38000</v>
          </cell>
          <cell r="AT24"/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/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/>
          <cell r="U25">
            <v>1375000</v>
          </cell>
          <cell r="V25"/>
          <cell r="W25"/>
          <cell r="X25"/>
          <cell r="Y25"/>
          <cell r="Z25">
            <v>1000000</v>
          </cell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>
            <v>0</v>
          </cell>
          <cell r="AR25">
            <v>0</v>
          </cell>
          <cell r="AS25">
            <v>25000</v>
          </cell>
          <cell r="AT25"/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I26"/>
          <cell r="J26">
            <v>1</v>
          </cell>
          <cell r="K26">
            <v>50000</v>
          </cell>
          <cell r="L26"/>
          <cell r="M26">
            <v>0</v>
          </cell>
          <cell r="N26"/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T26"/>
          <cell r="U26">
            <v>1050000</v>
          </cell>
          <cell r="V26"/>
          <cell r="W26"/>
          <cell r="X26"/>
          <cell r="Y26"/>
          <cell r="Z26">
            <v>1000000</v>
          </cell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>
            <v>0</v>
          </cell>
          <cell r="AR26">
            <v>0</v>
          </cell>
          <cell r="AS26">
            <v>25000</v>
          </cell>
          <cell r="AT26"/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/>
          <cell r="J27">
            <v>1</v>
          </cell>
          <cell r="K27">
            <v>50000</v>
          </cell>
          <cell r="L27"/>
          <cell r="M27">
            <v>0</v>
          </cell>
          <cell r="N27"/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T27"/>
          <cell r="U27">
            <v>100000</v>
          </cell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>
            <v>0</v>
          </cell>
          <cell r="AR27">
            <v>0</v>
          </cell>
          <cell r="AS27">
            <v>25000</v>
          </cell>
          <cell r="AT27"/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N28"/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/>
          <cell r="T28"/>
          <cell r="U28">
            <v>152000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>
            <v>0</v>
          </cell>
          <cell r="AR28">
            <v>0</v>
          </cell>
          <cell r="AS28">
            <v>52000</v>
          </cell>
          <cell r="AT28"/>
        </row>
        <row r="29">
          <cell r="A29" t="str">
            <v>AS201657</v>
          </cell>
          <cell r="B29" t="str">
            <v>SEUMO POLYCARPE</v>
          </cell>
          <cell r="C29">
            <v>-115000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L29"/>
          <cell r="M29">
            <v>0</v>
          </cell>
          <cell r="N29"/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S29"/>
          <cell r="T29"/>
          <cell r="U29">
            <v>110000</v>
          </cell>
          <cell r="V29"/>
          <cell r="W29"/>
          <cell r="X29"/>
          <cell r="Y29"/>
          <cell r="Z29">
            <v>1000000</v>
          </cell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>
            <v>0</v>
          </cell>
          <cell r="AR29">
            <v>0</v>
          </cell>
          <cell r="AS29">
            <v>24000</v>
          </cell>
          <cell r="AT29"/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I30"/>
          <cell r="J30">
            <v>1</v>
          </cell>
          <cell r="K30">
            <v>50000</v>
          </cell>
          <cell r="L30"/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T30"/>
          <cell r="U30">
            <v>1452000</v>
          </cell>
          <cell r="V30"/>
          <cell r="W30"/>
          <cell r="X30"/>
          <cell r="Y30"/>
          <cell r="Z30">
            <v>1000000</v>
          </cell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>
            <v>0</v>
          </cell>
          <cell r="AR30">
            <v>0</v>
          </cell>
          <cell r="AS30">
            <v>25000</v>
          </cell>
          <cell r="AT30"/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I31"/>
          <cell r="J31">
            <v>1</v>
          </cell>
          <cell r="K31">
            <v>50000</v>
          </cell>
          <cell r="L31"/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/>
          <cell r="U31">
            <v>1150000</v>
          </cell>
          <cell r="V31"/>
          <cell r="W31"/>
          <cell r="X31"/>
          <cell r="Y31"/>
          <cell r="Z31">
            <v>1000000</v>
          </cell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>
            <v>0</v>
          </cell>
          <cell r="AR31">
            <v>0</v>
          </cell>
          <cell r="AS31">
            <v>25000</v>
          </cell>
          <cell r="AT31"/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/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N32"/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S32"/>
          <cell r="T32"/>
          <cell r="U32">
            <v>327000</v>
          </cell>
          <cell r="V32"/>
          <cell r="W32"/>
          <cell r="X32"/>
          <cell r="Y32"/>
          <cell r="Z32">
            <v>1000000</v>
          </cell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>
            <v>0</v>
          </cell>
          <cell r="AR32">
            <v>0</v>
          </cell>
          <cell r="AS32">
            <v>25000</v>
          </cell>
          <cell r="AT32"/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L33"/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>
            <v>160000</v>
          </cell>
          <cell r="V33"/>
          <cell r="W33"/>
          <cell r="X33"/>
          <cell r="Y33"/>
          <cell r="Z33">
            <v>1000000</v>
          </cell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>
            <v>0</v>
          </cell>
          <cell r="AR33">
            <v>0</v>
          </cell>
          <cell r="AS33">
            <v>35000</v>
          </cell>
          <cell r="AT33"/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L34"/>
          <cell r="M34">
            <v>0</v>
          </cell>
          <cell r="N34"/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>
            <v>347500</v>
          </cell>
          <cell r="V34"/>
          <cell r="W34"/>
          <cell r="X34"/>
          <cell r="Y34"/>
          <cell r="Z34"/>
          <cell r="AA34"/>
          <cell r="AB34"/>
          <cell r="AC34">
            <v>2500</v>
          </cell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>
            <v>0</v>
          </cell>
          <cell r="AR34">
            <v>0</v>
          </cell>
          <cell r="AS34">
            <v>322500</v>
          </cell>
          <cell r="AT34"/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/>
          <cell r="J35">
            <v>1</v>
          </cell>
          <cell r="K35">
            <v>50000</v>
          </cell>
          <cell r="L35"/>
          <cell r="M35">
            <v>0</v>
          </cell>
          <cell r="N35"/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T35"/>
          <cell r="U35">
            <v>350000</v>
          </cell>
          <cell r="V35"/>
          <cell r="W35"/>
          <cell r="X35"/>
          <cell r="Y35"/>
          <cell r="Z35">
            <v>1000000</v>
          </cell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>
            <v>0</v>
          </cell>
          <cell r="AR35">
            <v>0</v>
          </cell>
          <cell r="AS35">
            <v>25000</v>
          </cell>
          <cell r="AT35"/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I36"/>
          <cell r="J36">
            <v>1</v>
          </cell>
          <cell r="K36">
            <v>50000</v>
          </cell>
          <cell r="L36"/>
          <cell r="M36">
            <v>0</v>
          </cell>
          <cell r="N36"/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50000</v>
          </cell>
          <cell r="V36"/>
          <cell r="W36"/>
          <cell r="X36"/>
          <cell r="Y36"/>
          <cell r="Z36"/>
          <cell r="AA36"/>
          <cell r="AB36"/>
          <cell r="AC36">
            <v>2500</v>
          </cell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>
            <v>0</v>
          </cell>
          <cell r="AR36">
            <v>0</v>
          </cell>
          <cell r="AS36">
            <v>25000</v>
          </cell>
          <cell r="AT36"/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I37"/>
          <cell r="J37">
            <v>1</v>
          </cell>
          <cell r="K37">
            <v>50000</v>
          </cell>
          <cell r="L37"/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>
            <v>150000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>
            <v>0</v>
          </cell>
          <cell r="AR37">
            <v>0</v>
          </cell>
          <cell r="AS37">
            <v>25000</v>
          </cell>
          <cell r="AT37"/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I38"/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N38"/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125000</v>
          </cell>
          <cell r="V38"/>
          <cell r="W38"/>
          <cell r="X38"/>
          <cell r="Y38"/>
          <cell r="Z38">
            <v>500000</v>
          </cell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>
            <v>0</v>
          </cell>
          <cell r="AR38">
            <v>0</v>
          </cell>
          <cell r="AS38">
            <v>25000</v>
          </cell>
          <cell r="AT38"/>
        </row>
        <row r="39">
          <cell r="P39"/>
          <cell r="Q39"/>
          <cell r="R39"/>
          <cell r="S39"/>
        </row>
        <row r="40">
          <cell r="B40" t="str">
            <v>TOTAUX</v>
          </cell>
          <cell r="C40">
            <v>-2706700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T40"/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B40"/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H40"/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1529500</v>
          </cell>
          <cell r="AT40">
            <v>0</v>
          </cell>
          <cell r="AU40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2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/>
      <sheetData sheetId="1"/>
      <sheetData sheetId="2"/>
      <sheetData sheetId="3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227000</v>
          </cell>
          <cell r="BA6">
            <v>27000</v>
          </cell>
          <cell r="BD6">
            <v>200000</v>
          </cell>
          <cell r="BE6" t="str">
            <v>OK</v>
          </cell>
          <cell r="BF6">
            <v>0</v>
          </cell>
          <cell r="BG6">
            <v>11</v>
          </cell>
          <cell r="BH6">
            <v>27000</v>
          </cell>
          <cell r="BI6">
            <v>200000</v>
          </cell>
          <cell r="BJ6">
            <v>0</v>
          </cell>
          <cell r="BN6">
            <v>300000</v>
          </cell>
          <cell r="BO6" t="str">
            <v>ACHAT FOURNITURE</v>
          </cell>
          <cell r="BP6" t="str">
            <v>FONDS DE ROULEMENT</v>
          </cell>
          <cell r="BQ6">
            <v>8500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600000</v>
          </cell>
          <cell r="BD7">
            <v>0</v>
          </cell>
          <cell r="BF7">
            <v>6000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E9">
            <v>115000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1085000</v>
          </cell>
          <cell r="AZ9">
            <v>1085000</v>
          </cell>
          <cell r="BA9">
            <v>500000</v>
          </cell>
          <cell r="BD9">
            <v>585000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  <cell r="BQ9">
            <v>18500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J10">
            <v>100000</v>
          </cell>
          <cell r="AM10">
            <v>2000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U11">
            <v>125000</v>
          </cell>
          <cell r="AJ11">
            <v>100000</v>
          </cell>
          <cell r="AM11">
            <v>2000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D12">
            <v>60000</v>
          </cell>
          <cell r="AF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840000</v>
          </cell>
          <cell r="AY12">
            <v>0</v>
          </cell>
          <cell r="AZ12">
            <v>840000</v>
          </cell>
          <cell r="BD12">
            <v>840000</v>
          </cell>
          <cell r="BE12" t="str">
            <v>OK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0</v>
          </cell>
          <cell r="E14">
            <v>50000</v>
          </cell>
          <cell r="F14">
            <v>0</v>
          </cell>
          <cell r="G14">
            <v>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  <cell r="BQ14"/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C16">
            <v>12000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288000</v>
          </cell>
          <cell r="AX16">
            <v>0</v>
          </cell>
          <cell r="AY16">
            <v>0</v>
          </cell>
          <cell r="AZ16">
            <v>288000</v>
          </cell>
          <cell r="BD16">
            <v>288000</v>
          </cell>
          <cell r="BE16" t="str">
            <v>OK</v>
          </cell>
          <cell r="BF16">
            <v>0</v>
          </cell>
          <cell r="BG16">
            <v>11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150000</v>
          </cell>
          <cell r="Z17">
            <v>1000000</v>
          </cell>
          <cell r="AK17">
            <v>100000</v>
          </cell>
          <cell r="AN17">
            <v>1000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100000</v>
          </cell>
          <cell r="AZ17">
            <v>1150000</v>
          </cell>
          <cell r="BA17">
            <v>100000</v>
          </cell>
          <cell r="BD17">
            <v>1050000</v>
          </cell>
          <cell r="BE17" t="str">
            <v>OK</v>
          </cell>
          <cell r="BF17">
            <v>110000</v>
          </cell>
          <cell r="BG17">
            <v>11</v>
          </cell>
          <cell r="BK17">
            <v>100000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AC18">
            <v>13000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287000</v>
          </cell>
          <cell r="AX18">
            <v>0</v>
          </cell>
          <cell r="AY18">
            <v>0</v>
          </cell>
          <cell r="AZ18">
            <v>287000</v>
          </cell>
          <cell r="BD18">
            <v>287000</v>
          </cell>
          <cell r="BE18" t="str">
            <v>OK</v>
          </cell>
          <cell r="BF18">
            <v>0</v>
          </cell>
          <cell r="BG18">
            <v>11</v>
          </cell>
          <cell r="BO18" t="str">
            <v>TERRAIN NYOM</v>
          </cell>
          <cell r="BP18" t="str">
            <v>AUTRES DEPENSES</v>
          </cell>
          <cell r="BQ18">
            <v>300000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25000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75000</v>
          </cell>
          <cell r="W19">
            <v>25000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E20">
            <v>115000</v>
          </cell>
          <cell r="AF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1085000</v>
          </cell>
          <cell r="AZ20">
            <v>1085000</v>
          </cell>
          <cell r="BD20">
            <v>1085000</v>
          </cell>
          <cell r="BE20" t="str">
            <v>OK</v>
          </cell>
          <cell r="BF20">
            <v>0</v>
          </cell>
          <cell r="BG20">
            <v>11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S/TOTAL</v>
          </cell>
          <cell r="BQ22">
            <v>300000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56000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225000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225000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11</v>
          </cell>
          <cell r="BO24" t="str">
            <v>GRATIFICATION BUREAU 2023</v>
          </cell>
          <cell r="BP24" t="str">
            <v>FRAIS EXEPTIONNEL</v>
          </cell>
          <cell r="BQ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D25">
            <v>65000</v>
          </cell>
          <cell r="AE25">
            <v>125000</v>
          </cell>
          <cell r="AF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835000</v>
          </cell>
          <cell r="AY25">
            <v>1075000</v>
          </cell>
          <cell r="AZ25">
            <v>1910000</v>
          </cell>
          <cell r="BD25">
            <v>1910000</v>
          </cell>
          <cell r="BE25" t="str">
            <v>OK</v>
          </cell>
          <cell r="BF25">
            <v>0</v>
          </cell>
          <cell r="BG25">
            <v>11</v>
          </cell>
          <cell r="BO25" t="str">
            <v>DOSSIER TECHNIQUE NGIEMENI</v>
          </cell>
          <cell r="BP25" t="str">
            <v>FRAIS EXEPTIONNEL</v>
          </cell>
          <cell r="BQ25"/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50000</v>
          </cell>
          <cell r="E26">
            <v>50000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C26">
            <v>13000</v>
          </cell>
          <cell r="AF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287000</v>
          </cell>
          <cell r="AX26">
            <v>0</v>
          </cell>
          <cell r="AY26">
            <v>0</v>
          </cell>
          <cell r="AZ26">
            <v>287000</v>
          </cell>
          <cell r="BA26">
            <v>7000</v>
          </cell>
          <cell r="BD26">
            <v>280000</v>
          </cell>
          <cell r="BE26" t="str">
            <v>OK</v>
          </cell>
          <cell r="BF26">
            <v>0</v>
          </cell>
          <cell r="BG26">
            <v>11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11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11</v>
          </cell>
          <cell r="BO28" t="str">
            <v>S/TOTAL</v>
          </cell>
          <cell r="BQ28">
            <v>200000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450000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500000</v>
          </cell>
          <cell r="AQ29">
            <v>0</v>
          </cell>
          <cell r="AR29">
            <v>0</v>
          </cell>
          <cell r="AS29">
            <v>475000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940000</v>
          </cell>
          <cell r="BD32">
            <v>940000</v>
          </cell>
          <cell r="BE32" t="str">
            <v>OK</v>
          </cell>
          <cell r="BF32">
            <v>60000</v>
          </cell>
          <cell r="BG32">
            <v>6</v>
          </cell>
        </row>
        <row r="33">
          <cell r="A33" t="str">
            <v>AS201660</v>
          </cell>
          <cell r="B33" t="str">
            <v>TCHOUATEU AUGUSTIN</v>
          </cell>
          <cell r="C33">
            <v>120000</v>
          </cell>
          <cell r="D33">
            <v>540000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245000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420000</v>
          </cell>
          <cell r="W33">
            <v>25000</v>
          </cell>
          <cell r="AQ33">
            <v>0</v>
          </cell>
          <cell r="AR33">
            <v>0</v>
          </cell>
          <cell r="AS33">
            <v>270000</v>
          </cell>
          <cell r="AT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11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11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AS201646</v>
          </cell>
          <cell r="B36" t="str">
            <v>YEPMOU JEAN JACQUES</v>
          </cell>
          <cell r="C36">
            <v>53000</v>
          </cell>
          <cell r="D36">
            <v>50000</v>
          </cell>
          <cell r="E36">
            <v>50000</v>
          </cell>
          <cell r="F36">
            <v>0</v>
          </cell>
          <cell r="G36">
            <v>-3000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47000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25000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175000</v>
          </cell>
          <cell r="W37">
            <v>25000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229000</v>
          </cell>
          <cell r="D40">
            <v>5456000</v>
          </cell>
          <cell r="E40">
            <v>200000</v>
          </cell>
          <cell r="F40">
            <v>0</v>
          </cell>
          <cell r="G40">
            <v>-3000</v>
          </cell>
          <cell r="H40">
            <v>0</v>
          </cell>
          <cell r="I40">
            <v>755000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U40">
            <v>5427000</v>
          </cell>
          <cell r="V40">
            <v>0</v>
          </cell>
          <cell r="W40">
            <v>75000</v>
          </cell>
          <cell r="X40">
            <v>0</v>
          </cell>
          <cell r="Y40">
            <v>0</v>
          </cell>
          <cell r="Z40">
            <v>2000000</v>
          </cell>
          <cell r="AA40">
            <v>0</v>
          </cell>
          <cell r="AC40">
            <v>38000</v>
          </cell>
          <cell r="AD40">
            <v>125000</v>
          </cell>
          <cell r="AE40">
            <v>355000</v>
          </cell>
          <cell r="AF40">
            <v>0</v>
          </cell>
          <cell r="AG40">
            <v>0</v>
          </cell>
          <cell r="AI40">
            <v>0</v>
          </cell>
          <cell r="AJ40">
            <v>200000</v>
          </cell>
          <cell r="AK40">
            <v>100000</v>
          </cell>
          <cell r="AL40">
            <v>0</v>
          </cell>
          <cell r="AM40">
            <v>4000</v>
          </cell>
          <cell r="AN40">
            <v>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127000</v>
          </cell>
          <cell r="BD6">
            <v>127000</v>
          </cell>
          <cell r="BE6" t="str">
            <v>OK</v>
          </cell>
          <cell r="BF6">
            <v>0</v>
          </cell>
          <cell r="BG6">
            <v>10</v>
          </cell>
          <cell r="BH6">
            <v>27000</v>
          </cell>
          <cell r="BI6">
            <v>0</v>
          </cell>
          <cell r="BJ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  <cell r="BQ6">
            <v>3000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56000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60000</v>
          </cell>
          <cell r="AL7">
            <v>1000</v>
          </cell>
          <cell r="AQ7">
            <v>0</v>
          </cell>
          <cell r="AR7">
            <v>0</v>
          </cell>
          <cell r="AS7">
            <v>25000</v>
          </cell>
          <cell r="AW7">
            <v>60000</v>
          </cell>
          <cell r="AX7">
            <v>0</v>
          </cell>
          <cell r="AY7">
            <v>0</v>
          </cell>
          <cell r="AZ7">
            <v>60000</v>
          </cell>
          <cell r="BD7">
            <v>60000</v>
          </cell>
          <cell r="BE7" t="str">
            <v>OK</v>
          </cell>
          <cell r="BF7">
            <v>6000</v>
          </cell>
          <cell r="BG7">
            <v>10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100000</v>
          </cell>
          <cell r="E8">
            <v>25000</v>
          </cell>
          <cell r="F8">
            <v>0</v>
          </cell>
          <cell r="G8">
            <v>3000</v>
          </cell>
          <cell r="H8" t="str">
            <v>BANQUE</v>
          </cell>
          <cell r="I8">
            <v>-3000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10</v>
          </cell>
          <cell r="BO8" t="str">
            <v>COMMISSION</v>
          </cell>
          <cell r="BP8" t="str">
            <v>FONDS DE ROULEMENT</v>
          </cell>
          <cell r="BQ8">
            <v>12000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105000</v>
          </cell>
          <cell r="F10">
            <v>0</v>
          </cell>
          <cell r="G10">
            <v>3000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R10">
            <v>0</v>
          </cell>
          <cell r="U10">
            <v>230000</v>
          </cell>
          <cell r="AI10">
            <v>60000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0</v>
          </cell>
          <cell r="AY10">
            <v>0</v>
          </cell>
          <cell r="AZ10">
            <v>60000</v>
          </cell>
          <cell r="BA10">
            <v>60000</v>
          </cell>
          <cell r="BD10">
            <v>0</v>
          </cell>
          <cell r="BF10">
            <v>0</v>
          </cell>
          <cell r="BG10">
            <v>10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227000</v>
          </cell>
          <cell r="E11">
            <v>0</v>
          </cell>
          <cell r="F11">
            <v>1000000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102000</v>
          </cell>
          <cell r="R11">
            <v>0</v>
          </cell>
          <cell r="S11">
            <v>1000000</v>
          </cell>
          <cell r="U11">
            <v>1227000</v>
          </cell>
          <cell r="Z11">
            <v>1000000</v>
          </cell>
          <cell r="AC11">
            <v>16000</v>
          </cell>
          <cell r="AD11">
            <v>16000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284000</v>
          </cell>
          <cell r="AX11">
            <v>884000</v>
          </cell>
          <cell r="AY11">
            <v>0</v>
          </cell>
          <cell r="AZ11">
            <v>1148000</v>
          </cell>
          <cell r="BA11">
            <v>168000</v>
          </cell>
          <cell r="BD11">
            <v>878000</v>
          </cell>
          <cell r="BE11" t="str">
            <v>OK</v>
          </cell>
          <cell r="BF11">
            <v>20000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K12">
            <v>131000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131000</v>
          </cell>
          <cell r="AZ12">
            <v>131000</v>
          </cell>
          <cell r="BA12">
            <v>66700</v>
          </cell>
          <cell r="BD12">
            <v>69300</v>
          </cell>
          <cell r="BE12" t="str">
            <v>OK</v>
          </cell>
          <cell r="BF12">
            <v>0</v>
          </cell>
          <cell r="BG12">
            <v>10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O16" t="str">
            <v>S/TOTAL</v>
          </cell>
          <cell r="BQ16">
            <v>27000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251000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251000</v>
          </cell>
          <cell r="AC17">
            <v>17000</v>
          </cell>
          <cell r="AF17" t="str">
            <v>BANQUE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283000</v>
          </cell>
          <cell r="AX17">
            <v>0</v>
          </cell>
          <cell r="AY17">
            <v>0</v>
          </cell>
          <cell r="AZ17">
            <v>283000</v>
          </cell>
          <cell r="BD17">
            <v>283000</v>
          </cell>
          <cell r="BE17" t="str">
            <v>OK</v>
          </cell>
          <cell r="BF17">
            <v>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E18">
            <v>40000</v>
          </cell>
          <cell r="AF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1160000</v>
          </cell>
          <cell r="AZ18">
            <v>1160000</v>
          </cell>
          <cell r="BD18">
            <v>1160000</v>
          </cell>
          <cell r="BE18" t="str">
            <v>OK</v>
          </cell>
          <cell r="BF18">
            <v>0</v>
          </cell>
          <cell r="BG18">
            <v>10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0</v>
          </cell>
          <cell r="U20">
            <v>225000</v>
          </cell>
          <cell r="AD20">
            <v>16000</v>
          </cell>
          <cell r="AF20" t="str">
            <v>BANQUE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884000</v>
          </cell>
          <cell r="AY20">
            <v>200000</v>
          </cell>
          <cell r="AZ20">
            <v>1084000</v>
          </cell>
          <cell r="BA20">
            <v>140000</v>
          </cell>
          <cell r="BD20">
            <v>944000</v>
          </cell>
          <cell r="BE20" t="str">
            <v>OK</v>
          </cell>
          <cell r="BF20">
            <v>0</v>
          </cell>
          <cell r="BG20">
            <v>10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10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0</v>
          </cell>
          <cell r="U23">
            <v>260000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0</v>
          </cell>
          <cell r="AZ24">
            <v>100000</v>
          </cell>
          <cell r="BD24">
            <v>100000</v>
          </cell>
          <cell r="BE24" t="str">
            <v>OK</v>
          </cell>
          <cell r="BF24">
            <v>0</v>
          </cell>
          <cell r="BG24">
            <v>10</v>
          </cell>
          <cell r="BK24">
            <v>100000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375000</v>
          </cell>
          <cell r="AK25">
            <v>100000</v>
          </cell>
          <cell r="AN25">
            <v>1500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10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10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10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51000</v>
          </cell>
          <cell r="AL29">
            <v>1000</v>
          </cell>
          <cell r="AQ29">
            <v>0</v>
          </cell>
          <cell r="AR29">
            <v>0</v>
          </cell>
          <cell r="AS29">
            <v>25000</v>
          </cell>
          <cell r="AW29">
            <v>51000</v>
          </cell>
          <cell r="AX29">
            <v>0</v>
          </cell>
          <cell r="AY29">
            <v>0</v>
          </cell>
          <cell r="AZ29">
            <v>51000</v>
          </cell>
          <cell r="BD29">
            <v>51000</v>
          </cell>
          <cell r="BE29" t="str">
            <v>OK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E30">
            <v>35000</v>
          </cell>
          <cell r="AF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1165000</v>
          </cell>
          <cell r="AZ30">
            <v>1165000</v>
          </cell>
          <cell r="BD30">
            <v>1165000</v>
          </cell>
          <cell r="BE30" t="str">
            <v>OK</v>
          </cell>
          <cell r="BF30">
            <v>0</v>
          </cell>
          <cell r="BG30">
            <v>10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10</v>
          </cell>
          <cell r="BO32" t="str">
            <v>FUNERAILLE JOSUE DJOSSE</v>
          </cell>
          <cell r="BQ32">
            <v>100000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180000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30000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180000</v>
          </cell>
          <cell r="AQ33">
            <v>0</v>
          </cell>
          <cell r="AR33">
            <v>0</v>
          </cell>
          <cell r="AS33">
            <v>55000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10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  <cell r="BO34" t="str">
            <v>S/TOTAL</v>
          </cell>
          <cell r="BQ34">
            <v>200000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10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6000</v>
          </cell>
          <cell r="D40">
            <v>4749000</v>
          </cell>
          <cell r="E40">
            <v>534700</v>
          </cell>
          <cell r="F40">
            <v>1000000</v>
          </cell>
          <cell r="G40">
            <v>9000</v>
          </cell>
          <cell r="H40">
            <v>0</v>
          </cell>
          <cell r="I40">
            <v>112000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0</v>
          </cell>
          <cell r="Q40">
            <v>204000</v>
          </cell>
          <cell r="R40">
            <v>101000</v>
          </cell>
          <cell r="S40">
            <v>1000000</v>
          </cell>
          <cell r="U40">
            <v>6026000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33000</v>
          </cell>
          <cell r="AD40">
            <v>32000</v>
          </cell>
          <cell r="AE40">
            <v>75000</v>
          </cell>
          <cell r="AF40">
            <v>0</v>
          </cell>
          <cell r="AG40">
            <v>0</v>
          </cell>
          <cell r="AI40">
            <v>171000</v>
          </cell>
          <cell r="AJ40">
            <v>0</v>
          </cell>
          <cell r="AK40">
            <v>431000</v>
          </cell>
          <cell r="AL40">
            <v>3000</v>
          </cell>
          <cell r="AM40">
            <v>0</v>
          </cell>
          <cell r="AN40">
            <v>4500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48000</v>
          </cell>
          <cell r="BD6">
            <v>48000</v>
          </cell>
          <cell r="BE6" t="str">
            <v>OK</v>
          </cell>
          <cell r="BF6">
            <v>0</v>
          </cell>
          <cell r="BG6">
            <v>9</v>
          </cell>
          <cell r="BH6">
            <v>48000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6000</v>
          </cell>
          <cell r="D7">
            <v>78000</v>
          </cell>
          <cell r="E7">
            <v>61000</v>
          </cell>
          <cell r="F7">
            <v>0</v>
          </cell>
          <cell r="G7">
            <v>0</v>
          </cell>
          <cell r="H7" t="str">
            <v>BANQUE</v>
          </cell>
          <cell r="I7">
            <v>22000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61000</v>
          </cell>
          <cell r="U7">
            <v>133000</v>
          </cell>
          <cell r="AC7">
            <v>10000</v>
          </cell>
          <cell r="AF7" t="str">
            <v>BANQUE</v>
          </cell>
          <cell r="AQ7">
            <v>0</v>
          </cell>
          <cell r="AR7">
            <v>0</v>
          </cell>
          <cell r="AS7">
            <v>47000</v>
          </cell>
          <cell r="AW7">
            <v>290000</v>
          </cell>
          <cell r="AX7">
            <v>0</v>
          </cell>
          <cell r="AY7">
            <v>0</v>
          </cell>
          <cell r="AZ7">
            <v>284000</v>
          </cell>
          <cell r="BD7">
            <v>290000</v>
          </cell>
          <cell r="BE7" t="str">
            <v>OK</v>
          </cell>
          <cell r="BF7">
            <v>6000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25000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25000</v>
          </cell>
          <cell r="BG8">
            <v>9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C9">
            <v>18000</v>
          </cell>
          <cell r="AF9" t="str">
            <v>BANQUE</v>
          </cell>
          <cell r="AK9">
            <v>205500</v>
          </cell>
          <cell r="AN9">
            <v>2000</v>
          </cell>
          <cell r="AQ9">
            <v>0</v>
          </cell>
          <cell r="AR9">
            <v>0</v>
          </cell>
          <cell r="AS9">
            <v>25000</v>
          </cell>
          <cell r="AW9">
            <v>282000</v>
          </cell>
          <cell r="AX9">
            <v>0</v>
          </cell>
          <cell r="AY9">
            <v>205500</v>
          </cell>
          <cell r="AZ9">
            <v>487500</v>
          </cell>
          <cell r="BA9">
            <v>282000</v>
          </cell>
          <cell r="BD9">
            <v>205500</v>
          </cell>
          <cell r="BE9" t="str">
            <v>OK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180000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-6000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0</v>
          </cell>
          <cell r="U10">
            <v>180000</v>
          </cell>
          <cell r="AD10">
            <v>28000</v>
          </cell>
          <cell r="AF10" t="str">
            <v>BANQUE</v>
          </cell>
          <cell r="AI10">
            <v>39000</v>
          </cell>
          <cell r="AL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19000</v>
          </cell>
          <cell r="AW10">
            <v>39000</v>
          </cell>
          <cell r="AX10">
            <v>872000</v>
          </cell>
          <cell r="AY10">
            <v>0</v>
          </cell>
          <cell r="AZ10">
            <v>911000</v>
          </cell>
          <cell r="BA10">
            <v>39000</v>
          </cell>
          <cell r="BD10">
            <v>872000</v>
          </cell>
          <cell r="BE10" t="str">
            <v>OK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0</v>
          </cell>
          <cell r="U11">
            <v>125000</v>
          </cell>
          <cell r="AI11">
            <v>40000</v>
          </cell>
          <cell r="AJ11">
            <v>100000</v>
          </cell>
          <cell r="AL11">
            <v>1000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40000</v>
          </cell>
          <cell r="AX11">
            <v>100000</v>
          </cell>
          <cell r="AY11">
            <v>0</v>
          </cell>
          <cell r="AZ11">
            <v>140000</v>
          </cell>
          <cell r="BA11">
            <v>100000</v>
          </cell>
          <cell r="BD11">
            <v>40000</v>
          </cell>
          <cell r="BE11" t="str">
            <v>OK</v>
          </cell>
          <cell r="BF11">
            <v>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30000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462000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132000</v>
          </cell>
          <cell r="U12">
            <v>462000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18000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O16" t="str">
            <v>S/TOTAL</v>
          </cell>
          <cell r="BQ16">
            <v>48000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500000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S17">
            <v>500000</v>
          </cell>
          <cell r="T17" t="str">
            <v>BANQUE</v>
          </cell>
          <cell r="U17">
            <v>650000</v>
          </cell>
          <cell r="AE17">
            <v>70000</v>
          </cell>
          <cell r="AF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1130000</v>
          </cell>
          <cell r="AZ17">
            <v>630000</v>
          </cell>
          <cell r="BD17">
            <v>630000</v>
          </cell>
          <cell r="BE17" t="str">
            <v>OK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9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9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0</v>
          </cell>
          <cell r="R20">
            <v>202000</v>
          </cell>
          <cell r="U20">
            <v>427000</v>
          </cell>
          <cell r="AJ20">
            <v>89000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89000</v>
          </cell>
          <cell r="AY20">
            <v>200000</v>
          </cell>
          <cell r="AZ20">
            <v>289000</v>
          </cell>
          <cell r="BA20">
            <v>145500</v>
          </cell>
          <cell r="BD20">
            <v>143500</v>
          </cell>
          <cell r="BE20" t="str">
            <v>OK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C22">
            <v>17000</v>
          </cell>
          <cell r="AF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283000</v>
          </cell>
          <cell r="AX22">
            <v>0</v>
          </cell>
          <cell r="AY22">
            <v>0</v>
          </cell>
          <cell r="AZ22">
            <v>283000</v>
          </cell>
          <cell r="BD22">
            <v>283000</v>
          </cell>
          <cell r="BE22" t="str">
            <v>OK</v>
          </cell>
          <cell r="BF22">
            <v>0</v>
          </cell>
          <cell r="BG22">
            <v>9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K23">
            <v>200000</v>
          </cell>
          <cell r="AN23">
            <v>2000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170000</v>
          </cell>
          <cell r="BE23" t="str">
            <v>OK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K24">
            <v>100000</v>
          </cell>
          <cell r="AN24">
            <v>1000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100000</v>
          </cell>
          <cell r="AZ24">
            <v>0</v>
          </cell>
          <cell r="BD24">
            <v>0</v>
          </cell>
          <cell r="BF24">
            <v>0</v>
          </cell>
          <cell r="BG24">
            <v>9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375000</v>
          </cell>
          <cell r="E25">
            <v>104500</v>
          </cell>
          <cell r="F25">
            <v>0</v>
          </cell>
          <cell r="G25">
            <v>3000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101500</v>
          </cell>
          <cell r="U25">
            <v>479500</v>
          </cell>
          <cell r="AK25">
            <v>200000</v>
          </cell>
          <cell r="AN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200000</v>
          </cell>
          <cell r="AZ25">
            <v>200000</v>
          </cell>
          <cell r="BD25">
            <v>200000</v>
          </cell>
          <cell r="BE25" t="str">
            <v>OK</v>
          </cell>
          <cell r="BF25">
            <v>0</v>
          </cell>
          <cell r="BG25">
            <v>9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30000</v>
          </cell>
          <cell r="BG26">
            <v>9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Z27">
            <v>50000</v>
          </cell>
          <cell r="AA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48500</v>
          </cell>
          <cell r="BD27">
            <v>48500</v>
          </cell>
          <cell r="BE27" t="str">
            <v>OK</v>
          </cell>
          <cell r="BF27">
            <v>1500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9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52000</v>
          </cell>
          <cell r="U29">
            <v>102000</v>
          </cell>
          <cell r="AI29">
            <v>40000</v>
          </cell>
          <cell r="AL29">
            <v>2500</v>
          </cell>
          <cell r="AQ29">
            <v>0</v>
          </cell>
          <cell r="AR29">
            <v>0</v>
          </cell>
          <cell r="AS29">
            <v>25000</v>
          </cell>
          <cell r="AW29">
            <v>40000</v>
          </cell>
          <cell r="AX29">
            <v>0</v>
          </cell>
          <cell r="AY29">
            <v>0</v>
          </cell>
          <cell r="AZ29">
            <v>40000</v>
          </cell>
          <cell r="BA29">
            <v>40000</v>
          </cell>
          <cell r="BD29">
            <v>0</v>
          </cell>
          <cell r="BE29">
            <v>2889015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400000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S31">
            <v>250000</v>
          </cell>
          <cell r="U31">
            <v>400000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1000000</v>
          </cell>
          <cell r="BD31">
            <v>970000</v>
          </cell>
          <cell r="BE31" t="str">
            <v>OK</v>
          </cell>
          <cell r="BF31">
            <v>30000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9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200000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50000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200000</v>
          </cell>
          <cell r="AQ33">
            <v>0</v>
          </cell>
          <cell r="AR33">
            <v>0</v>
          </cell>
          <cell r="AS33">
            <v>75000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100000</v>
          </cell>
          <cell r="BD38">
            <v>100000</v>
          </cell>
          <cell r="BE38" t="str">
            <v>OK</v>
          </cell>
          <cell r="BF38">
            <v>0</v>
          </cell>
          <cell r="BG38">
            <v>9</v>
          </cell>
          <cell r="BK38">
            <v>100000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31000</v>
          </cell>
          <cell r="D40">
            <v>5329000</v>
          </cell>
          <cell r="E40">
            <v>318500</v>
          </cell>
          <cell r="F40">
            <v>500000</v>
          </cell>
          <cell r="G40">
            <v>6000</v>
          </cell>
          <cell r="H40">
            <v>0</v>
          </cell>
          <cell r="I40">
            <v>151000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174000</v>
          </cell>
          <cell r="Q40">
            <v>0</v>
          </cell>
          <cell r="R40">
            <v>435500</v>
          </cell>
          <cell r="S40">
            <v>750000</v>
          </cell>
          <cell r="U40">
            <v>6116500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1050000</v>
          </cell>
          <cell r="AA40">
            <v>0</v>
          </cell>
          <cell r="AC40">
            <v>45000</v>
          </cell>
          <cell r="AD40">
            <v>28000</v>
          </cell>
          <cell r="AE40">
            <v>70000</v>
          </cell>
          <cell r="AF40">
            <v>0</v>
          </cell>
          <cell r="AG40">
            <v>0</v>
          </cell>
          <cell r="AI40">
            <v>119000</v>
          </cell>
          <cell r="AJ40">
            <v>189000</v>
          </cell>
          <cell r="AK40">
            <v>1105500</v>
          </cell>
          <cell r="AL40">
            <v>4500</v>
          </cell>
          <cell r="AM40">
            <v>5000</v>
          </cell>
          <cell r="AN40">
            <v>11000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221000</v>
          </cell>
          <cell r="BD6">
            <v>221000</v>
          </cell>
          <cell r="BE6" t="str">
            <v>OK</v>
          </cell>
          <cell r="BF6">
            <v>0</v>
          </cell>
          <cell r="BG6">
            <v>8</v>
          </cell>
          <cell r="BH6">
            <v>21000</v>
          </cell>
          <cell r="BI6">
            <v>100000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O8" t="str">
            <v>COMMISSION</v>
          </cell>
          <cell r="BP8" t="str">
            <v>FONDS DE ROULEMENT</v>
          </cell>
          <cell r="BQ8">
            <v>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-2500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207500</v>
          </cell>
          <cell r="U9">
            <v>455000</v>
          </cell>
          <cell r="AP9" t="str">
            <v>BANQUE</v>
          </cell>
          <cell r="AQ9">
            <v>0</v>
          </cell>
          <cell r="AR9">
            <v>0</v>
          </cell>
          <cell r="AS9">
            <v>22500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165000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40000</v>
          </cell>
          <cell r="Q10">
            <v>0</v>
          </cell>
          <cell r="U10">
            <v>165000</v>
          </cell>
          <cell r="AJ10">
            <v>101500</v>
          </cell>
          <cell r="AM10">
            <v>2500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101500</v>
          </cell>
          <cell r="AY10">
            <v>0</v>
          </cell>
          <cell r="AZ10">
            <v>101500</v>
          </cell>
          <cell r="BA10">
            <v>100000</v>
          </cell>
          <cell r="BD10">
            <v>1500</v>
          </cell>
          <cell r="BE10" t="str">
            <v>OK</v>
          </cell>
          <cell r="BF10">
            <v>0</v>
          </cell>
          <cell r="BG10">
            <v>8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-41000</v>
          </cell>
          <cell r="D11">
            <v>238000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10000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41000</v>
          </cell>
          <cell r="Q11">
            <v>103000</v>
          </cell>
          <cell r="U11">
            <v>279000</v>
          </cell>
          <cell r="AI11">
            <v>41000</v>
          </cell>
          <cell r="AJ11">
            <v>200000</v>
          </cell>
          <cell r="AL11">
            <v>2000</v>
          </cell>
          <cell r="AM11">
            <v>3000</v>
          </cell>
          <cell r="AP11" t="str">
            <v>BANQUE</v>
          </cell>
          <cell r="AQ11">
            <v>0</v>
          </cell>
          <cell r="AR11">
            <v>0</v>
          </cell>
          <cell r="AS11">
            <v>35000</v>
          </cell>
          <cell r="AW11">
            <v>41000</v>
          </cell>
          <cell r="AX11">
            <v>200000</v>
          </cell>
          <cell r="AY11">
            <v>0</v>
          </cell>
          <cell r="AZ11">
            <v>200000</v>
          </cell>
          <cell r="BA11">
            <v>200000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330000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C15">
            <v>10000</v>
          </cell>
          <cell r="AF15" t="str">
            <v>BANQUE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290000</v>
          </cell>
          <cell r="AX15">
            <v>0</v>
          </cell>
          <cell r="AY15">
            <v>0</v>
          </cell>
          <cell r="AZ15">
            <v>290000</v>
          </cell>
          <cell r="BD15">
            <v>290000</v>
          </cell>
          <cell r="BE15" t="str">
            <v>OK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E16">
            <v>15000</v>
          </cell>
          <cell r="AF16" t="str">
            <v>BANQUE</v>
          </cell>
          <cell r="AP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1185000</v>
          </cell>
          <cell r="AZ16">
            <v>1185000</v>
          </cell>
          <cell r="BD16">
            <v>1185000</v>
          </cell>
          <cell r="BE16" t="str">
            <v>OK</v>
          </cell>
          <cell r="BF16">
            <v>0</v>
          </cell>
          <cell r="BG16">
            <v>8</v>
          </cell>
          <cell r="BO16" t="str">
            <v>S/TOTAL</v>
          </cell>
          <cell r="BQ16">
            <v>21000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202000</v>
          </cell>
          <cell r="U18">
            <v>362000</v>
          </cell>
          <cell r="AK18">
            <v>200000</v>
          </cell>
          <cell r="AN18">
            <v>5000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8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517000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-1000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91000</v>
          </cell>
          <cell r="R20">
            <v>202000</v>
          </cell>
          <cell r="U20">
            <v>517000</v>
          </cell>
          <cell r="AJ20">
            <v>100000</v>
          </cell>
          <cell r="AK20">
            <v>70500</v>
          </cell>
          <cell r="AM20">
            <v>1500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24000</v>
          </cell>
          <cell r="AW20">
            <v>0</v>
          </cell>
          <cell r="AX20">
            <v>100000</v>
          </cell>
          <cell r="AY20">
            <v>70500</v>
          </cell>
          <cell r="AZ20">
            <v>170500</v>
          </cell>
          <cell r="BA20">
            <v>80000</v>
          </cell>
          <cell r="BD20">
            <v>90500</v>
          </cell>
          <cell r="BE20" t="str">
            <v>OK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8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202000</v>
          </cell>
          <cell r="U23">
            <v>462000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-101000</v>
          </cell>
          <cell r="D24">
            <v>0</v>
          </cell>
          <cell r="E24">
            <v>250000</v>
          </cell>
          <cell r="F24">
            <v>0</v>
          </cell>
          <cell r="G24">
            <v>3000</v>
          </cell>
          <cell r="H24" t="str">
            <v>ESPECES</v>
          </cell>
          <cell r="I24">
            <v>22000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101000</v>
          </cell>
          <cell r="U24">
            <v>351000</v>
          </cell>
          <cell r="AK24">
            <v>101500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47000</v>
          </cell>
          <cell r="AW24">
            <v>0</v>
          </cell>
          <cell r="AX24">
            <v>0</v>
          </cell>
          <cell r="AY24">
            <v>101500</v>
          </cell>
          <cell r="AZ24">
            <v>101500</v>
          </cell>
          <cell r="BD24">
            <v>0</v>
          </cell>
          <cell r="BF24">
            <v>0</v>
          </cell>
          <cell r="BG24">
            <v>8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-2000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202000</v>
          </cell>
          <cell r="U25">
            <v>575000</v>
          </cell>
          <cell r="AC25">
            <v>11000</v>
          </cell>
          <cell r="AF25" t="str">
            <v>BANQUE</v>
          </cell>
          <cell r="AK25">
            <v>200000</v>
          </cell>
          <cell r="AN25">
            <v>5500</v>
          </cell>
          <cell r="AP25" t="str">
            <v>BANQUE</v>
          </cell>
          <cell r="AQ25">
            <v>0</v>
          </cell>
          <cell r="AR25">
            <v>0</v>
          </cell>
          <cell r="AS25">
            <v>23000</v>
          </cell>
          <cell r="AW25">
            <v>289000</v>
          </cell>
          <cell r="AX25">
            <v>0</v>
          </cell>
          <cell r="AY25">
            <v>200000</v>
          </cell>
          <cell r="AZ25">
            <v>489000</v>
          </cell>
          <cell r="BD25">
            <v>489000</v>
          </cell>
          <cell r="BE25" t="str">
            <v>OK</v>
          </cell>
          <cell r="BF25">
            <v>0</v>
          </cell>
          <cell r="BG25">
            <v>8</v>
          </cell>
          <cell r="BO25" t="str">
            <v>INSTALLATION CHEF LA AGWE</v>
          </cell>
          <cell r="BP25" t="str">
            <v>FRAIS EXEPTIONNEL</v>
          </cell>
          <cell r="BQ25">
            <v>100000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8</v>
          </cell>
          <cell r="BO28" t="str">
            <v>S/TOTAL</v>
          </cell>
          <cell r="BQ28">
            <v>100000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92500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42500</v>
          </cell>
          <cell r="U29">
            <v>92500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E31">
            <v>40000</v>
          </cell>
          <cell r="AF31" t="str">
            <v>BANQUE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1160000</v>
          </cell>
          <cell r="AZ31">
            <v>1160000</v>
          </cell>
          <cell r="BD31">
            <v>1160000</v>
          </cell>
          <cell r="BE31" t="str">
            <v>OK</v>
          </cell>
          <cell r="BF31">
            <v>0</v>
          </cell>
          <cell r="BG31">
            <v>8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125000</v>
          </cell>
          <cell r="AC32">
            <v>10500</v>
          </cell>
          <cell r="AD32">
            <v>7500</v>
          </cell>
          <cell r="AF32" t="str">
            <v>BANQUE</v>
          </cell>
          <cell r="AJ32">
            <v>100000</v>
          </cell>
          <cell r="AM32">
            <v>1000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289500</v>
          </cell>
          <cell r="AX32">
            <v>992500</v>
          </cell>
          <cell r="AY32">
            <v>0</v>
          </cell>
          <cell r="AZ32">
            <v>1282000</v>
          </cell>
          <cell r="BA32">
            <v>20000</v>
          </cell>
          <cell r="BD32">
            <v>1262000</v>
          </cell>
          <cell r="BE32" t="str">
            <v>OK</v>
          </cell>
          <cell r="BF32">
            <v>0</v>
          </cell>
          <cell r="BG32">
            <v>8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230000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80000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230000</v>
          </cell>
          <cell r="AQ33">
            <v>0</v>
          </cell>
          <cell r="AR33">
            <v>0</v>
          </cell>
          <cell r="AS33">
            <v>105000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8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50000</v>
          </cell>
          <cell r="F34">
            <v>0</v>
          </cell>
          <cell r="G34">
            <v>3000</v>
          </cell>
          <cell r="H34" t="str">
            <v>ESPECES</v>
          </cell>
          <cell r="I34">
            <v>-3000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22000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8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8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-142000</v>
          </cell>
          <cell r="D40">
            <v>5671500</v>
          </cell>
          <cell r="E40">
            <v>403000</v>
          </cell>
          <cell r="F40">
            <v>0</v>
          </cell>
          <cell r="G40">
            <v>12000</v>
          </cell>
          <cell r="H40">
            <v>0</v>
          </cell>
          <cell r="I40">
            <v>170500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194000</v>
          </cell>
          <cell r="R40">
            <v>1116500</v>
          </cell>
          <cell r="S40">
            <v>0</v>
          </cell>
          <cell r="U40">
            <v>6216500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31500</v>
          </cell>
          <cell r="AD40">
            <v>7500</v>
          </cell>
          <cell r="AE40">
            <v>55000</v>
          </cell>
          <cell r="AF40">
            <v>0</v>
          </cell>
          <cell r="AG40">
            <v>0</v>
          </cell>
          <cell r="AI40">
            <v>41000</v>
          </cell>
          <cell r="AJ40">
            <v>501500</v>
          </cell>
          <cell r="AK40">
            <v>572000</v>
          </cell>
          <cell r="AL40">
            <v>2000</v>
          </cell>
          <cell r="AM40">
            <v>8000</v>
          </cell>
          <cell r="AN40">
            <v>13500</v>
          </cell>
          <cell r="AO40">
            <v>0</v>
          </cell>
          <cell r="AQ40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119000</v>
          </cell>
          <cell r="BA6">
            <v>19000</v>
          </cell>
          <cell r="BD6">
            <v>100000</v>
          </cell>
          <cell r="BF6">
            <v>0</v>
          </cell>
          <cell r="BG6">
            <v>7</v>
          </cell>
          <cell r="BH6">
            <v>19000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O8" t="str">
            <v>COMMISSION</v>
          </cell>
          <cell r="BP8" t="str">
            <v>FONDS DE ROULEMENT</v>
          </cell>
          <cell r="BQ8">
            <v>13000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227000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-2000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104000</v>
          </cell>
          <cell r="U10">
            <v>227000</v>
          </cell>
          <cell r="AP10" t="str">
            <v>BANQUE</v>
          </cell>
          <cell r="AQ10">
            <v>0</v>
          </cell>
          <cell r="AR10">
            <v>0</v>
          </cell>
          <cell r="AS10">
            <v>23000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7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376000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43000</v>
          </cell>
          <cell r="Q11">
            <v>203000</v>
          </cell>
          <cell r="U11">
            <v>376000</v>
          </cell>
          <cell r="AJ11">
            <v>150000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0</v>
          </cell>
          <cell r="AX11">
            <v>150000</v>
          </cell>
          <cell r="AY11">
            <v>0</v>
          </cell>
          <cell r="AZ11">
            <v>150000</v>
          </cell>
          <cell r="BA11">
            <v>100000</v>
          </cell>
          <cell r="BD11">
            <v>0</v>
          </cell>
          <cell r="BF11">
            <v>0</v>
          </cell>
          <cell r="BG11">
            <v>7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825000</v>
          </cell>
          <cell r="E12">
            <v>5000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S12">
            <v>500000</v>
          </cell>
          <cell r="T12" t="str">
            <v>BANQUE</v>
          </cell>
          <cell r="U12">
            <v>830000</v>
          </cell>
          <cell r="AE12">
            <v>10000</v>
          </cell>
          <cell r="AF12" t="str">
            <v>BANQUE</v>
          </cell>
          <cell r="AJ12">
            <v>100000</v>
          </cell>
          <cell r="AM12">
            <v>1000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100000</v>
          </cell>
          <cell r="AY12">
            <v>1190000</v>
          </cell>
          <cell r="AZ12">
            <v>1190000</v>
          </cell>
          <cell r="BD12">
            <v>1190000</v>
          </cell>
          <cell r="BE12" t="str">
            <v>OK</v>
          </cell>
          <cell r="BF12">
            <v>0</v>
          </cell>
          <cell r="BG12">
            <v>7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Z15">
            <v>1000000</v>
          </cell>
          <cell r="AA15" t="str">
            <v>BQNAUE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930000</v>
          </cell>
          <cell r="BD15">
            <v>930000</v>
          </cell>
          <cell r="BE15" t="str">
            <v>OK</v>
          </cell>
          <cell r="BF15">
            <v>70000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7</v>
          </cell>
          <cell r="BO16" t="str">
            <v>S/TOTAL</v>
          </cell>
          <cell r="BQ16">
            <v>19000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150000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R17">
            <v>0</v>
          </cell>
          <cell r="U17">
            <v>150000</v>
          </cell>
          <cell r="AI17">
            <v>50000</v>
          </cell>
          <cell r="AL17">
            <v>500</v>
          </cell>
          <cell r="AQ17">
            <v>0</v>
          </cell>
          <cell r="AR17">
            <v>0</v>
          </cell>
          <cell r="AS17">
            <v>25000</v>
          </cell>
          <cell r="AW17">
            <v>50000</v>
          </cell>
          <cell r="AX17">
            <v>0</v>
          </cell>
          <cell r="AY17">
            <v>0</v>
          </cell>
          <cell r="AZ17">
            <v>50000</v>
          </cell>
          <cell r="BA17">
            <v>50000</v>
          </cell>
          <cell r="BD17">
            <v>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365000</v>
          </cell>
          <cell r="E18">
            <v>1003000</v>
          </cell>
          <cell r="F18">
            <v>0</v>
          </cell>
          <cell r="G18">
            <v>3000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205000</v>
          </cell>
          <cell r="S18">
            <v>1000000</v>
          </cell>
          <cell r="T18" t="str">
            <v>BANQUE</v>
          </cell>
          <cell r="U18">
            <v>1368000</v>
          </cell>
          <cell r="Z18">
            <v>350000</v>
          </cell>
          <cell r="AA18" t="str">
            <v>BANQUE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336000</v>
          </cell>
          <cell r="BA18">
            <v>336000</v>
          </cell>
          <cell r="BD18">
            <v>0</v>
          </cell>
          <cell r="BF18">
            <v>14000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296000</v>
          </cell>
          <cell r="E20">
            <v>101000</v>
          </cell>
          <cell r="F20">
            <v>0</v>
          </cell>
          <cell r="G20">
            <v>0</v>
          </cell>
          <cell r="H20" t="str">
            <v>BANQUE</v>
          </cell>
          <cell r="I20">
            <v>-500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101500</v>
          </cell>
          <cell r="R20">
            <v>71500</v>
          </cell>
          <cell r="U20">
            <v>397500</v>
          </cell>
          <cell r="AJ20">
            <v>200000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24500</v>
          </cell>
          <cell r="AW20">
            <v>0</v>
          </cell>
          <cell r="AX20">
            <v>200000</v>
          </cell>
          <cell r="AY20">
            <v>0</v>
          </cell>
          <cell r="AZ20">
            <v>200000</v>
          </cell>
          <cell r="BA20">
            <v>200000</v>
          </cell>
          <cell r="BD20">
            <v>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C21">
            <v>3000</v>
          </cell>
          <cell r="AF21" t="str">
            <v>BANQUE</v>
          </cell>
          <cell r="AQ21">
            <v>0</v>
          </cell>
          <cell r="AR21">
            <v>0</v>
          </cell>
          <cell r="AS21">
            <v>25000</v>
          </cell>
          <cell r="AW21">
            <v>297000</v>
          </cell>
          <cell r="AX21">
            <v>0</v>
          </cell>
          <cell r="AY21">
            <v>0</v>
          </cell>
          <cell r="AZ21">
            <v>297000</v>
          </cell>
          <cell r="BA21">
            <v>297000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7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270000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270000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E23" t="str">
            <v>OK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-500</v>
          </cell>
          <cell r="D24">
            <v>250000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25000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500</v>
          </cell>
          <cell r="U24">
            <v>250500</v>
          </cell>
          <cell r="AK24">
            <v>103000</v>
          </cell>
          <cell r="AN24">
            <v>0</v>
          </cell>
          <cell r="AP24" t="str">
            <v>BANQUE</v>
          </cell>
          <cell r="AQ24">
            <v>0</v>
          </cell>
          <cell r="AR24">
            <v>0</v>
          </cell>
          <cell r="AS24">
            <v>50000</v>
          </cell>
          <cell r="AW24">
            <v>0</v>
          </cell>
          <cell r="AX24">
            <v>0</v>
          </cell>
          <cell r="AY24">
            <v>103000</v>
          </cell>
          <cell r="AZ24">
            <v>103000</v>
          </cell>
          <cell r="BD24">
            <v>0</v>
          </cell>
          <cell r="BF24">
            <v>0</v>
          </cell>
          <cell r="BG24">
            <v>7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580000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205500</v>
          </cell>
          <cell r="U25">
            <v>580000</v>
          </cell>
          <cell r="AD25">
            <v>25000</v>
          </cell>
          <cell r="AF25" t="str">
            <v>BANQUE</v>
          </cell>
          <cell r="AJ25">
            <v>34000</v>
          </cell>
          <cell r="AM25">
            <v>500</v>
          </cell>
          <cell r="AP25" t="str">
            <v>BANQUE</v>
          </cell>
          <cell r="AQ25">
            <v>0</v>
          </cell>
          <cell r="AR25">
            <v>0</v>
          </cell>
          <cell r="AS25">
            <v>24500</v>
          </cell>
          <cell r="AW25">
            <v>0</v>
          </cell>
          <cell r="AX25">
            <v>909000</v>
          </cell>
          <cell r="AY25">
            <v>0</v>
          </cell>
          <cell r="AZ25">
            <v>909000</v>
          </cell>
          <cell r="BA25">
            <v>34000</v>
          </cell>
          <cell r="BD25">
            <v>875000</v>
          </cell>
          <cell r="BE25" t="str">
            <v>OK</v>
          </cell>
          <cell r="BF25">
            <v>0</v>
          </cell>
          <cell r="BG25">
            <v>7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U26">
            <v>50000</v>
          </cell>
          <cell r="AI26">
            <v>50000</v>
          </cell>
          <cell r="AL26">
            <v>500</v>
          </cell>
          <cell r="AQ26">
            <v>0</v>
          </cell>
          <cell r="AR26">
            <v>0</v>
          </cell>
          <cell r="AS26">
            <v>25000</v>
          </cell>
          <cell r="AW26">
            <v>50000</v>
          </cell>
          <cell r="AX26">
            <v>0</v>
          </cell>
          <cell r="AY26">
            <v>0</v>
          </cell>
          <cell r="AZ26">
            <v>50000</v>
          </cell>
          <cell r="BA26">
            <v>50000</v>
          </cell>
          <cell r="BD26">
            <v>0</v>
          </cell>
          <cell r="BF26">
            <v>0</v>
          </cell>
          <cell r="BG26">
            <v>7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7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C31">
            <v>3500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296500</v>
          </cell>
          <cell r="AX31">
            <v>0</v>
          </cell>
          <cell r="AY31">
            <v>0</v>
          </cell>
          <cell r="AZ31">
            <v>296500</v>
          </cell>
          <cell r="BA31">
            <v>29500</v>
          </cell>
          <cell r="BD31">
            <v>267000</v>
          </cell>
          <cell r="BE31" t="str">
            <v>OK</v>
          </cell>
          <cell r="BF31">
            <v>0</v>
          </cell>
          <cell r="BG31">
            <v>7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A32">
            <v>200000</v>
          </cell>
          <cell r="BD32">
            <v>0</v>
          </cell>
          <cell r="BF32">
            <v>0</v>
          </cell>
          <cell r="BG32">
            <v>7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7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53000</v>
          </cell>
          <cell r="F36">
            <v>0</v>
          </cell>
          <cell r="G36">
            <v>3000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53000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7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7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-1000</v>
          </cell>
          <cell r="D40">
            <v>5945000</v>
          </cell>
          <cell r="E40">
            <v>1315000</v>
          </cell>
          <cell r="F40">
            <v>0</v>
          </cell>
          <cell r="G40">
            <v>9000</v>
          </cell>
          <cell r="H40">
            <v>0</v>
          </cell>
          <cell r="I40">
            <v>117000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43000</v>
          </cell>
          <cell r="Q40">
            <v>509500</v>
          </cell>
          <cell r="R40">
            <v>482500</v>
          </cell>
          <cell r="S40">
            <v>1500000</v>
          </cell>
          <cell r="U40">
            <v>7261000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1350000</v>
          </cell>
          <cell r="AA40">
            <v>0</v>
          </cell>
          <cell r="AC40">
            <v>6500</v>
          </cell>
          <cell r="AD40">
            <v>25000</v>
          </cell>
          <cell r="AE40">
            <v>10000</v>
          </cell>
          <cell r="AF40">
            <v>0</v>
          </cell>
          <cell r="AG40">
            <v>0</v>
          </cell>
          <cell r="AI40">
            <v>100000</v>
          </cell>
          <cell r="AJ40">
            <v>684000</v>
          </cell>
          <cell r="AK40">
            <v>103000</v>
          </cell>
          <cell r="AL40">
            <v>1000</v>
          </cell>
          <cell r="AM40">
            <v>7500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12000</v>
          </cell>
          <cell r="BA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6</v>
          </cell>
          <cell r="BH6">
            <v>12000</v>
          </cell>
          <cell r="BI6">
            <v>0</v>
          </cell>
          <cell r="BJ6">
            <v>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54000</v>
          </cell>
          <cell r="D7">
            <v>50000</v>
          </cell>
          <cell r="E7">
            <v>50000</v>
          </cell>
          <cell r="F7">
            <v>0</v>
          </cell>
          <cell r="G7">
            <v>0</v>
          </cell>
          <cell r="H7" t="str">
            <v>BANQUE</v>
          </cell>
          <cell r="I7">
            <v>-4000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U7">
            <v>46000</v>
          </cell>
          <cell r="AQ7">
            <v>0</v>
          </cell>
          <cell r="AR7">
            <v>0</v>
          </cell>
          <cell r="AS7">
            <v>21000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E8">
            <v>10000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128000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128000</v>
          </cell>
          <cell r="AI10">
            <v>30000</v>
          </cell>
          <cell r="AL10">
            <v>500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30000</v>
          </cell>
          <cell r="AX10">
            <v>0</v>
          </cell>
          <cell r="AY10">
            <v>0</v>
          </cell>
          <cell r="AZ10">
            <v>30000</v>
          </cell>
          <cell r="BA10">
            <v>30000</v>
          </cell>
          <cell r="BD10">
            <v>0</v>
          </cell>
          <cell r="BF10">
            <v>0</v>
          </cell>
          <cell r="BG10">
            <v>6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122000</v>
          </cell>
          <cell r="D11">
            <v>404000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152000</v>
          </cell>
          <cell r="U11">
            <v>282000</v>
          </cell>
          <cell r="AI11">
            <v>30000</v>
          </cell>
          <cell r="AJ11">
            <v>56500</v>
          </cell>
          <cell r="AL11">
            <v>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30000</v>
          </cell>
          <cell r="AW11">
            <v>30000</v>
          </cell>
          <cell r="AX11">
            <v>56500</v>
          </cell>
          <cell r="AY11">
            <v>0</v>
          </cell>
          <cell r="AZ11">
            <v>86500</v>
          </cell>
          <cell r="BA11">
            <v>86500</v>
          </cell>
          <cell r="BD11">
            <v>0</v>
          </cell>
          <cell r="BF11">
            <v>20000</v>
          </cell>
          <cell r="BG11">
            <v>6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795000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9000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101000</v>
          </cell>
          <cell r="R12">
            <v>0</v>
          </cell>
          <cell r="S12">
            <v>360000</v>
          </cell>
          <cell r="T12" t="str">
            <v>BANQUE</v>
          </cell>
          <cell r="U12">
            <v>795000</v>
          </cell>
          <cell r="AQ12">
            <v>0</v>
          </cell>
          <cell r="AR12">
            <v>0</v>
          </cell>
          <cell r="AS12">
            <v>34000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125000</v>
          </cell>
          <cell r="AD15">
            <v>7500</v>
          </cell>
          <cell r="AF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892500</v>
          </cell>
          <cell r="AY15">
            <v>0</v>
          </cell>
          <cell r="AZ15">
            <v>892500</v>
          </cell>
          <cell r="BD15">
            <v>892500</v>
          </cell>
          <cell r="BE15" t="str">
            <v>OK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U16">
            <v>260000</v>
          </cell>
          <cell r="AD16">
            <v>7500</v>
          </cell>
          <cell r="AF16" t="str">
            <v>BANQUE</v>
          </cell>
          <cell r="AQ16">
            <v>0</v>
          </cell>
          <cell r="AR16">
            <v>0</v>
          </cell>
          <cell r="AS16">
            <v>60000</v>
          </cell>
          <cell r="AW16">
            <v>0</v>
          </cell>
          <cell r="AX16">
            <v>892500</v>
          </cell>
          <cell r="AY16">
            <v>0</v>
          </cell>
          <cell r="AZ16">
            <v>892500</v>
          </cell>
          <cell r="BD16">
            <v>892500</v>
          </cell>
          <cell r="BE16" t="str">
            <v>OK</v>
          </cell>
          <cell r="BF16">
            <v>0</v>
          </cell>
          <cell r="BG16">
            <v>6</v>
          </cell>
          <cell r="BO16" t="str">
            <v>S/TOTAL</v>
          </cell>
          <cell r="BQ16">
            <v>12000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201000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50500</v>
          </cell>
          <cell r="R17">
            <v>0</v>
          </cell>
          <cell r="U17">
            <v>201000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E17" t="str">
            <v>OK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R18">
            <v>0</v>
          </cell>
          <cell r="U18">
            <v>160000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6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6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427000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0</v>
          </cell>
          <cell r="U20">
            <v>427000</v>
          </cell>
          <cell r="AI20">
            <v>30000</v>
          </cell>
          <cell r="AJ20">
            <v>100000</v>
          </cell>
          <cell r="AK20">
            <v>100000</v>
          </cell>
          <cell r="AL20">
            <v>500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30000</v>
          </cell>
          <cell r="AX20">
            <v>100000</v>
          </cell>
          <cell r="AY20">
            <v>100000</v>
          </cell>
          <cell r="AZ20">
            <v>230000</v>
          </cell>
          <cell r="BA20">
            <v>100000</v>
          </cell>
          <cell r="BD20">
            <v>100000</v>
          </cell>
          <cell r="BE20" t="str">
            <v>OK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0</v>
          </cell>
          <cell r="E22">
            <v>128000</v>
          </cell>
          <cell r="F22">
            <v>0</v>
          </cell>
          <cell r="G22">
            <v>3000</v>
          </cell>
          <cell r="H22" t="str">
            <v>ESPECES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128000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6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260000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R23">
            <v>0</v>
          </cell>
          <cell r="U23">
            <v>260000</v>
          </cell>
          <cell r="AC23">
            <v>3000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297000</v>
          </cell>
          <cell r="AX23">
            <v>0</v>
          </cell>
          <cell r="AY23">
            <v>200000</v>
          </cell>
          <cell r="AZ23">
            <v>497000</v>
          </cell>
          <cell r="BA23">
            <v>100000</v>
          </cell>
          <cell r="BD23">
            <v>397000</v>
          </cell>
          <cell r="BE23" t="str">
            <v>OK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343000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103000</v>
          </cell>
          <cell r="U24">
            <v>343000</v>
          </cell>
          <cell r="AC24">
            <v>3000</v>
          </cell>
          <cell r="AE24">
            <v>15000</v>
          </cell>
          <cell r="AF24" t="str">
            <v>BANQUE</v>
          </cell>
          <cell r="AK24">
            <v>100000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297000</v>
          </cell>
          <cell r="AX24">
            <v>0</v>
          </cell>
          <cell r="AY24">
            <v>1285000</v>
          </cell>
          <cell r="AZ24">
            <v>1582000</v>
          </cell>
          <cell r="BD24">
            <v>1582000</v>
          </cell>
          <cell r="BE24" t="str">
            <v>OK</v>
          </cell>
          <cell r="BF24">
            <v>0</v>
          </cell>
          <cell r="BG24">
            <v>6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415000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5500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34500</v>
          </cell>
          <cell r="R25">
            <v>0</v>
          </cell>
          <cell r="U25">
            <v>415000</v>
          </cell>
          <cell r="AI25">
            <v>60000</v>
          </cell>
          <cell r="AL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30500</v>
          </cell>
          <cell r="AW25">
            <v>60000</v>
          </cell>
          <cell r="AX25">
            <v>0</v>
          </cell>
          <cell r="AY25">
            <v>0</v>
          </cell>
          <cell r="AZ25">
            <v>60000</v>
          </cell>
          <cell r="BD25">
            <v>60000</v>
          </cell>
          <cell r="BE25" t="str">
            <v>OK</v>
          </cell>
          <cell r="BF25">
            <v>0</v>
          </cell>
          <cell r="BG25">
            <v>6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500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50500</v>
          </cell>
          <cell r="U26">
            <v>101000</v>
          </cell>
          <cell r="AI26">
            <v>23500</v>
          </cell>
          <cell r="AL26">
            <v>500</v>
          </cell>
          <cell r="AP26" t="str">
            <v>BANQUE</v>
          </cell>
          <cell r="AQ26">
            <v>0</v>
          </cell>
          <cell r="AR26">
            <v>0</v>
          </cell>
          <cell r="AS26">
            <v>25500</v>
          </cell>
          <cell r="AW26">
            <v>23500</v>
          </cell>
          <cell r="AX26">
            <v>0</v>
          </cell>
          <cell r="AY26">
            <v>0</v>
          </cell>
          <cell r="AZ26">
            <v>23500</v>
          </cell>
          <cell r="BA26">
            <v>2500</v>
          </cell>
          <cell r="BD26">
            <v>21000</v>
          </cell>
          <cell r="BE26" t="str">
            <v>OK</v>
          </cell>
          <cell r="BF26">
            <v>0</v>
          </cell>
          <cell r="BG26">
            <v>6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U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R30">
            <v>0</v>
          </cell>
          <cell r="U30">
            <v>250000</v>
          </cell>
          <cell r="AC30">
            <v>3000</v>
          </cell>
          <cell r="AE30">
            <v>15000</v>
          </cell>
          <cell r="AF30" t="str">
            <v>BANQUE</v>
          </cell>
          <cell r="AK30">
            <v>125000</v>
          </cell>
          <cell r="AN30">
            <v>1000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297000</v>
          </cell>
          <cell r="AX30">
            <v>0</v>
          </cell>
          <cell r="AY30">
            <v>1310000</v>
          </cell>
          <cell r="AZ30">
            <v>1607000</v>
          </cell>
          <cell r="BA30">
            <v>125000</v>
          </cell>
          <cell r="BD30">
            <v>1482000</v>
          </cell>
          <cell r="BE30" t="str">
            <v>OK</v>
          </cell>
          <cell r="BF30">
            <v>30000</v>
          </cell>
          <cell r="BG30">
            <v>6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60000</v>
          </cell>
          <cell r="D31">
            <v>200000</v>
          </cell>
          <cell r="E31">
            <v>10000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100000</v>
          </cell>
          <cell r="BD31">
            <v>100000</v>
          </cell>
          <cell r="BE31" t="str">
            <v>OK</v>
          </cell>
          <cell r="BF31">
            <v>60000</v>
          </cell>
          <cell r="BG31">
            <v>6</v>
          </cell>
          <cell r="BK31">
            <v>100000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U32">
            <v>327000</v>
          </cell>
          <cell r="AJ32">
            <v>100000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100000</v>
          </cell>
          <cell r="BD32">
            <v>0</v>
          </cell>
          <cell r="BF32">
            <v>0</v>
          </cell>
          <cell r="BG32">
            <v>6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170000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20000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R33">
            <v>0</v>
          </cell>
          <cell r="U33">
            <v>170000</v>
          </cell>
          <cell r="AQ33">
            <v>0</v>
          </cell>
          <cell r="AR33">
            <v>0</v>
          </cell>
          <cell r="AS33">
            <v>45000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6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6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6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236000</v>
          </cell>
          <cell r="D40">
            <v>5888000</v>
          </cell>
          <cell r="E40">
            <v>326000</v>
          </cell>
          <cell r="F40">
            <v>0</v>
          </cell>
          <cell r="G40">
            <v>6000</v>
          </cell>
          <cell r="H40">
            <v>0</v>
          </cell>
          <cell r="I40">
            <v>116500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101000</v>
          </cell>
          <cell r="Q40">
            <v>691500</v>
          </cell>
          <cell r="R40">
            <v>103000</v>
          </cell>
          <cell r="S40">
            <v>360000</v>
          </cell>
          <cell r="U40">
            <v>5978000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9000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173500</v>
          </cell>
          <cell r="AJ40">
            <v>256500</v>
          </cell>
          <cell r="AK40">
            <v>625000</v>
          </cell>
          <cell r="AL40">
            <v>3000</v>
          </cell>
          <cell r="AM40">
            <v>5000</v>
          </cell>
          <cell r="AN40">
            <v>7000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651500</v>
          </cell>
          <cell r="BA6">
            <v>36000</v>
          </cell>
          <cell r="BD6">
            <v>56000</v>
          </cell>
          <cell r="BE6" t="str">
            <v>OK</v>
          </cell>
          <cell r="BF6">
            <v>0</v>
          </cell>
          <cell r="BG6">
            <v>5</v>
          </cell>
          <cell r="BH6">
            <v>42000</v>
          </cell>
          <cell r="BI6">
            <v>609500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3000</v>
          </cell>
          <cell r="H7" t="str">
            <v>ESPECES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22000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5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5</v>
          </cell>
          <cell r="BO8" t="str">
            <v>COMMISSION</v>
          </cell>
          <cell r="BP8" t="str">
            <v>FONDS DE ROULEMENT</v>
          </cell>
          <cell r="BQ8">
            <v>36000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250000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159000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3500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30500</v>
          </cell>
          <cell r="Q10">
            <v>0</v>
          </cell>
          <cell r="R10">
            <v>0</v>
          </cell>
          <cell r="U10">
            <v>159000</v>
          </cell>
          <cell r="AP10" t="str">
            <v>BANQUE</v>
          </cell>
          <cell r="AQ10">
            <v>0</v>
          </cell>
          <cell r="AR10">
            <v>0</v>
          </cell>
          <cell r="AS10">
            <v>28500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5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216000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30500</v>
          </cell>
          <cell r="Q11">
            <v>57500</v>
          </cell>
          <cell r="R11">
            <v>0</v>
          </cell>
          <cell r="U11">
            <v>216000</v>
          </cell>
          <cell r="AJ11">
            <v>169000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169000</v>
          </cell>
          <cell r="AY11">
            <v>0</v>
          </cell>
          <cell r="AZ11">
            <v>169000</v>
          </cell>
          <cell r="BD11">
            <v>109000</v>
          </cell>
          <cell r="BE11" t="str">
            <v>OK</v>
          </cell>
          <cell r="BF11">
            <v>0</v>
          </cell>
          <cell r="BG11">
            <v>5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8400</v>
          </cell>
          <cell r="D12">
            <v>340000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6600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331600</v>
          </cell>
          <cell r="AC12">
            <v>3000</v>
          </cell>
          <cell r="AE12">
            <v>10000</v>
          </cell>
          <cell r="AF12" t="str">
            <v>BANQUE</v>
          </cell>
          <cell r="AK12">
            <v>100000</v>
          </cell>
          <cell r="AN12">
            <v>1000</v>
          </cell>
          <cell r="AP12" t="str">
            <v>BANQUE</v>
          </cell>
          <cell r="AQ12">
            <v>0</v>
          </cell>
          <cell r="AR12">
            <v>0</v>
          </cell>
          <cell r="AS12">
            <v>31600</v>
          </cell>
          <cell r="AW12">
            <v>297000</v>
          </cell>
          <cell r="AX12">
            <v>0</v>
          </cell>
          <cell r="AY12">
            <v>1290000</v>
          </cell>
          <cell r="AZ12">
            <v>1578600</v>
          </cell>
          <cell r="BD12">
            <v>1587000</v>
          </cell>
          <cell r="BE12" t="str">
            <v>OK</v>
          </cell>
          <cell r="BF12">
            <v>8400</v>
          </cell>
          <cell r="BG12">
            <v>5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C13">
            <v>2500</v>
          </cell>
          <cell r="AF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297500</v>
          </cell>
          <cell r="AX13">
            <v>0</v>
          </cell>
          <cell r="AY13">
            <v>0</v>
          </cell>
          <cell r="AZ13">
            <v>297500</v>
          </cell>
          <cell r="BA13">
            <v>100000</v>
          </cell>
          <cell r="BD13">
            <v>197500</v>
          </cell>
          <cell r="BE13" t="str">
            <v>OK</v>
          </cell>
          <cell r="BF13">
            <v>0</v>
          </cell>
          <cell r="BG13">
            <v>5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-238500</v>
          </cell>
          <cell r="D16">
            <v>240000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0</v>
          </cell>
          <cell r="S16">
            <v>238500</v>
          </cell>
          <cell r="U16">
            <v>478500</v>
          </cell>
          <cell r="AK16">
            <v>100000</v>
          </cell>
          <cell r="AN16">
            <v>1000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100000</v>
          </cell>
          <cell r="AZ16">
            <v>100000</v>
          </cell>
          <cell r="BD16">
            <v>100000</v>
          </cell>
          <cell r="BE16" t="str">
            <v>OK</v>
          </cell>
          <cell r="BF16">
            <v>0</v>
          </cell>
          <cell r="BG16">
            <v>5</v>
          </cell>
          <cell r="BO16" t="str">
            <v>S/TOTAL</v>
          </cell>
          <cell r="BQ16">
            <v>42000</v>
          </cell>
        </row>
        <row r="17">
          <cell r="A17" t="str">
            <v>AS201617</v>
          </cell>
          <cell r="B17" t="str">
            <v>KOUAMOU MOISE</v>
          </cell>
          <cell r="C17">
            <v>-4000</v>
          </cell>
          <cell r="D17">
            <v>150000</v>
          </cell>
          <cell r="E17">
            <v>100000</v>
          </cell>
          <cell r="F17">
            <v>0</v>
          </cell>
          <cell r="G17">
            <v>3000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101000</v>
          </cell>
          <cell r="U17">
            <v>254000</v>
          </cell>
          <cell r="AK17">
            <v>54000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54000</v>
          </cell>
          <cell r="AZ17">
            <v>54000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160000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5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</row>
        <row r="20">
          <cell r="A20" t="str">
            <v>AS201649</v>
          </cell>
          <cell r="B20" t="str">
            <v>MBOGNING TUGMA GUY</v>
          </cell>
          <cell r="C20">
            <v>57500</v>
          </cell>
          <cell r="D20">
            <v>516000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30500</v>
          </cell>
          <cell r="Q20">
            <v>102000</v>
          </cell>
          <cell r="R20">
            <v>101000</v>
          </cell>
          <cell r="U20">
            <v>458500</v>
          </cell>
          <cell r="AC20">
            <v>2500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297500</v>
          </cell>
          <cell r="AX20">
            <v>200000</v>
          </cell>
          <cell r="AY20">
            <v>200000</v>
          </cell>
          <cell r="AZ20">
            <v>695000</v>
          </cell>
          <cell r="BA20">
            <v>23500</v>
          </cell>
          <cell r="BD20">
            <v>671500</v>
          </cell>
          <cell r="BF20">
            <v>60000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5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30000</v>
          </cell>
          <cell r="D23">
            <v>502000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20000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472000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45000</v>
          </cell>
          <cell r="AW23">
            <v>0</v>
          </cell>
          <cell r="AX23">
            <v>0</v>
          </cell>
          <cell r="AY23">
            <v>1390000</v>
          </cell>
          <cell r="AZ23">
            <v>1360000</v>
          </cell>
          <cell r="BD23">
            <v>1390000</v>
          </cell>
          <cell r="BE23" t="str">
            <v>OK</v>
          </cell>
          <cell r="BF23">
            <v>30000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-102000</v>
          </cell>
          <cell r="D24">
            <v>240000</v>
          </cell>
          <cell r="E24">
            <v>0</v>
          </cell>
          <cell r="F24">
            <v>500000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102000</v>
          </cell>
          <cell r="S24">
            <v>500000</v>
          </cell>
          <cell r="T24" t="str">
            <v>BANQUE</v>
          </cell>
          <cell r="U24">
            <v>842000</v>
          </cell>
          <cell r="AD24">
            <v>7500</v>
          </cell>
          <cell r="AF24" t="str">
            <v>BANQUE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892500</v>
          </cell>
          <cell r="AY24">
            <v>200000</v>
          </cell>
          <cell r="AZ24">
            <v>490500</v>
          </cell>
          <cell r="BD24">
            <v>490500</v>
          </cell>
          <cell r="BE24" t="str">
            <v>OK</v>
          </cell>
          <cell r="BF24">
            <v>0</v>
          </cell>
          <cell r="BG24">
            <v>5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436000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61000</v>
          </cell>
          <cell r="Q25">
            <v>0</v>
          </cell>
          <cell r="R25">
            <v>0</v>
          </cell>
          <cell r="U25">
            <v>436000</v>
          </cell>
          <cell r="AI25">
            <v>30000</v>
          </cell>
          <cell r="AJ25">
            <v>100000</v>
          </cell>
          <cell r="AK25">
            <v>100000</v>
          </cell>
          <cell r="AL25">
            <v>1000</v>
          </cell>
          <cell r="AM25">
            <v>1500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30000</v>
          </cell>
          <cell r="AX25">
            <v>100000</v>
          </cell>
          <cell r="AY25">
            <v>100000</v>
          </cell>
          <cell r="AZ25">
            <v>230000</v>
          </cell>
          <cell r="BA25">
            <v>4000</v>
          </cell>
          <cell r="BD25">
            <v>200000</v>
          </cell>
          <cell r="BE25" t="str">
            <v>OK</v>
          </cell>
          <cell r="BF25">
            <v>0</v>
          </cell>
          <cell r="BG25">
            <v>5</v>
          </cell>
          <cell r="BO25" t="str">
            <v>DEVELOPPEMENT LAGWEU</v>
          </cell>
          <cell r="BP25" t="str">
            <v>FRAIS EXEPTIONNEL</v>
          </cell>
          <cell r="BQ25">
            <v>50000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74000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24000</v>
          </cell>
          <cell r="Q26">
            <v>0</v>
          </cell>
          <cell r="R26">
            <v>0</v>
          </cell>
          <cell r="U26">
            <v>74000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-30000</v>
          </cell>
          <cell r="BD26">
            <v>0</v>
          </cell>
          <cell r="BF26">
            <v>30000</v>
          </cell>
          <cell r="BG26">
            <v>5</v>
          </cell>
          <cell r="BO26" t="str">
            <v>REMB DETTE NGONDIEP PLAQUETTE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  <cell r="BO27" t="str">
            <v>REMBOURSEMENT DETTE HOTCHO</v>
          </cell>
          <cell r="BP27" t="str">
            <v>FRAIS EXEPTIONNEL</v>
          </cell>
          <cell r="BQ27">
            <v>238500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O28" t="str">
            <v>S/TOTAL</v>
          </cell>
          <cell r="BQ28">
            <v>288500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54500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54500</v>
          </cell>
          <cell r="AX29">
            <v>0</v>
          </cell>
          <cell r="AY29">
            <v>0</v>
          </cell>
          <cell r="AZ29">
            <v>54500</v>
          </cell>
          <cell r="BD29">
            <v>54500</v>
          </cell>
          <cell r="BE29" t="str">
            <v>OK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379000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3000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126000</v>
          </cell>
          <cell r="U30">
            <v>379000</v>
          </cell>
          <cell r="AP30" t="str">
            <v>BANQUE</v>
          </cell>
          <cell r="AQ30">
            <v>0</v>
          </cell>
          <cell r="AR30">
            <v>0</v>
          </cell>
          <cell r="AS30">
            <v>28000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1000000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102000</v>
          </cell>
          <cell r="R32">
            <v>0</v>
          </cell>
          <cell r="S32">
            <v>1000000</v>
          </cell>
          <cell r="T32" t="str">
            <v>BANQUE</v>
          </cell>
          <cell r="U32">
            <v>2227000</v>
          </cell>
          <cell r="AJ32">
            <v>100000</v>
          </cell>
          <cell r="AM32">
            <v>1000</v>
          </cell>
          <cell r="AQ32">
            <v>0</v>
          </cell>
          <cell r="AR32">
            <v>0</v>
          </cell>
          <cell r="AS32">
            <v>1025000</v>
          </cell>
          <cell r="AW32">
            <v>0</v>
          </cell>
          <cell r="AX32">
            <v>100000</v>
          </cell>
          <cell r="AY32">
            <v>0</v>
          </cell>
          <cell r="AZ32">
            <v>100000</v>
          </cell>
          <cell r="BA32">
            <v>20000</v>
          </cell>
          <cell r="BD32">
            <v>50000</v>
          </cell>
          <cell r="BE32" t="str">
            <v>OK</v>
          </cell>
          <cell r="BF32">
            <v>0</v>
          </cell>
          <cell r="BG32">
            <v>5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5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100000</v>
          </cell>
          <cell r="BD36">
            <v>100000</v>
          </cell>
          <cell r="BE36" t="str">
            <v>OK</v>
          </cell>
          <cell r="BF36">
            <v>0</v>
          </cell>
          <cell r="BG36">
            <v>5</v>
          </cell>
          <cell r="BK36">
            <v>100000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5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5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-248600</v>
          </cell>
          <cell r="D40">
            <v>7609000</v>
          </cell>
          <cell r="E40">
            <v>150000</v>
          </cell>
          <cell r="F40">
            <v>500000</v>
          </cell>
          <cell r="G40">
            <v>9000</v>
          </cell>
          <cell r="H40">
            <v>0</v>
          </cell>
          <cell r="I40">
            <v>1090100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176500</v>
          </cell>
          <cell r="Q40">
            <v>261500</v>
          </cell>
          <cell r="R40">
            <v>632000</v>
          </cell>
          <cell r="S40">
            <v>1738500</v>
          </cell>
          <cell r="U40">
            <v>8507600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8000</v>
          </cell>
          <cell r="AD40">
            <v>7500</v>
          </cell>
          <cell r="AE40">
            <v>20000</v>
          </cell>
          <cell r="AF40">
            <v>0</v>
          </cell>
          <cell r="AG40">
            <v>0</v>
          </cell>
          <cell r="AI40">
            <v>84500</v>
          </cell>
          <cell r="AJ40">
            <v>569000</v>
          </cell>
          <cell r="AK40">
            <v>1154000</v>
          </cell>
          <cell r="AL40">
            <v>2500</v>
          </cell>
          <cell r="AM40">
            <v>7000</v>
          </cell>
          <cell r="AN40">
            <v>12000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50000</v>
          </cell>
          <cell r="E7">
            <v>0</v>
          </cell>
          <cell r="F7">
            <v>0</v>
          </cell>
          <cell r="G7">
            <v>3000</v>
          </cell>
          <cell r="H7" t="str">
            <v>BANQUE</v>
          </cell>
          <cell r="I7">
            <v>-3000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I7">
            <v>57000</v>
          </cell>
          <cell r="AL7">
            <v>1000</v>
          </cell>
          <cell r="AQ7">
            <v>0</v>
          </cell>
          <cell r="AR7">
            <v>0</v>
          </cell>
          <cell r="AS7">
            <v>22000</v>
          </cell>
          <cell r="AW7">
            <v>57000</v>
          </cell>
          <cell r="AX7">
            <v>0</v>
          </cell>
          <cell r="AY7">
            <v>0</v>
          </cell>
          <cell r="AZ7">
            <v>57000</v>
          </cell>
          <cell r="BA7">
            <v>10000</v>
          </cell>
          <cell r="BD7">
            <v>47000</v>
          </cell>
          <cell r="BE7" t="str">
            <v>OK</v>
          </cell>
          <cell r="BF7">
            <v>0</v>
          </cell>
          <cell r="BG7">
            <v>4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-12250</v>
          </cell>
          <cell r="BD8">
            <v>-12250</v>
          </cell>
          <cell r="BF8">
            <v>20000</v>
          </cell>
          <cell r="BG8">
            <v>4</v>
          </cell>
          <cell r="BL8">
            <v>7750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10000</v>
          </cell>
          <cell r="D9">
            <v>250000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-10000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0</v>
          </cell>
          <cell r="U9">
            <v>240000</v>
          </cell>
          <cell r="AK9">
            <v>100000</v>
          </cell>
          <cell r="AN9">
            <v>1000</v>
          </cell>
          <cell r="AQ9">
            <v>0</v>
          </cell>
          <cell r="AR9">
            <v>0</v>
          </cell>
          <cell r="AS9">
            <v>15000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D9">
            <v>100000</v>
          </cell>
          <cell r="BE9" t="str">
            <v>OK</v>
          </cell>
          <cell r="BF9">
            <v>0</v>
          </cell>
          <cell r="BG9">
            <v>4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125000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U10">
            <v>125000</v>
          </cell>
          <cell r="AC10">
            <v>2500</v>
          </cell>
          <cell r="AI10">
            <v>60000</v>
          </cell>
          <cell r="AJ10">
            <v>100000</v>
          </cell>
          <cell r="AL10">
            <v>1000</v>
          </cell>
          <cell r="AM10">
            <v>1000</v>
          </cell>
          <cell r="AQ10">
            <v>0</v>
          </cell>
          <cell r="AR10">
            <v>0</v>
          </cell>
          <cell r="AS10">
            <v>25000</v>
          </cell>
          <cell r="AW10">
            <v>357500</v>
          </cell>
          <cell r="AX10">
            <v>100000</v>
          </cell>
          <cell r="AY10">
            <v>0</v>
          </cell>
          <cell r="AZ10">
            <v>457500</v>
          </cell>
          <cell r="BA10">
            <v>40000</v>
          </cell>
          <cell r="BD10">
            <v>417500</v>
          </cell>
          <cell r="BE10" t="str">
            <v>OK</v>
          </cell>
          <cell r="BF10">
            <v>0</v>
          </cell>
          <cell r="BG10">
            <v>4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-2000</v>
          </cell>
          <cell r="D11">
            <v>294000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171000</v>
          </cell>
          <cell r="R11">
            <v>0</v>
          </cell>
          <cell r="U11">
            <v>296000</v>
          </cell>
          <cell r="AJ11">
            <v>101500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101500</v>
          </cell>
          <cell r="AY11">
            <v>0</v>
          </cell>
          <cell r="AZ11">
            <v>101500</v>
          </cell>
          <cell r="BD11">
            <v>0</v>
          </cell>
          <cell r="BF11">
            <v>0</v>
          </cell>
          <cell r="BG11">
            <v>4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431000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101000</v>
          </cell>
          <cell r="U12">
            <v>431000</v>
          </cell>
          <cell r="AK12">
            <v>200000</v>
          </cell>
          <cell r="AN12">
            <v>2000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4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360000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34000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101000</v>
          </cell>
          <cell r="U16">
            <v>360000</v>
          </cell>
          <cell r="AJ16">
            <v>200000</v>
          </cell>
          <cell r="AM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59000</v>
          </cell>
          <cell r="AW16">
            <v>0</v>
          </cell>
          <cell r="AX16">
            <v>200000</v>
          </cell>
          <cell r="AY16">
            <v>0</v>
          </cell>
          <cell r="AZ16">
            <v>200000</v>
          </cell>
          <cell r="BD16">
            <v>200000</v>
          </cell>
          <cell r="BE16" t="str">
            <v>OK</v>
          </cell>
          <cell r="BF16">
            <v>0</v>
          </cell>
          <cell r="BG16">
            <v>4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-5000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55000</v>
          </cell>
          <cell r="U17">
            <v>200000</v>
          </cell>
          <cell r="AI17">
            <v>30000</v>
          </cell>
          <cell r="AK17">
            <v>200000</v>
          </cell>
          <cell r="AL17">
            <v>500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20000</v>
          </cell>
          <cell r="AW17">
            <v>30000</v>
          </cell>
          <cell r="AX17">
            <v>0</v>
          </cell>
          <cell r="AY17">
            <v>200000</v>
          </cell>
          <cell r="AZ17">
            <v>230000</v>
          </cell>
          <cell r="BD17">
            <v>230000</v>
          </cell>
          <cell r="BE17" t="str">
            <v>OK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-10000</v>
          </cell>
          <cell r="D18">
            <v>350000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8000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360000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33000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D18">
            <v>200000</v>
          </cell>
          <cell r="BE18" t="str">
            <v>OK</v>
          </cell>
          <cell r="BF18">
            <v>0</v>
          </cell>
          <cell r="BG18">
            <v>4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</row>
        <row r="20">
          <cell r="A20" t="str">
            <v>AS201649</v>
          </cell>
          <cell r="B20" t="str">
            <v>MBOGNING TUGMA GUY</v>
          </cell>
          <cell r="C20">
            <v>-101500</v>
          </cell>
          <cell r="D20">
            <v>528000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202500</v>
          </cell>
          <cell r="R20">
            <v>202000</v>
          </cell>
          <cell r="U20">
            <v>629500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200000</v>
          </cell>
          <cell r="AY20">
            <v>200000</v>
          </cell>
          <cell r="AZ20">
            <v>400000</v>
          </cell>
          <cell r="BD20">
            <v>400000</v>
          </cell>
          <cell r="BE20" t="str">
            <v>OK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4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D23">
            <v>200000</v>
          </cell>
          <cell r="BE23" t="str">
            <v>OK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442000</v>
          </cell>
          <cell r="AK24">
            <v>202000</v>
          </cell>
          <cell r="AN24">
            <v>4000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D24">
            <v>0</v>
          </cell>
          <cell r="BF24">
            <v>0</v>
          </cell>
          <cell r="BG24">
            <v>4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605000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-3500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31000</v>
          </cell>
          <cell r="Q25">
            <v>101500</v>
          </cell>
          <cell r="R25">
            <v>101000</v>
          </cell>
          <cell r="U25">
            <v>605000</v>
          </cell>
          <cell r="AJ25">
            <v>82000</v>
          </cell>
          <cell r="AM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21500</v>
          </cell>
          <cell r="AW25">
            <v>0</v>
          </cell>
          <cell r="AX25">
            <v>82000</v>
          </cell>
          <cell r="AY25">
            <v>0</v>
          </cell>
          <cell r="AZ25">
            <v>82000</v>
          </cell>
          <cell r="BD25">
            <v>82000</v>
          </cell>
          <cell r="BE25" t="str">
            <v>OK</v>
          </cell>
          <cell r="BF25">
            <v>0</v>
          </cell>
          <cell r="BG25">
            <v>4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I26">
            <v>60000</v>
          </cell>
          <cell r="AL26">
            <v>1000</v>
          </cell>
          <cell r="AQ26">
            <v>0</v>
          </cell>
          <cell r="AR26">
            <v>0</v>
          </cell>
          <cell r="AS26">
            <v>25000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E26" t="str">
            <v>OK</v>
          </cell>
          <cell r="BF26">
            <v>0</v>
          </cell>
          <cell r="BG26">
            <v>4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100000</v>
          </cell>
          <cell r="BD27">
            <v>100000</v>
          </cell>
          <cell r="BE27" t="str">
            <v>OK</v>
          </cell>
          <cell r="BF27">
            <v>0</v>
          </cell>
          <cell r="BG27">
            <v>4</v>
          </cell>
          <cell r="BK27">
            <v>100000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C28">
            <v>2500</v>
          </cell>
          <cell r="AD28">
            <v>7500</v>
          </cell>
          <cell r="AQ28">
            <v>0</v>
          </cell>
          <cell r="AR28">
            <v>0</v>
          </cell>
          <cell r="AS28">
            <v>25000</v>
          </cell>
          <cell r="AW28">
            <v>297500</v>
          </cell>
          <cell r="AX28">
            <v>892500</v>
          </cell>
          <cell r="AY28">
            <v>0</v>
          </cell>
          <cell r="AZ28">
            <v>1190000</v>
          </cell>
          <cell r="BD28">
            <v>1190000</v>
          </cell>
          <cell r="BE28" t="str">
            <v>OK</v>
          </cell>
          <cell r="BF28">
            <v>0</v>
          </cell>
          <cell r="BG28">
            <v>4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56000</v>
          </cell>
          <cell r="Q29">
            <v>0</v>
          </cell>
          <cell r="R29">
            <v>0</v>
          </cell>
          <cell r="U29">
            <v>105000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24000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D29">
            <v>60000</v>
          </cell>
          <cell r="BE29" t="str">
            <v>OK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226000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101000</v>
          </cell>
          <cell r="R32">
            <v>0</v>
          </cell>
          <cell r="U32">
            <v>226000</v>
          </cell>
          <cell r="AJ32">
            <v>200000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4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J34">
            <v>1</v>
          </cell>
          <cell r="K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4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150000</v>
          </cell>
          <cell r="E37">
            <v>0</v>
          </cell>
          <cell r="F37">
            <v>0</v>
          </cell>
          <cell r="G37">
            <v>0</v>
          </cell>
          <cell r="H37" t="str">
            <v>BANQUE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4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4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-103500</v>
          </cell>
          <cell r="D40">
            <v>6348000</v>
          </cell>
          <cell r="E40">
            <v>0</v>
          </cell>
          <cell r="F40">
            <v>0</v>
          </cell>
          <cell r="G40">
            <v>3000</v>
          </cell>
          <cell r="H40">
            <v>0</v>
          </cell>
          <cell r="I40">
            <v>69500</v>
          </cell>
          <cell r="J40">
            <v>32</v>
          </cell>
          <cell r="K40">
            <v>1550000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87000</v>
          </cell>
          <cell r="Q40">
            <v>576000</v>
          </cell>
          <cell r="R40">
            <v>1166000</v>
          </cell>
          <cell r="S40">
            <v>0</v>
          </cell>
          <cell r="U40">
            <v>6451500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267000</v>
          </cell>
          <cell r="AJ40">
            <v>883500</v>
          </cell>
          <cell r="AK40">
            <v>1302000</v>
          </cell>
          <cell r="AL40">
            <v>4500</v>
          </cell>
          <cell r="AM40">
            <v>9000</v>
          </cell>
          <cell r="AN40">
            <v>15000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 t="str">
            <v>OK</v>
          </cell>
          <cell r="BF6">
            <v>0</v>
          </cell>
          <cell r="BG6">
            <v>3</v>
          </cell>
          <cell r="BH6">
            <v>6000</v>
          </cell>
          <cell r="BI6">
            <v>0</v>
          </cell>
          <cell r="BJ6">
            <v>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110000</v>
          </cell>
          <cell r="F7">
            <v>0</v>
          </cell>
          <cell r="G7">
            <v>3000</v>
          </cell>
          <cell r="H7" t="str">
            <v>ESPECES</v>
          </cell>
          <cell r="I7">
            <v>-1000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58000</v>
          </cell>
          <cell r="Q7">
            <v>0</v>
          </cell>
          <cell r="R7">
            <v>0</v>
          </cell>
          <cell r="U7">
            <v>110000</v>
          </cell>
          <cell r="AQ7">
            <v>0</v>
          </cell>
          <cell r="AR7">
            <v>0</v>
          </cell>
          <cell r="AS7">
            <v>24000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0</v>
          </cell>
          <cell r="E8">
            <v>128000</v>
          </cell>
          <cell r="F8">
            <v>0</v>
          </cell>
          <cell r="G8">
            <v>3000</v>
          </cell>
          <cell r="H8" t="str">
            <v>ESPECES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128000</v>
          </cell>
          <cell r="AD8">
            <v>7500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892500</v>
          </cell>
          <cell r="AY8">
            <v>0</v>
          </cell>
          <cell r="AZ8">
            <v>892500</v>
          </cell>
          <cell r="BD8">
            <v>892500</v>
          </cell>
          <cell r="BF8">
            <v>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356000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5000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U9">
            <v>356000</v>
          </cell>
          <cell r="AK9">
            <v>200000</v>
          </cell>
          <cell r="AN9">
            <v>3000</v>
          </cell>
          <cell r="AP9" t="str">
            <v>BANQUE</v>
          </cell>
          <cell r="AQ9">
            <v>0</v>
          </cell>
          <cell r="AR9">
            <v>0</v>
          </cell>
          <cell r="AS9">
            <v>30000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D9">
            <v>200000</v>
          </cell>
          <cell r="BE9" t="str">
            <v>OK</v>
          </cell>
          <cell r="BF9">
            <v>0</v>
          </cell>
          <cell r="BG9">
            <v>3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290000</v>
          </cell>
          <cell r="F10">
            <v>0</v>
          </cell>
          <cell r="G10">
            <v>3000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101000</v>
          </cell>
          <cell r="R10">
            <v>0</v>
          </cell>
          <cell r="U10">
            <v>290000</v>
          </cell>
          <cell r="AI10">
            <v>60000</v>
          </cell>
          <cell r="AJ10">
            <v>50000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60000</v>
          </cell>
          <cell r="AX10">
            <v>50000</v>
          </cell>
          <cell r="AY10">
            <v>0</v>
          </cell>
          <cell r="AZ10">
            <v>110000</v>
          </cell>
          <cell r="BA10">
            <v>110000</v>
          </cell>
          <cell r="BD10">
            <v>0</v>
          </cell>
          <cell r="BF10">
            <v>0</v>
          </cell>
          <cell r="BG10">
            <v>3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230000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2500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102500</v>
          </cell>
          <cell r="R11">
            <v>0</v>
          </cell>
          <cell r="U11">
            <v>230000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27500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A11">
            <v>50000</v>
          </cell>
          <cell r="BD11">
            <v>0</v>
          </cell>
          <cell r="BF11">
            <v>0</v>
          </cell>
          <cell r="BG11">
            <v>3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532000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202000</v>
          </cell>
          <cell r="U12">
            <v>532000</v>
          </cell>
          <cell r="AK12">
            <v>200000</v>
          </cell>
          <cell r="AN12">
            <v>3000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200000</v>
          </cell>
          <cell r="AZ12">
            <v>200000</v>
          </cell>
          <cell r="BD12">
            <v>200000</v>
          </cell>
          <cell r="BE12" t="str">
            <v>OK</v>
          </cell>
          <cell r="BF12">
            <v>0</v>
          </cell>
          <cell r="BG12">
            <v>3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452000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25000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0</v>
          </cell>
          <cell r="U16">
            <v>452000</v>
          </cell>
          <cell r="Z16">
            <v>1000000</v>
          </cell>
          <cell r="AA16" t="str">
            <v>BANQUE</v>
          </cell>
          <cell r="AK16">
            <v>200000</v>
          </cell>
          <cell r="AN16">
            <v>3500</v>
          </cell>
          <cell r="AP16" t="str">
            <v>BANQUE</v>
          </cell>
          <cell r="AQ16">
            <v>0</v>
          </cell>
          <cell r="AR16">
            <v>0</v>
          </cell>
          <cell r="AS16">
            <v>50000</v>
          </cell>
          <cell r="AW16">
            <v>0</v>
          </cell>
          <cell r="AX16">
            <v>0</v>
          </cell>
          <cell r="AY16">
            <v>200000</v>
          </cell>
          <cell r="AZ16">
            <v>1180000</v>
          </cell>
          <cell r="BD16">
            <v>1180000</v>
          </cell>
          <cell r="BE16" t="str">
            <v>OK</v>
          </cell>
          <cell r="BF16">
            <v>20000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170000</v>
          </cell>
          <cell r="E17">
            <v>210000</v>
          </cell>
          <cell r="F17">
            <v>0</v>
          </cell>
          <cell r="G17">
            <v>3000</v>
          </cell>
          <cell r="H17" t="str">
            <v>BANQUE</v>
          </cell>
          <cell r="I17">
            <v>-5500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30500</v>
          </cell>
          <cell r="Q17">
            <v>0</v>
          </cell>
          <cell r="R17">
            <v>202000</v>
          </cell>
          <cell r="U17">
            <v>380000</v>
          </cell>
          <cell r="AK17">
            <v>200000</v>
          </cell>
          <cell r="AN17">
            <v>2500</v>
          </cell>
          <cell r="AP17" t="str">
            <v>BANQUE</v>
          </cell>
          <cell r="AQ17">
            <v>0</v>
          </cell>
          <cell r="AR17">
            <v>0</v>
          </cell>
          <cell r="AS17">
            <v>19500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A17">
            <v>200000</v>
          </cell>
          <cell r="BD17">
            <v>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362000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362000</v>
          </cell>
          <cell r="AK18">
            <v>100000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3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202000</v>
          </cell>
          <cell r="R20">
            <v>202000</v>
          </cell>
          <cell r="U20">
            <v>629000</v>
          </cell>
          <cell r="AI20">
            <v>60000</v>
          </cell>
          <cell r="AJ20">
            <v>50000</v>
          </cell>
          <cell r="AK20">
            <v>200000</v>
          </cell>
          <cell r="AL20">
            <v>1000</v>
          </cell>
          <cell r="AM20">
            <v>1000</v>
          </cell>
          <cell r="AN20">
            <v>2500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60000</v>
          </cell>
          <cell r="AX20">
            <v>50000</v>
          </cell>
          <cell r="AY20">
            <v>200000</v>
          </cell>
          <cell r="AZ20">
            <v>310000</v>
          </cell>
          <cell r="BA20">
            <v>150000</v>
          </cell>
          <cell r="BD20">
            <v>160000</v>
          </cell>
          <cell r="BE20" t="str">
            <v>OK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3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E23">
            <v>10000</v>
          </cell>
          <cell r="AF23" t="str">
            <v>BANQUE</v>
          </cell>
          <cell r="AK23">
            <v>200000</v>
          </cell>
          <cell r="AN23">
            <v>2500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1390000</v>
          </cell>
          <cell r="AZ23">
            <v>1390000</v>
          </cell>
          <cell r="BD23">
            <v>1390000</v>
          </cell>
          <cell r="BE23" t="str">
            <v>OK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209000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206000</v>
          </cell>
          <cell r="U24">
            <v>449000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0</v>
          </cell>
          <cell r="BE24" t="str">
            <v>OK</v>
          </cell>
          <cell r="BF24">
            <v>0</v>
          </cell>
          <cell r="BG24">
            <v>3</v>
          </cell>
          <cell r="BO24" t="str">
            <v>GRATIFICATION BUREAU 2021</v>
          </cell>
          <cell r="BP24" t="str">
            <v>FRAIS EXEPTIONNEL</v>
          </cell>
          <cell r="BR24">
            <v>200000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458000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83000</v>
          </cell>
          <cell r="R25">
            <v>0</v>
          </cell>
          <cell r="U25">
            <v>458000</v>
          </cell>
          <cell r="AD25">
            <v>7500</v>
          </cell>
          <cell r="AF25" t="str">
            <v>BANQUE</v>
          </cell>
          <cell r="AJ25">
            <v>50000</v>
          </cell>
          <cell r="AK25">
            <v>200000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942500</v>
          </cell>
          <cell r="AY25">
            <v>200000</v>
          </cell>
          <cell r="AZ25">
            <v>1142500</v>
          </cell>
          <cell r="BA25">
            <v>150000</v>
          </cell>
          <cell r="BD25">
            <v>992500</v>
          </cell>
          <cell r="BE25" t="str">
            <v>OK</v>
          </cell>
          <cell r="BF25">
            <v>0</v>
          </cell>
          <cell r="BG25">
            <v>3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112000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1000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112000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26000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A26">
            <v>60000</v>
          </cell>
          <cell r="BD26">
            <v>0</v>
          </cell>
          <cell r="BF26">
            <v>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O28" t="str">
            <v>S/TOTAL</v>
          </cell>
          <cell r="BQ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112000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112000</v>
          </cell>
          <cell r="AC29">
            <v>3000</v>
          </cell>
          <cell r="AP29" t="str">
            <v>BANQUE</v>
          </cell>
          <cell r="AQ29">
            <v>0</v>
          </cell>
          <cell r="AR29">
            <v>0</v>
          </cell>
          <cell r="AS29">
            <v>26000</v>
          </cell>
          <cell r="AW29">
            <v>297000</v>
          </cell>
          <cell r="AX29">
            <v>0</v>
          </cell>
          <cell r="AY29">
            <v>0</v>
          </cell>
          <cell r="AZ29">
            <v>297000</v>
          </cell>
          <cell r="BD29">
            <v>297000</v>
          </cell>
          <cell r="BE29" t="str">
            <v>OK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3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I31">
            <v>29500</v>
          </cell>
          <cell r="AL31">
            <v>500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29500</v>
          </cell>
          <cell r="AX31">
            <v>0</v>
          </cell>
          <cell r="AY31">
            <v>0</v>
          </cell>
          <cell r="AZ31">
            <v>29500</v>
          </cell>
          <cell r="BA31">
            <v>29500</v>
          </cell>
          <cell r="BD31">
            <v>0</v>
          </cell>
          <cell r="BE31" t="str">
            <v>OK</v>
          </cell>
          <cell r="BF31">
            <v>0</v>
          </cell>
          <cell r="BG31">
            <v>3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AI32">
            <v>0</v>
          </cell>
          <cell r="AJ32">
            <v>107500</v>
          </cell>
          <cell r="AL32">
            <v>0</v>
          </cell>
          <cell r="AM32">
            <v>2000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107500</v>
          </cell>
          <cell r="AY32">
            <v>0</v>
          </cell>
          <cell r="AZ32">
            <v>107500</v>
          </cell>
          <cell r="BA32">
            <v>60500</v>
          </cell>
          <cell r="BD32">
            <v>47000</v>
          </cell>
          <cell r="BE32" t="str">
            <v>OK</v>
          </cell>
          <cell r="BF32">
            <v>0</v>
          </cell>
          <cell r="BG32">
            <v>3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-304000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174000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324000</v>
          </cell>
          <cell r="AC33">
            <v>6000</v>
          </cell>
          <cell r="AE33">
            <v>10000</v>
          </cell>
          <cell r="AF33" t="str">
            <v>BANQUE</v>
          </cell>
          <cell r="AQ33">
            <v>0</v>
          </cell>
          <cell r="AR33">
            <v>0</v>
          </cell>
          <cell r="AS33">
            <v>199000</v>
          </cell>
          <cell r="AW33">
            <v>294000</v>
          </cell>
          <cell r="AX33">
            <v>0</v>
          </cell>
          <cell r="AY33">
            <v>1190000</v>
          </cell>
          <cell r="AZ33">
            <v>1484000</v>
          </cell>
          <cell r="BB33">
            <v>140000</v>
          </cell>
          <cell r="BD33">
            <v>1180000</v>
          </cell>
          <cell r="BE33" t="str">
            <v>OK</v>
          </cell>
          <cell r="BF33">
            <v>0</v>
          </cell>
          <cell r="BG33">
            <v>3</v>
          </cell>
          <cell r="BO33" t="str">
            <v>S/TOTAL</v>
          </cell>
          <cell r="BQ33">
            <v>0</v>
          </cell>
          <cell r="BR33">
            <v>164000</v>
          </cell>
        </row>
        <row r="34">
          <cell r="A34" t="str">
            <v>AS201643</v>
          </cell>
          <cell r="B34" t="str">
            <v>TCHOUTOU NANA CLAUDE</v>
          </cell>
          <cell r="C34">
            <v>3750</v>
          </cell>
          <cell r="D34">
            <v>110000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6250</v>
          </cell>
          <cell r="J34">
            <v>1</v>
          </cell>
          <cell r="K34">
            <v>100000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106250</v>
          </cell>
          <cell r="AQ34">
            <v>0</v>
          </cell>
          <cell r="AR34">
            <v>3750</v>
          </cell>
          <cell r="AS34">
            <v>56250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100000</v>
          </cell>
          <cell r="BD35">
            <v>100000</v>
          </cell>
          <cell r="BE35" t="str">
            <v>OK</v>
          </cell>
          <cell r="BF35">
            <v>0</v>
          </cell>
          <cell r="BG35">
            <v>3</v>
          </cell>
          <cell r="BK35">
            <v>100000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-940000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I37">
            <v>700000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853000</v>
          </cell>
          <cell r="AC37">
            <v>4000</v>
          </cell>
          <cell r="AE37">
            <v>10000</v>
          </cell>
          <cell r="AF37" t="str">
            <v>BANQUE</v>
          </cell>
          <cell r="AQ37">
            <v>0</v>
          </cell>
          <cell r="AR37">
            <v>0</v>
          </cell>
          <cell r="AS37">
            <v>725000</v>
          </cell>
          <cell r="AT37">
            <v>120000</v>
          </cell>
          <cell r="AW37">
            <v>296000</v>
          </cell>
          <cell r="AX37">
            <v>0</v>
          </cell>
          <cell r="AY37">
            <v>1190000</v>
          </cell>
          <cell r="AZ37">
            <v>1486000</v>
          </cell>
          <cell r="BB37">
            <v>240000</v>
          </cell>
          <cell r="BD37">
            <v>426000</v>
          </cell>
          <cell r="BE37" t="str">
            <v>OK</v>
          </cell>
          <cell r="BF37">
            <v>0</v>
          </cell>
          <cell r="BG37">
            <v>3</v>
          </cell>
          <cell r="BO37" t="str">
            <v>BOISSON</v>
          </cell>
          <cell r="BP37" t="str">
            <v>COLLATION</v>
          </cell>
          <cell r="BR37">
            <v>820000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3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-1240250</v>
          </cell>
          <cell r="D40">
            <v>6147000</v>
          </cell>
          <cell r="E40">
            <v>1100000</v>
          </cell>
          <cell r="F40">
            <v>0</v>
          </cell>
          <cell r="G40">
            <v>18000</v>
          </cell>
          <cell r="H40">
            <v>0</v>
          </cell>
          <cell r="I40">
            <v>958250</v>
          </cell>
          <cell r="J40">
            <v>32</v>
          </cell>
          <cell r="K40">
            <v>1650000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271500</v>
          </cell>
          <cell r="Q40">
            <v>892500</v>
          </cell>
          <cell r="R40">
            <v>1317000</v>
          </cell>
          <cell r="S40">
            <v>0</v>
          </cell>
          <cell r="U40">
            <v>8107250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1000000</v>
          </cell>
          <cell r="AA40">
            <v>0</v>
          </cell>
          <cell r="AC40">
            <v>13000</v>
          </cell>
          <cell r="AD40">
            <v>15000</v>
          </cell>
          <cell r="AE40">
            <v>30000</v>
          </cell>
          <cell r="AF40">
            <v>0</v>
          </cell>
          <cell r="AG40">
            <v>0</v>
          </cell>
          <cell r="AI40">
            <v>209500</v>
          </cell>
          <cell r="AJ40">
            <v>307500</v>
          </cell>
          <cell r="AK40">
            <v>1900000</v>
          </cell>
          <cell r="AL40">
            <v>3500</v>
          </cell>
          <cell r="AM40">
            <v>6000</v>
          </cell>
          <cell r="AN40">
            <v>25000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106000</v>
          </cell>
          <cell r="BD6">
            <v>1257000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K6">
            <v>100000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C8">
            <v>2500</v>
          </cell>
          <cell r="AF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297500</v>
          </cell>
          <cell r="AX8">
            <v>0</v>
          </cell>
          <cell r="AY8">
            <v>0</v>
          </cell>
          <cell r="AZ8">
            <v>297500</v>
          </cell>
          <cell r="BD8">
            <v>297500</v>
          </cell>
          <cell r="BE8" t="str">
            <v>OK</v>
          </cell>
          <cell r="BF8">
            <v>0</v>
          </cell>
          <cell r="BG8">
            <v>2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-1000</v>
          </cell>
          <cell r="D9">
            <v>452000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203000</v>
          </cell>
          <cell r="U9">
            <v>453000</v>
          </cell>
          <cell r="AE9">
            <v>10000</v>
          </cell>
          <cell r="AF9" t="str">
            <v>BANQUE</v>
          </cell>
          <cell r="AK9">
            <v>150000</v>
          </cell>
          <cell r="AN9">
            <v>1500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1340000</v>
          </cell>
          <cell r="AZ9">
            <v>1340000</v>
          </cell>
          <cell r="BA9">
            <v>150000</v>
          </cell>
          <cell r="BD9">
            <v>1190000</v>
          </cell>
          <cell r="BE9" t="str">
            <v>OK</v>
          </cell>
          <cell r="BF9">
            <v>0</v>
          </cell>
          <cell r="BG9">
            <v>2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238000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51000</v>
          </cell>
          <cell r="R10">
            <v>0</v>
          </cell>
          <cell r="U10">
            <v>238000</v>
          </cell>
          <cell r="AI10">
            <v>60500</v>
          </cell>
          <cell r="AJ10">
            <v>100000</v>
          </cell>
          <cell r="AL10">
            <v>1500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26000</v>
          </cell>
          <cell r="AW10">
            <v>60500</v>
          </cell>
          <cell r="AX10">
            <v>100000</v>
          </cell>
          <cell r="AY10">
            <v>0</v>
          </cell>
          <cell r="AZ10">
            <v>160500</v>
          </cell>
          <cell r="BA10">
            <v>60500</v>
          </cell>
          <cell r="BD10">
            <v>100000</v>
          </cell>
          <cell r="BE10" t="str">
            <v>OK</v>
          </cell>
          <cell r="BF10">
            <v>0</v>
          </cell>
          <cell r="BG10">
            <v>2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176500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500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51000</v>
          </cell>
          <cell r="R11">
            <v>0</v>
          </cell>
          <cell r="U11">
            <v>176500</v>
          </cell>
          <cell r="AJ11">
            <v>100000</v>
          </cell>
          <cell r="AM11">
            <v>1000</v>
          </cell>
          <cell r="AN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25500</v>
          </cell>
          <cell r="AW11">
            <v>0</v>
          </cell>
          <cell r="AX11">
            <v>100000</v>
          </cell>
          <cell r="AY11">
            <v>0</v>
          </cell>
          <cell r="AZ11">
            <v>100000</v>
          </cell>
          <cell r="BA11">
            <v>100000</v>
          </cell>
          <cell r="BD11">
            <v>0</v>
          </cell>
          <cell r="BF11">
            <v>0</v>
          </cell>
          <cell r="BG11">
            <v>2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-1000</v>
          </cell>
          <cell r="D12">
            <v>632000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203000</v>
          </cell>
          <cell r="S12">
            <v>100000</v>
          </cell>
          <cell r="T12" t="str">
            <v>BANQUE</v>
          </cell>
          <cell r="U12">
            <v>633000</v>
          </cell>
          <cell r="AK12">
            <v>400000</v>
          </cell>
          <cell r="AN12">
            <v>4000</v>
          </cell>
          <cell r="AP12" t="str">
            <v>BANQUE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400000</v>
          </cell>
          <cell r="AZ12">
            <v>400000</v>
          </cell>
          <cell r="BD12">
            <v>400000</v>
          </cell>
          <cell r="BE12" t="str">
            <v>OK</v>
          </cell>
          <cell r="BF12">
            <v>0</v>
          </cell>
          <cell r="BG12">
            <v>2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-1500</v>
          </cell>
          <cell r="D16">
            <v>442000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203500</v>
          </cell>
          <cell r="U16">
            <v>443500</v>
          </cell>
          <cell r="AK16">
            <v>300000</v>
          </cell>
          <cell r="AN16">
            <v>3000</v>
          </cell>
          <cell r="AP16" t="str">
            <v>BANQUE</v>
          </cell>
          <cell r="AQ16">
            <v>0</v>
          </cell>
          <cell r="AR16">
            <v>0</v>
          </cell>
          <cell r="AS16">
            <v>40000</v>
          </cell>
          <cell r="AW16">
            <v>0</v>
          </cell>
          <cell r="AX16">
            <v>0</v>
          </cell>
          <cell r="AY16">
            <v>300000</v>
          </cell>
          <cell r="AZ16">
            <v>300000</v>
          </cell>
          <cell r="BD16">
            <v>300000</v>
          </cell>
          <cell r="BE16" t="str">
            <v>OK</v>
          </cell>
          <cell r="BF16">
            <v>0</v>
          </cell>
          <cell r="BG16">
            <v>2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353000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202500</v>
          </cell>
          <cell r="U17">
            <v>353000</v>
          </cell>
          <cell r="AK17">
            <v>150000</v>
          </cell>
          <cell r="AN17">
            <v>1500</v>
          </cell>
          <cell r="AP17" t="str">
            <v>BANQUE</v>
          </cell>
          <cell r="AQ17">
            <v>0</v>
          </cell>
          <cell r="AR17">
            <v>0</v>
          </cell>
          <cell r="AS17">
            <v>25500</v>
          </cell>
          <cell r="AW17">
            <v>0</v>
          </cell>
          <cell r="AX17">
            <v>0</v>
          </cell>
          <cell r="AY17">
            <v>150000</v>
          </cell>
          <cell r="AZ17">
            <v>150000</v>
          </cell>
          <cell r="BA17">
            <v>100000</v>
          </cell>
          <cell r="BD17">
            <v>50000</v>
          </cell>
          <cell r="BE17" t="str">
            <v>OK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251000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U18">
            <v>251000</v>
          </cell>
          <cell r="AP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2</v>
          </cell>
          <cell r="BO18" t="str">
            <v>TERRAIN NYOM</v>
          </cell>
          <cell r="BP18" t="str">
            <v>AUTRES DEPENSES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2</v>
          </cell>
        </row>
        <row r="20">
          <cell r="A20" t="str">
            <v>AS201649</v>
          </cell>
          <cell r="B20" t="str">
            <v>MBOGNING TUGMA GUY</v>
          </cell>
          <cell r="C20">
            <v>-500</v>
          </cell>
          <cell r="D20">
            <v>539000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61000</v>
          </cell>
          <cell r="Q20">
            <v>51000</v>
          </cell>
          <cell r="R20">
            <v>202500</v>
          </cell>
          <cell r="U20">
            <v>539500</v>
          </cell>
          <cell r="AJ20">
            <v>50000</v>
          </cell>
          <cell r="AK20">
            <v>400000</v>
          </cell>
          <cell r="AM20">
            <v>1000</v>
          </cell>
          <cell r="AN20">
            <v>4000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50000</v>
          </cell>
          <cell r="AY20">
            <v>400000</v>
          </cell>
          <cell r="AZ20">
            <v>450000</v>
          </cell>
          <cell r="BA20">
            <v>62500</v>
          </cell>
          <cell r="BD20">
            <v>387500</v>
          </cell>
          <cell r="BE20" t="str">
            <v>OK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U22">
            <v>125000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2</v>
          </cell>
          <cell r="BO22" t="str">
            <v>S/TOTAL</v>
          </cell>
          <cell r="BQ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-500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202500</v>
          </cell>
          <cell r="U23">
            <v>462500</v>
          </cell>
          <cell r="AK23">
            <v>200000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200000</v>
          </cell>
          <cell r="AZ23">
            <v>200000</v>
          </cell>
          <cell r="BA23">
            <v>100000</v>
          </cell>
          <cell r="BD23">
            <v>100000</v>
          </cell>
          <cell r="BE23" t="str">
            <v>OK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0</v>
          </cell>
          <cell r="E24">
            <v>430000</v>
          </cell>
          <cell r="F24">
            <v>0</v>
          </cell>
          <cell r="G24">
            <v>3000</v>
          </cell>
          <cell r="H24" t="str">
            <v>ESPECES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430000</v>
          </cell>
          <cell r="AK24">
            <v>200000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0</v>
          </cell>
          <cell r="AY24">
            <v>200000</v>
          </cell>
          <cell r="AZ24">
            <v>200000</v>
          </cell>
          <cell r="BD24">
            <v>521000</v>
          </cell>
          <cell r="BE24" t="str">
            <v>OK</v>
          </cell>
          <cell r="BF24">
            <v>0</v>
          </cell>
          <cell r="BG24">
            <v>2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618000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-11000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51000</v>
          </cell>
          <cell r="R25">
            <v>203000</v>
          </cell>
          <cell r="U25">
            <v>618000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14000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D25">
            <v>100000</v>
          </cell>
          <cell r="BE25" t="str">
            <v>OK</v>
          </cell>
          <cell r="BF25">
            <v>0</v>
          </cell>
          <cell r="BG25">
            <v>2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61000</v>
          </cell>
          <cell r="Q26">
            <v>0</v>
          </cell>
          <cell r="R26">
            <v>0</v>
          </cell>
          <cell r="U26">
            <v>111000</v>
          </cell>
          <cell r="AP26" t="str">
            <v>BANQUE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2</v>
          </cell>
          <cell r="BO26" t="str">
            <v>DEUIL TCHEMNOU EMMANUEL</v>
          </cell>
          <cell r="BP26" t="str">
            <v>FRAIS EXEPTIONNEL</v>
          </cell>
          <cell r="BQ26">
            <v>321500</v>
          </cell>
        </row>
        <row r="27">
          <cell r="A27" t="str">
            <v>AS201656</v>
          </cell>
          <cell r="B27" t="str">
            <v>NOUBE ETIENNE</v>
          </cell>
          <cell r="C27">
            <v>-20000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C27">
            <v>2500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297500</v>
          </cell>
          <cell r="AX27">
            <v>0</v>
          </cell>
          <cell r="AY27">
            <v>0</v>
          </cell>
          <cell r="AZ27">
            <v>297500</v>
          </cell>
          <cell r="BB27">
            <v>20000</v>
          </cell>
          <cell r="BD27">
            <v>277500</v>
          </cell>
          <cell r="BE27" t="str">
            <v>OK</v>
          </cell>
          <cell r="BF27">
            <v>0</v>
          </cell>
          <cell r="BG27">
            <v>2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O28" t="str">
            <v>S/TOTAL</v>
          </cell>
          <cell r="BQ28">
            <v>321500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AI29">
            <v>60000</v>
          </cell>
          <cell r="AL29">
            <v>1500</v>
          </cell>
          <cell r="AQ29">
            <v>0</v>
          </cell>
          <cell r="AR29">
            <v>0</v>
          </cell>
          <cell r="AS29">
            <v>25000</v>
          </cell>
          <cell r="AW29">
            <v>60000</v>
          </cell>
          <cell r="AX29">
            <v>0</v>
          </cell>
          <cell r="AY29">
            <v>0</v>
          </cell>
          <cell r="AZ29">
            <v>60000</v>
          </cell>
          <cell r="BA29">
            <v>60000</v>
          </cell>
          <cell r="BD29">
            <v>0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U30">
            <v>452000</v>
          </cell>
          <cell r="AP30" t="str">
            <v>BANQUE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O30" t="str">
            <v xml:space="preserve">DECES </v>
          </cell>
          <cell r="BP30" t="str">
            <v>MUTUELLE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180000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30000</v>
          </cell>
          <cell r="Q31">
            <v>0</v>
          </cell>
          <cell r="R31">
            <v>0</v>
          </cell>
          <cell r="U31">
            <v>180000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234500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109500</v>
          </cell>
          <cell r="R32">
            <v>0</v>
          </cell>
          <cell r="U32">
            <v>234500</v>
          </cell>
          <cell r="AP32" t="str">
            <v>BANQUE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-85000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95000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245000</v>
          </cell>
          <cell r="AQ33">
            <v>0</v>
          </cell>
          <cell r="AR33">
            <v>0</v>
          </cell>
          <cell r="AS33">
            <v>120000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O33" t="str">
            <v>S/TOTAL</v>
          </cell>
          <cell r="BQ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  <cell r="BO34" t="str">
            <v>S/TOTAL</v>
          </cell>
          <cell r="BQ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60000</v>
          </cell>
          <cell r="AQ35">
            <v>0</v>
          </cell>
          <cell r="AR35">
            <v>0</v>
          </cell>
          <cell r="AS35">
            <v>35000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O36" t="str">
            <v>COLLATION</v>
          </cell>
          <cell r="BP36" t="str">
            <v>COLLATION</v>
          </cell>
          <cell r="BQ36">
            <v>100000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2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C38">
            <v>2500</v>
          </cell>
          <cell r="AD38">
            <v>7500</v>
          </cell>
          <cell r="AF38" t="str">
            <v>BANQUE</v>
          </cell>
          <cell r="AQ38">
            <v>0</v>
          </cell>
          <cell r="AR38">
            <v>0</v>
          </cell>
          <cell r="AS38">
            <v>25000</v>
          </cell>
          <cell r="AW38">
            <v>297500</v>
          </cell>
          <cell r="AX38">
            <v>892500</v>
          </cell>
          <cell r="AY38">
            <v>0</v>
          </cell>
          <cell r="AZ38">
            <v>1190000</v>
          </cell>
          <cell r="BD38">
            <v>1190000</v>
          </cell>
          <cell r="BE38" t="str">
            <v>OK</v>
          </cell>
          <cell r="BF38">
            <v>0</v>
          </cell>
          <cell r="BG38">
            <v>2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-109500</v>
          </cell>
          <cell r="D40">
            <v>6561000</v>
          </cell>
          <cell r="E40">
            <v>633000</v>
          </cell>
          <cell r="F40">
            <v>0</v>
          </cell>
          <cell r="G40">
            <v>6000</v>
          </cell>
          <cell r="H40">
            <v>0</v>
          </cell>
          <cell r="I40">
            <v>126000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213000</v>
          </cell>
          <cell r="Q40">
            <v>313500</v>
          </cell>
          <cell r="R40">
            <v>1925000</v>
          </cell>
          <cell r="S40">
            <v>100000</v>
          </cell>
          <cell r="U40">
            <v>7283500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120500</v>
          </cell>
          <cell r="AJ40">
            <v>250000</v>
          </cell>
          <cell r="AK40">
            <v>1900000</v>
          </cell>
          <cell r="AL40">
            <v>3000</v>
          </cell>
          <cell r="AM40">
            <v>3000</v>
          </cell>
          <cell r="AN40">
            <v>21000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175000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156000</v>
          </cell>
          <cell r="BD6">
            <v>156000</v>
          </cell>
          <cell r="BF6">
            <v>0</v>
          </cell>
          <cell r="BG6">
            <v>1</v>
          </cell>
          <cell r="BH6">
            <v>56000</v>
          </cell>
          <cell r="BI6">
            <v>0</v>
          </cell>
          <cell r="BJ6">
            <v>100000</v>
          </cell>
          <cell r="BN6">
            <v>2000000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U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401500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151500</v>
          </cell>
          <cell r="U9">
            <v>401500</v>
          </cell>
          <cell r="AK9">
            <v>100000</v>
          </cell>
          <cell r="AN9">
            <v>1000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100000</v>
          </cell>
          <cell r="AZ9">
            <v>100000</v>
          </cell>
          <cell r="BA9">
            <v>100000</v>
          </cell>
          <cell r="BD9">
            <v>0</v>
          </cell>
          <cell r="BF9">
            <v>0</v>
          </cell>
          <cell r="BG9">
            <v>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285000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-3000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62000</v>
          </cell>
          <cell r="Q10">
            <v>101000</v>
          </cell>
          <cell r="R10">
            <v>0</v>
          </cell>
          <cell r="U10">
            <v>285000</v>
          </cell>
          <cell r="AI10">
            <v>60000</v>
          </cell>
          <cell r="AJ10">
            <v>130000</v>
          </cell>
          <cell r="AL10">
            <v>1000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22000</v>
          </cell>
          <cell r="AW10">
            <v>60000</v>
          </cell>
          <cell r="AX10">
            <v>130000</v>
          </cell>
          <cell r="AY10">
            <v>0</v>
          </cell>
          <cell r="AZ10">
            <v>190000</v>
          </cell>
          <cell r="BD10">
            <v>190000</v>
          </cell>
          <cell r="BE10" t="str">
            <v>OK</v>
          </cell>
          <cell r="BF10">
            <v>0</v>
          </cell>
          <cell r="BG10">
            <v>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-101000</v>
          </cell>
          <cell r="D11">
            <v>125000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101000</v>
          </cell>
          <cell r="R11">
            <v>0</v>
          </cell>
          <cell r="U11">
            <v>226000</v>
          </cell>
          <cell r="AJ11">
            <v>101000</v>
          </cell>
          <cell r="AM11">
            <v>2000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101000</v>
          </cell>
          <cell r="AY11">
            <v>0</v>
          </cell>
          <cell r="AZ11">
            <v>101000</v>
          </cell>
          <cell r="BD11">
            <v>0</v>
          </cell>
          <cell r="BF11">
            <v>0</v>
          </cell>
          <cell r="BG11">
            <v>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736000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7000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404000</v>
          </cell>
          <cell r="U12">
            <v>736000</v>
          </cell>
          <cell r="AI12">
            <v>60000</v>
          </cell>
          <cell r="AJ12">
            <v>100500</v>
          </cell>
          <cell r="AK12">
            <v>500000</v>
          </cell>
          <cell r="AL12">
            <v>1000</v>
          </cell>
          <cell r="AM12">
            <v>1000</v>
          </cell>
          <cell r="AN12">
            <v>5000</v>
          </cell>
          <cell r="AP12" t="str">
            <v>BANQUE</v>
          </cell>
          <cell r="AQ12">
            <v>0</v>
          </cell>
          <cell r="AR12">
            <v>0</v>
          </cell>
          <cell r="AS12">
            <v>32000</v>
          </cell>
          <cell r="AW12">
            <v>60000</v>
          </cell>
          <cell r="AX12">
            <v>100500</v>
          </cell>
          <cell r="AY12">
            <v>500000</v>
          </cell>
          <cell r="AZ12">
            <v>660500</v>
          </cell>
          <cell r="BA12">
            <v>60000</v>
          </cell>
          <cell r="BD12">
            <v>600500</v>
          </cell>
          <cell r="BE12" t="str">
            <v>OK</v>
          </cell>
          <cell r="BF12">
            <v>0</v>
          </cell>
          <cell r="BG12">
            <v>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AP13" t="str">
            <v>BANQUE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-3000</v>
          </cell>
          <cell r="D14">
            <v>0</v>
          </cell>
          <cell r="E14">
            <v>50000</v>
          </cell>
          <cell r="F14">
            <v>0</v>
          </cell>
          <cell r="G14">
            <v>3000</v>
          </cell>
          <cell r="H14" t="str">
            <v>ESPECES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53000</v>
          </cell>
          <cell r="AC14">
            <v>2500</v>
          </cell>
          <cell r="AP14" t="str">
            <v>BANQUE</v>
          </cell>
          <cell r="AQ14">
            <v>0</v>
          </cell>
          <cell r="AR14">
            <v>0</v>
          </cell>
          <cell r="AS14">
            <v>25000</v>
          </cell>
          <cell r="AW14">
            <v>297500</v>
          </cell>
          <cell r="AX14">
            <v>0</v>
          </cell>
          <cell r="AY14">
            <v>0</v>
          </cell>
          <cell r="AZ14">
            <v>297500</v>
          </cell>
          <cell r="BD14">
            <v>297500</v>
          </cell>
          <cell r="BE14" t="str">
            <v>OK</v>
          </cell>
          <cell r="BF14">
            <v>0</v>
          </cell>
          <cell r="BG14">
            <v>1</v>
          </cell>
          <cell r="BO14" t="str">
            <v>AGENCE ASSOCIATION</v>
          </cell>
          <cell r="BP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125000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P15" t="str">
            <v>BANQUE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10000</v>
          </cell>
          <cell r="D16">
            <v>543000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0</v>
          </cell>
          <cell r="R16">
            <v>303000</v>
          </cell>
          <cell r="U16">
            <v>533000</v>
          </cell>
          <cell r="AJ16">
            <v>200000</v>
          </cell>
          <cell r="AK16">
            <v>200000</v>
          </cell>
          <cell r="AM16">
            <v>2000</v>
          </cell>
          <cell r="AN16">
            <v>2000</v>
          </cell>
          <cell r="AP16" t="str">
            <v>BANQUE</v>
          </cell>
          <cell r="AQ16">
            <v>0</v>
          </cell>
          <cell r="AR16">
            <v>0</v>
          </cell>
          <cell r="AS16">
            <v>30000</v>
          </cell>
          <cell r="AW16">
            <v>0</v>
          </cell>
          <cell r="AX16">
            <v>200000</v>
          </cell>
          <cell r="AY16">
            <v>200000</v>
          </cell>
          <cell r="AZ16">
            <v>400000</v>
          </cell>
          <cell r="BD16">
            <v>400000</v>
          </cell>
          <cell r="BE16" t="str">
            <v>OK</v>
          </cell>
          <cell r="BF16">
            <v>0</v>
          </cell>
          <cell r="BG16">
            <v>1</v>
          </cell>
          <cell r="BO16" t="str">
            <v>S/TOTAL</v>
          </cell>
          <cell r="BQ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-101500</v>
          </cell>
          <cell r="D17">
            <v>200000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151500</v>
          </cell>
          <cell r="U17">
            <v>301500</v>
          </cell>
          <cell r="AK17">
            <v>101500</v>
          </cell>
          <cell r="AN17">
            <v>3000</v>
          </cell>
          <cell r="AP17" t="str">
            <v>BANQUE</v>
          </cell>
          <cell r="AQ17">
            <v>0</v>
          </cell>
          <cell r="AR17">
            <v>0</v>
          </cell>
          <cell r="AS17">
            <v>25000</v>
          </cell>
          <cell r="AW17">
            <v>0</v>
          </cell>
          <cell r="AX17">
            <v>0</v>
          </cell>
          <cell r="AY17">
            <v>101500</v>
          </cell>
          <cell r="AZ17">
            <v>101500</v>
          </cell>
          <cell r="BD17">
            <v>0</v>
          </cell>
          <cell r="BF17">
            <v>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3000</v>
          </cell>
          <cell r="D18">
            <v>0</v>
          </cell>
          <cell r="E18">
            <v>160000</v>
          </cell>
          <cell r="F18">
            <v>0</v>
          </cell>
          <cell r="G18">
            <v>3000</v>
          </cell>
          <cell r="H18" t="str">
            <v>ESPECES</v>
          </cell>
          <cell r="I18">
            <v>4000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157000</v>
          </cell>
          <cell r="AK18">
            <v>100000</v>
          </cell>
          <cell r="AN18">
            <v>1000</v>
          </cell>
          <cell r="AQ18">
            <v>0</v>
          </cell>
          <cell r="AR18">
            <v>0</v>
          </cell>
          <cell r="AS18">
            <v>29000</v>
          </cell>
          <cell r="AW18">
            <v>0</v>
          </cell>
          <cell r="AX18">
            <v>0</v>
          </cell>
          <cell r="AY18">
            <v>100000</v>
          </cell>
          <cell r="AZ18">
            <v>100000</v>
          </cell>
          <cell r="BA18">
            <v>100000</v>
          </cell>
          <cell r="BD18">
            <v>0</v>
          </cell>
          <cell r="BF18">
            <v>0</v>
          </cell>
          <cell r="BG18">
            <v>1</v>
          </cell>
          <cell r="BO18" t="str">
            <v>TERRAIN NYOM</v>
          </cell>
          <cell r="BP18" t="str">
            <v>AUTRES DEPENSES</v>
          </cell>
          <cell r="BQ18">
            <v>2000000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50000</v>
          </cell>
          <cell r="AQ19">
            <v>0</v>
          </cell>
          <cell r="AR19">
            <v>0</v>
          </cell>
          <cell r="AS19">
            <v>25000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629000</v>
          </cell>
          <cell r="E20">
            <v>51000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0</v>
          </cell>
          <cell r="Q20">
            <v>51000</v>
          </cell>
          <cell r="R20">
            <v>404000</v>
          </cell>
          <cell r="U20">
            <v>680000</v>
          </cell>
          <cell r="AI20">
            <v>130000</v>
          </cell>
          <cell r="AJ20">
            <v>200000</v>
          </cell>
          <cell r="AK20">
            <v>200000</v>
          </cell>
          <cell r="AL20">
            <v>2000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25000</v>
          </cell>
          <cell r="AW20">
            <v>130000</v>
          </cell>
          <cell r="AX20">
            <v>200000</v>
          </cell>
          <cell r="AY20">
            <v>200000</v>
          </cell>
          <cell r="AZ20">
            <v>536000</v>
          </cell>
          <cell r="BA20">
            <v>147000</v>
          </cell>
          <cell r="BD20">
            <v>389000</v>
          </cell>
          <cell r="BE20" t="str">
            <v>OK</v>
          </cell>
          <cell r="BF20">
            <v>0</v>
          </cell>
          <cell r="BG20">
            <v>1</v>
          </cell>
          <cell r="BK20">
            <v>6000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125000</v>
          </cell>
          <cell r="E22">
            <v>0</v>
          </cell>
          <cell r="F22">
            <v>892500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892500</v>
          </cell>
          <cell r="T22" t="str">
            <v>BANQUE</v>
          </cell>
          <cell r="U22">
            <v>1017500</v>
          </cell>
          <cell r="AD22">
            <v>7500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892500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</v>
          </cell>
          <cell r="BO22" t="str">
            <v>S/TOTAL</v>
          </cell>
          <cell r="BQ22">
            <v>2000000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462000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202000</v>
          </cell>
          <cell r="U23">
            <v>462000</v>
          </cell>
          <cell r="AK23">
            <v>400000</v>
          </cell>
          <cell r="AN23">
            <v>4000</v>
          </cell>
          <cell r="AP23" t="str">
            <v>BANQUE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400000</v>
          </cell>
          <cell r="AZ23">
            <v>400000</v>
          </cell>
          <cell r="BD23">
            <v>400000</v>
          </cell>
          <cell r="BE23" t="str">
            <v>OK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205000</v>
          </cell>
          <cell r="F24">
            <v>0</v>
          </cell>
          <cell r="G24">
            <v>3000</v>
          </cell>
          <cell r="H24" t="str">
            <v>BANQUE</v>
          </cell>
          <cell r="I24">
            <v>15000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202000</v>
          </cell>
          <cell r="U24">
            <v>445000</v>
          </cell>
          <cell r="AK24">
            <v>202000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40000</v>
          </cell>
          <cell r="AW24">
            <v>0</v>
          </cell>
          <cell r="AX24">
            <v>0</v>
          </cell>
          <cell r="AY24">
            <v>202000</v>
          </cell>
          <cell r="AZ24">
            <v>202000</v>
          </cell>
          <cell r="BA24">
            <v>202000</v>
          </cell>
          <cell r="BD24">
            <v>0</v>
          </cell>
          <cell r="BF24">
            <v>0</v>
          </cell>
          <cell r="BG24">
            <v>1</v>
          </cell>
          <cell r="BO24" t="str">
            <v>GRATIFICATION BUREAU 2021</v>
          </cell>
          <cell r="BP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4000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480000</v>
          </cell>
          <cell r="AP25" t="str">
            <v>BANQUE</v>
          </cell>
          <cell r="AQ25">
            <v>0</v>
          </cell>
          <cell r="AR25">
            <v>0</v>
          </cell>
          <cell r="AS25">
            <v>29000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2000000</v>
          </cell>
          <cell r="BE25" t="str">
            <v>OK</v>
          </cell>
          <cell r="BF25">
            <v>0</v>
          </cell>
          <cell r="BG25">
            <v>1</v>
          </cell>
          <cell r="BO25" t="str">
            <v>DEVELOPPEMENT LAGWEU</v>
          </cell>
          <cell r="BP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U26">
            <v>50000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1</v>
          </cell>
          <cell r="BO26" t="str">
            <v>DEUIL TCHEMNOU EMMANUEL</v>
          </cell>
          <cell r="BP26" t="str">
            <v>FRAIS EXEPTIONNEL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U27">
            <v>50000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  <cell r="BO27" t="str">
            <v>ASCOBA</v>
          </cell>
          <cell r="BQ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125000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O28" t="str">
            <v>S/TOTAL</v>
          </cell>
          <cell r="BQ28">
            <v>50000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120000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8500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61500</v>
          </cell>
          <cell r="Q29">
            <v>0</v>
          </cell>
          <cell r="R29">
            <v>0</v>
          </cell>
          <cell r="U29">
            <v>120000</v>
          </cell>
          <cell r="AI29">
            <v>60000</v>
          </cell>
          <cell r="AL29">
            <v>1000</v>
          </cell>
          <cell r="AP29" t="str">
            <v>BANQUE</v>
          </cell>
          <cell r="AQ29">
            <v>0</v>
          </cell>
          <cell r="AR29">
            <v>0</v>
          </cell>
          <cell r="AS29">
            <v>33500</v>
          </cell>
          <cell r="AW29">
            <v>60000</v>
          </cell>
          <cell r="AX29">
            <v>0</v>
          </cell>
          <cell r="AY29">
            <v>0</v>
          </cell>
          <cell r="AZ29">
            <v>160000</v>
          </cell>
          <cell r="BA29">
            <v>60000</v>
          </cell>
          <cell r="BD29">
            <v>100000</v>
          </cell>
          <cell r="BE29" t="str">
            <v>OK</v>
          </cell>
          <cell r="BF29">
            <v>0</v>
          </cell>
          <cell r="BG29">
            <v>1</v>
          </cell>
          <cell r="BK29">
            <v>100000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250000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0</v>
          </cell>
          <cell r="U30">
            <v>250000</v>
          </cell>
          <cell r="AK30">
            <v>200000</v>
          </cell>
          <cell r="AN30">
            <v>2000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200000</v>
          </cell>
          <cell r="AZ30">
            <v>200000</v>
          </cell>
          <cell r="BD30">
            <v>200000</v>
          </cell>
          <cell r="BE30" t="str">
            <v>OK</v>
          </cell>
          <cell r="BF30">
            <v>0</v>
          </cell>
          <cell r="BG30">
            <v>1</v>
          </cell>
          <cell r="BO30" t="str">
            <v xml:space="preserve">DECES </v>
          </cell>
          <cell r="BP30" t="str">
            <v>MUTUELLE</v>
          </cell>
          <cell r="BQ30">
            <v>100000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U31">
            <v>150000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O31" t="str">
            <v>TRANSPORT DELEGUE</v>
          </cell>
          <cell r="BP31" t="str">
            <v>MUTUELLE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125000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U32">
            <v>125000</v>
          </cell>
          <cell r="AJ32">
            <v>200000</v>
          </cell>
          <cell r="AM32">
            <v>2000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200000</v>
          </cell>
          <cell r="AY32">
            <v>0</v>
          </cell>
          <cell r="AZ32">
            <v>200000</v>
          </cell>
          <cell r="BD32">
            <v>200000</v>
          </cell>
          <cell r="BE32" t="str">
            <v>OK</v>
          </cell>
          <cell r="BF32">
            <v>0</v>
          </cell>
          <cell r="BG32">
            <v>1</v>
          </cell>
          <cell r="BO32" t="str">
            <v>FUNERAILLE JOSUE DJOSSE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O33" t="str">
            <v>S/TOTAL</v>
          </cell>
          <cell r="BQ33">
            <v>100000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D34">
            <v>50000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  <cell r="BO34" t="str">
            <v>S/TOTAL</v>
          </cell>
          <cell r="BQ34">
            <v>100000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60000</v>
          </cell>
          <cell r="E35">
            <v>0</v>
          </cell>
          <cell r="F35">
            <v>297500</v>
          </cell>
          <cell r="G35">
            <v>0</v>
          </cell>
          <cell r="H35" t="str">
            <v>BANQUE</v>
          </cell>
          <cell r="I35">
            <v>10000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297500</v>
          </cell>
          <cell r="T35" t="str">
            <v>BANQUE</v>
          </cell>
          <cell r="U35">
            <v>357500</v>
          </cell>
          <cell r="AC35">
            <v>2500</v>
          </cell>
          <cell r="AQ35">
            <v>0</v>
          </cell>
          <cell r="AR35">
            <v>0</v>
          </cell>
          <cell r="AS35">
            <v>35000</v>
          </cell>
          <cell r="AW35">
            <v>297500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</v>
          </cell>
          <cell r="BO36" t="str">
            <v>COLLATION</v>
          </cell>
          <cell r="BP36" t="str">
            <v>COLLATION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153000</v>
          </cell>
          <cell r="F37">
            <v>0</v>
          </cell>
          <cell r="G37">
            <v>3000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153000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</v>
          </cell>
          <cell r="BO37" t="str">
            <v>BOISSON</v>
          </cell>
          <cell r="BP37" t="str">
            <v>COLLATION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D38">
            <v>0</v>
          </cell>
          <cell r="BF38">
            <v>0</v>
          </cell>
          <cell r="BG38">
            <v>1</v>
          </cell>
          <cell r="BO38" t="str">
            <v>BOISSON</v>
          </cell>
          <cell r="BP38" t="str">
            <v>COLLATION</v>
          </cell>
        </row>
        <row r="40">
          <cell r="B40" t="str">
            <v>TOTAUX</v>
          </cell>
          <cell r="C40">
            <v>-192500</v>
          </cell>
          <cell r="D40">
            <v>6116500</v>
          </cell>
          <cell r="E40">
            <v>669000</v>
          </cell>
          <cell r="F40">
            <v>1190000</v>
          </cell>
          <cell r="G40">
            <v>12000</v>
          </cell>
          <cell r="H40">
            <v>0</v>
          </cell>
          <cell r="I40">
            <v>70500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123500</v>
          </cell>
          <cell r="Q40">
            <v>253000</v>
          </cell>
          <cell r="R40">
            <v>1919000</v>
          </cell>
          <cell r="S40">
            <v>1190000</v>
          </cell>
          <cell r="U40">
            <v>8168000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C40">
            <v>5000</v>
          </cell>
          <cell r="AD40">
            <v>7500</v>
          </cell>
          <cell r="AE40">
            <v>0</v>
          </cell>
          <cell r="AF40">
            <v>0</v>
          </cell>
          <cell r="AG40">
            <v>0</v>
          </cell>
          <cell r="AI40">
            <v>310000</v>
          </cell>
          <cell r="AJ40">
            <v>931500</v>
          </cell>
          <cell r="AK40">
            <v>2003500</v>
          </cell>
          <cell r="AL40">
            <v>5000</v>
          </cell>
          <cell r="AM40">
            <v>11000</v>
          </cell>
          <cell r="AN40">
            <v>22000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6">
        <row r="6">
          <cell r="A6" t="str">
            <v>AS201648</v>
          </cell>
          <cell r="B6" t="str">
            <v>ASELBY</v>
          </cell>
          <cell r="C6">
            <v>-61000</v>
          </cell>
          <cell r="D6">
            <v>175000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I6">
            <v>61000</v>
          </cell>
          <cell r="K6">
            <v>0</v>
          </cell>
          <cell r="L6">
            <v>1</v>
          </cell>
          <cell r="M6">
            <v>75000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236000</v>
          </cell>
          <cell r="AD6">
            <v>7500</v>
          </cell>
          <cell r="AE6">
            <v>10000</v>
          </cell>
          <cell r="AQ6">
            <v>0</v>
          </cell>
          <cell r="AR6">
            <v>0</v>
          </cell>
          <cell r="AW6">
            <v>0</v>
          </cell>
          <cell r="AX6">
            <v>892500</v>
          </cell>
          <cell r="AY6">
            <v>1190000</v>
          </cell>
          <cell r="AZ6">
            <v>4031000</v>
          </cell>
          <cell r="BA6">
            <v>31000</v>
          </cell>
          <cell r="BD6">
            <v>5026618</v>
          </cell>
          <cell r="BF6">
            <v>0</v>
          </cell>
          <cell r="BG6">
            <v>12</v>
          </cell>
          <cell r="BH6">
            <v>4031000</v>
          </cell>
          <cell r="BI6">
            <v>0</v>
          </cell>
          <cell r="BJ6">
            <v>0</v>
          </cell>
          <cell r="BN6">
            <v>1026618</v>
          </cell>
          <cell r="BO6" t="str">
            <v>ACHAT FOURNITURE</v>
          </cell>
          <cell r="BP6" t="str">
            <v>FONDS DE ROULEMENT</v>
          </cell>
          <cell r="BR6">
            <v>-175000</v>
          </cell>
          <cell r="BS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G7">
            <v>0</v>
          </cell>
          <cell r="H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93000</v>
          </cell>
          <cell r="BG7">
            <v>12</v>
          </cell>
          <cell r="BO7" t="str">
            <v>COMMUNICATION</v>
          </cell>
          <cell r="BP7" t="str">
            <v>FONDS DE ROULEMENT</v>
          </cell>
          <cell r="BR7">
            <v>0</v>
          </cell>
          <cell r="BS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500000</v>
          </cell>
          <cell r="F8">
            <v>0</v>
          </cell>
          <cell r="G8">
            <v>0</v>
          </cell>
          <cell r="H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U8">
            <v>625000</v>
          </cell>
          <cell r="Z8">
            <v>500000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440000</v>
          </cell>
          <cell r="BA8">
            <v>440000</v>
          </cell>
          <cell r="BD8">
            <v>0</v>
          </cell>
          <cell r="BF8">
            <v>60000</v>
          </cell>
          <cell r="BG8">
            <v>12</v>
          </cell>
          <cell r="BO8" t="str">
            <v>COMMISSION</v>
          </cell>
          <cell r="BP8" t="str">
            <v>FONDS DE ROULEMENT</v>
          </cell>
          <cell r="BQ8">
            <v>25000</v>
          </cell>
          <cell r="BR8">
            <v>0</v>
          </cell>
          <cell r="BS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500000</v>
          </cell>
          <cell r="D9">
            <v>250000</v>
          </cell>
          <cell r="E9">
            <v>1600000</v>
          </cell>
          <cell r="F9">
            <v>0</v>
          </cell>
          <cell r="G9">
            <v>0</v>
          </cell>
          <cell r="H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101000</v>
          </cell>
          <cell r="S9">
            <v>1000000</v>
          </cell>
          <cell r="U9">
            <v>1351000</v>
          </cell>
          <cell r="Z9">
            <v>1000000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0</v>
          </cell>
          <cell r="AZ9">
            <v>880000</v>
          </cell>
          <cell r="BA9">
            <v>880000</v>
          </cell>
          <cell r="BD9">
            <v>0</v>
          </cell>
          <cell r="BF9">
            <v>120000</v>
          </cell>
          <cell r="BG9">
            <v>12</v>
          </cell>
          <cell r="BO9" t="str">
            <v>OUVERTURE COMPTE</v>
          </cell>
          <cell r="BP9" t="str">
            <v>FONDS DE ROULEMENT</v>
          </cell>
          <cell r="BR9">
            <v>0</v>
          </cell>
          <cell r="BS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-11000</v>
          </cell>
          <cell r="D10">
            <v>0</v>
          </cell>
          <cell r="E10">
            <v>1307000</v>
          </cell>
          <cell r="F10">
            <v>0</v>
          </cell>
          <cell r="G10">
            <v>0</v>
          </cell>
          <cell r="H10" t="str">
            <v>ESPECES</v>
          </cell>
          <cell r="J10">
            <v>1</v>
          </cell>
          <cell r="K10">
            <v>50000</v>
          </cell>
          <cell r="L10">
            <v>1</v>
          </cell>
          <cell r="M10">
            <v>75000</v>
          </cell>
          <cell r="O10">
            <v>0</v>
          </cell>
          <cell r="P10">
            <v>61000</v>
          </cell>
          <cell r="Q10">
            <v>132000</v>
          </cell>
          <cell r="R10">
            <v>0</v>
          </cell>
          <cell r="S10">
            <v>1000000</v>
          </cell>
          <cell r="U10">
            <v>1318000</v>
          </cell>
          <cell r="Z10">
            <v>1000000</v>
          </cell>
          <cell r="AQ10">
            <v>0</v>
          </cell>
          <cell r="AR10">
            <v>0</v>
          </cell>
          <cell r="AS10">
            <v>25000</v>
          </cell>
          <cell r="AW10">
            <v>0</v>
          </cell>
          <cell r="AX10">
            <v>0</v>
          </cell>
          <cell r="AY10">
            <v>0</v>
          </cell>
          <cell r="AZ10">
            <v>880000</v>
          </cell>
          <cell r="BD10">
            <v>880000</v>
          </cell>
          <cell r="BE10" t="str">
            <v>OK</v>
          </cell>
          <cell r="BF10">
            <v>120000</v>
          </cell>
          <cell r="BG10">
            <v>12</v>
          </cell>
          <cell r="BO10" t="str">
            <v>CREDIT TELEPHONE</v>
          </cell>
          <cell r="BP10" t="str">
            <v>FONDS DE ROULEMENT</v>
          </cell>
          <cell r="BR10">
            <v>0</v>
          </cell>
          <cell r="BS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0</v>
          </cell>
          <cell r="E11">
            <v>228000</v>
          </cell>
          <cell r="F11">
            <v>0</v>
          </cell>
          <cell r="G11">
            <v>0</v>
          </cell>
          <cell r="H11" t="str">
            <v>ESPECES</v>
          </cell>
          <cell r="J11">
            <v>1</v>
          </cell>
          <cell r="K11">
            <v>50000</v>
          </cell>
          <cell r="L11">
            <v>1</v>
          </cell>
          <cell r="M11">
            <v>75000</v>
          </cell>
          <cell r="O11">
            <v>0</v>
          </cell>
          <cell r="P11">
            <v>0</v>
          </cell>
          <cell r="Q11">
            <v>103000</v>
          </cell>
          <cell r="R11">
            <v>0</v>
          </cell>
          <cell r="U11">
            <v>228000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12</v>
          </cell>
          <cell r="BO11" t="str">
            <v>PRODUCTION RAPPORT</v>
          </cell>
          <cell r="BP11" t="str">
            <v>FONDS DE ROULEMENT</v>
          </cell>
          <cell r="BR11">
            <v>0</v>
          </cell>
          <cell r="BS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400000</v>
          </cell>
          <cell r="E12">
            <v>637500</v>
          </cell>
          <cell r="F12">
            <v>0</v>
          </cell>
          <cell r="G12">
            <v>0</v>
          </cell>
          <cell r="H12" t="str">
            <v>BANQUE</v>
          </cell>
          <cell r="I12">
            <v>5000</v>
          </cell>
          <cell r="J12">
            <v>1</v>
          </cell>
          <cell r="K12">
            <v>50000</v>
          </cell>
          <cell r="L12">
            <v>1</v>
          </cell>
          <cell r="M12">
            <v>75000</v>
          </cell>
          <cell r="N12">
            <v>2</v>
          </cell>
          <cell r="O12">
            <v>200000</v>
          </cell>
          <cell r="P12">
            <v>61000</v>
          </cell>
          <cell r="Q12">
            <v>101500</v>
          </cell>
          <cell r="R12">
            <v>505000</v>
          </cell>
          <cell r="S12">
            <v>40000</v>
          </cell>
          <cell r="U12">
            <v>1037500</v>
          </cell>
          <cell r="Z12">
            <v>1000000</v>
          </cell>
          <cell r="AQ12">
            <v>0</v>
          </cell>
          <cell r="AR12">
            <v>0</v>
          </cell>
          <cell r="AS12">
            <v>30000</v>
          </cell>
          <cell r="AW12">
            <v>0</v>
          </cell>
          <cell r="AX12">
            <v>0</v>
          </cell>
          <cell r="AY12">
            <v>0</v>
          </cell>
          <cell r="AZ12">
            <v>940000</v>
          </cell>
          <cell r="BA12">
            <v>940000</v>
          </cell>
          <cell r="BD12">
            <v>0</v>
          </cell>
          <cell r="BF12">
            <v>60000</v>
          </cell>
          <cell r="BG12">
            <v>6</v>
          </cell>
          <cell r="BO12" t="str">
            <v>ACHAT SOURIS ET PHOTOCOPIE</v>
          </cell>
          <cell r="BP12" t="str">
            <v>FONDS DE ROULEMENT</v>
          </cell>
          <cell r="BR12">
            <v>0</v>
          </cell>
          <cell r="BS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1050000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1000000</v>
          </cell>
          <cell r="U13">
            <v>1050000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12</v>
          </cell>
          <cell r="BO13" t="str">
            <v>TAXI BANQUE</v>
          </cell>
          <cell r="BP13" t="str">
            <v>FONDS DE ROULEMENT</v>
          </cell>
          <cell r="BQ13">
            <v>6000</v>
          </cell>
          <cell r="BR13">
            <v>1000000</v>
          </cell>
          <cell r="BS13">
            <v>1000000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G14">
            <v>0</v>
          </cell>
          <cell r="H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12</v>
          </cell>
          <cell r="BO14" t="str">
            <v>ACHAT TERRAIN</v>
          </cell>
          <cell r="BP14" t="str">
            <v>FONDS DE ROULEMENT</v>
          </cell>
          <cell r="BQ14">
            <v>4000000</v>
          </cell>
          <cell r="BR14">
            <v>0</v>
          </cell>
          <cell r="B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0</v>
          </cell>
          <cell r="E15">
            <v>125000</v>
          </cell>
          <cell r="F15">
            <v>0</v>
          </cell>
          <cell r="G15">
            <v>0</v>
          </cell>
          <cell r="H15" t="str">
            <v>ESPECES</v>
          </cell>
          <cell r="J15">
            <v>1</v>
          </cell>
          <cell r="K15">
            <v>50000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U15">
            <v>125000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  <cell r="BR15">
            <v>0</v>
          </cell>
          <cell r="BS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-530000</v>
          </cell>
          <cell r="D16">
            <v>952000</v>
          </cell>
          <cell r="E16">
            <v>202000</v>
          </cell>
          <cell r="F16">
            <v>0</v>
          </cell>
          <cell r="G16">
            <v>0</v>
          </cell>
          <cell r="H16" t="str">
            <v>BANQUE</v>
          </cell>
          <cell r="I16">
            <v>55000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N16">
            <v>1</v>
          </cell>
          <cell r="O16">
            <v>100000</v>
          </cell>
          <cell r="P16">
            <v>0</v>
          </cell>
          <cell r="Q16">
            <v>202000</v>
          </cell>
          <cell r="R16">
            <v>202000</v>
          </cell>
          <cell r="S16">
            <v>1000000</v>
          </cell>
          <cell r="U16">
            <v>1684000</v>
          </cell>
          <cell r="AQ16">
            <v>0</v>
          </cell>
          <cell r="AR16">
            <v>0</v>
          </cell>
          <cell r="AS16">
            <v>80000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12</v>
          </cell>
          <cell r="BO16" t="str">
            <v>S/TOTAL</v>
          </cell>
          <cell r="BQ16">
            <v>4031000</v>
          </cell>
          <cell r="BR16">
            <v>0</v>
          </cell>
          <cell r="BS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-170000</v>
          </cell>
          <cell r="D17">
            <v>260000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5500</v>
          </cell>
          <cell r="J17">
            <v>1</v>
          </cell>
          <cell r="K17">
            <v>50000</v>
          </cell>
          <cell r="M17">
            <v>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104500</v>
          </cell>
          <cell r="S17">
            <v>170000</v>
          </cell>
          <cell r="U17">
            <v>430000</v>
          </cell>
          <cell r="AQ17">
            <v>0</v>
          </cell>
          <cell r="AR17">
            <v>0</v>
          </cell>
          <cell r="AS17">
            <v>30500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  <cell r="BR17">
            <v>110000</v>
          </cell>
          <cell r="BS17">
            <v>110000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10000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101000</v>
          </cell>
          <cell r="S18">
            <v>350000</v>
          </cell>
          <cell r="U18">
            <v>611000</v>
          </cell>
          <cell r="Z18">
            <v>1000000</v>
          </cell>
          <cell r="AQ18">
            <v>0</v>
          </cell>
          <cell r="AR18">
            <v>0</v>
          </cell>
          <cell r="AS18">
            <v>35000</v>
          </cell>
          <cell r="AW18">
            <v>0</v>
          </cell>
          <cell r="AX18">
            <v>0</v>
          </cell>
          <cell r="AY18">
            <v>0</v>
          </cell>
          <cell r="AZ18">
            <v>880000</v>
          </cell>
          <cell r="BD18">
            <v>880000</v>
          </cell>
          <cell r="BE18" t="str">
            <v>OK</v>
          </cell>
          <cell r="BF18">
            <v>120000</v>
          </cell>
          <cell r="BG18">
            <v>12</v>
          </cell>
          <cell r="BO18" t="str">
            <v>TERRAIN NYOM</v>
          </cell>
          <cell r="BP18" t="str">
            <v>AUTRES DEPENSES</v>
          </cell>
          <cell r="BQ18">
            <v>1026618</v>
          </cell>
          <cell r="BR18">
            <v>461000</v>
          </cell>
          <cell r="BS18">
            <v>461000</v>
          </cell>
        </row>
        <row r="19">
          <cell r="A19" t="str">
            <v>AS201661</v>
          </cell>
          <cell r="B19" t="str">
            <v>MASSEUNGOUE DAGOBERT</v>
          </cell>
          <cell r="C19">
            <v>-297500</v>
          </cell>
          <cell r="D19">
            <v>50000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297500</v>
          </cell>
          <cell r="J19">
            <v>1</v>
          </cell>
          <cell r="K19">
            <v>50000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U19">
            <v>347500</v>
          </cell>
          <cell r="AC19">
            <v>2500</v>
          </cell>
          <cell r="AQ19">
            <v>0</v>
          </cell>
          <cell r="AR19">
            <v>0</v>
          </cell>
          <cell r="AS19">
            <v>322500</v>
          </cell>
          <cell r="AW19">
            <v>297500</v>
          </cell>
          <cell r="AX19">
            <v>0</v>
          </cell>
          <cell r="AY19">
            <v>0</v>
          </cell>
          <cell r="AZ19">
            <v>297500</v>
          </cell>
          <cell r="BA19">
            <v>297500</v>
          </cell>
          <cell r="BB19">
            <v>190000</v>
          </cell>
          <cell r="BD19">
            <v>0</v>
          </cell>
          <cell r="BF19">
            <v>0</v>
          </cell>
          <cell r="BG19">
            <v>12</v>
          </cell>
          <cell r="BR19">
            <v>0</v>
          </cell>
          <cell r="BS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225000</v>
          </cell>
          <cell r="E20">
            <v>1536000</v>
          </cell>
          <cell r="F20">
            <v>0</v>
          </cell>
          <cell r="G20">
            <v>0</v>
          </cell>
          <cell r="H20" t="str">
            <v>BANQUE</v>
          </cell>
          <cell r="J20">
            <v>1</v>
          </cell>
          <cell r="K20">
            <v>50000</v>
          </cell>
          <cell r="L20">
            <v>1</v>
          </cell>
          <cell r="M20">
            <v>75000</v>
          </cell>
          <cell r="N20">
            <v>1</v>
          </cell>
          <cell r="O20">
            <v>100000</v>
          </cell>
          <cell r="P20">
            <v>132000</v>
          </cell>
          <cell r="Q20">
            <v>202000</v>
          </cell>
          <cell r="R20">
            <v>202000</v>
          </cell>
          <cell r="S20">
            <v>1000000</v>
          </cell>
          <cell r="U20">
            <v>1761000</v>
          </cell>
          <cell r="Z20">
            <v>1000000</v>
          </cell>
          <cell r="AQ20">
            <v>0</v>
          </cell>
          <cell r="AR20">
            <v>0</v>
          </cell>
          <cell r="AS20">
            <v>25000</v>
          </cell>
          <cell r="AW20">
            <v>0</v>
          </cell>
          <cell r="AX20">
            <v>0</v>
          </cell>
          <cell r="AY20">
            <v>0</v>
          </cell>
          <cell r="AZ20">
            <v>970000</v>
          </cell>
          <cell r="BA20">
            <v>970000</v>
          </cell>
          <cell r="BB20">
            <v>66700</v>
          </cell>
          <cell r="BD20">
            <v>0</v>
          </cell>
          <cell r="BF20">
            <v>30000</v>
          </cell>
          <cell r="BG20">
            <v>3</v>
          </cell>
          <cell r="BR20">
            <v>0</v>
          </cell>
          <cell r="BS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-283500</v>
          </cell>
          <cell r="D21">
            <v>0</v>
          </cell>
          <cell r="E21">
            <v>66500</v>
          </cell>
          <cell r="F21">
            <v>0</v>
          </cell>
          <cell r="G21">
            <v>0</v>
          </cell>
          <cell r="H21" t="str">
            <v>ESPECES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300000</v>
          </cell>
          <cell r="U21">
            <v>350000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46500</v>
          </cell>
          <cell r="BG21">
            <v>12</v>
          </cell>
          <cell r="BR21">
            <v>0</v>
          </cell>
          <cell r="BS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-107500</v>
          </cell>
          <cell r="D22">
            <v>125000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107500</v>
          </cell>
          <cell r="U22">
            <v>232500</v>
          </cell>
          <cell r="Z22">
            <v>900000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792000</v>
          </cell>
          <cell r="BD22">
            <v>792000</v>
          </cell>
          <cell r="BE22" t="str">
            <v>OK</v>
          </cell>
          <cell r="BF22">
            <v>108000</v>
          </cell>
          <cell r="BG22">
            <v>12</v>
          </cell>
          <cell r="BO22" t="str">
            <v>S/TOTAL</v>
          </cell>
          <cell r="BQ22">
            <v>1026618</v>
          </cell>
          <cell r="BR22">
            <v>0</v>
          </cell>
          <cell r="BS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1164000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10000</v>
          </cell>
          <cell r="J23">
            <v>1</v>
          </cell>
          <cell r="K23">
            <v>50000</v>
          </cell>
          <cell r="M23">
            <v>0</v>
          </cell>
          <cell r="N23">
            <v>2</v>
          </cell>
          <cell r="O23">
            <v>200000</v>
          </cell>
          <cell r="P23">
            <v>0</v>
          </cell>
          <cell r="Q23">
            <v>0</v>
          </cell>
          <cell r="R23">
            <v>404000</v>
          </cell>
          <cell r="S23">
            <v>500000</v>
          </cell>
          <cell r="U23">
            <v>1164000</v>
          </cell>
          <cell r="Z23">
            <v>500000</v>
          </cell>
          <cell r="AQ23">
            <v>0</v>
          </cell>
          <cell r="AR23">
            <v>0</v>
          </cell>
          <cell r="AS23">
            <v>35000</v>
          </cell>
          <cell r="AW23">
            <v>0</v>
          </cell>
          <cell r="AX23">
            <v>0</v>
          </cell>
          <cell r="AY23">
            <v>0</v>
          </cell>
          <cell r="AZ23">
            <v>470000</v>
          </cell>
          <cell r="BD23">
            <v>470000</v>
          </cell>
          <cell r="BE23" t="str">
            <v>OK</v>
          </cell>
          <cell r="BF23">
            <v>30000</v>
          </cell>
          <cell r="BG23">
            <v>6</v>
          </cell>
          <cell r="BR23">
            <v>904000</v>
          </cell>
          <cell r="BS23">
            <v>904000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442000</v>
          </cell>
          <cell r="E24">
            <v>500000</v>
          </cell>
          <cell r="F24">
            <v>0</v>
          </cell>
          <cell r="G24">
            <v>0</v>
          </cell>
          <cell r="H24" t="str">
            <v>BANQUE</v>
          </cell>
          <cell r="I24">
            <v>13000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204000</v>
          </cell>
          <cell r="S24">
            <v>500000</v>
          </cell>
          <cell r="U24">
            <v>942000</v>
          </cell>
          <cell r="AQ24">
            <v>0</v>
          </cell>
          <cell r="AR24">
            <v>0</v>
          </cell>
          <cell r="AS24">
            <v>38000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12</v>
          </cell>
          <cell r="BO24" t="str">
            <v>GRATIFICATION BUREAU 2021</v>
          </cell>
          <cell r="BP24" t="str">
            <v>FRAIS EXEPTIONNEL</v>
          </cell>
          <cell r="BR24">
            <v>0</v>
          </cell>
          <cell r="BS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-1000000</v>
          </cell>
          <cell r="D25">
            <v>375000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J25">
            <v>1</v>
          </cell>
          <cell r="K25">
            <v>50000</v>
          </cell>
          <cell r="L25">
            <v>3</v>
          </cell>
          <cell r="M25">
            <v>225000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U25">
            <v>1375000</v>
          </cell>
          <cell r="Z25">
            <v>1000000</v>
          </cell>
          <cell r="AQ25">
            <v>0</v>
          </cell>
          <cell r="AR25">
            <v>0</v>
          </cell>
          <cell r="AS25">
            <v>25000</v>
          </cell>
          <cell r="AW25">
            <v>0</v>
          </cell>
          <cell r="AX25">
            <v>0</v>
          </cell>
          <cell r="AY25">
            <v>0</v>
          </cell>
          <cell r="AZ25">
            <v>880000</v>
          </cell>
          <cell r="BD25">
            <v>880000</v>
          </cell>
          <cell r="BE25" t="str">
            <v>OK</v>
          </cell>
          <cell r="BF25">
            <v>120000</v>
          </cell>
          <cell r="BG25">
            <v>12</v>
          </cell>
          <cell r="BO25" t="str">
            <v>DEVELOPPEMENT LAGWEU</v>
          </cell>
          <cell r="BP25" t="str">
            <v>FRAIS EXEPTIONNEL</v>
          </cell>
          <cell r="BR25">
            <v>0</v>
          </cell>
          <cell r="BS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0</v>
          </cell>
          <cell r="E26">
            <v>1050000</v>
          </cell>
          <cell r="F26">
            <v>0</v>
          </cell>
          <cell r="G26">
            <v>0</v>
          </cell>
          <cell r="H26" t="str">
            <v>ESPECES</v>
          </cell>
          <cell r="J26">
            <v>1</v>
          </cell>
          <cell r="K26">
            <v>50000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1000000</v>
          </cell>
          <cell r="U26">
            <v>1050000</v>
          </cell>
          <cell r="Z26">
            <v>1000000</v>
          </cell>
          <cell r="AQ26">
            <v>0</v>
          </cell>
          <cell r="AR26">
            <v>0</v>
          </cell>
          <cell r="AS26">
            <v>25000</v>
          </cell>
          <cell r="AW26">
            <v>0</v>
          </cell>
          <cell r="AX26">
            <v>0</v>
          </cell>
          <cell r="AY26">
            <v>0</v>
          </cell>
          <cell r="AZ26">
            <v>970000</v>
          </cell>
          <cell r="BA26">
            <v>144500</v>
          </cell>
          <cell r="BD26">
            <v>825500</v>
          </cell>
          <cell r="BE26" t="str">
            <v>OK</v>
          </cell>
          <cell r="BF26">
            <v>30000</v>
          </cell>
          <cell r="BG26">
            <v>3</v>
          </cell>
          <cell r="BO26" t="str">
            <v>DEUIL TCHEMNOU EMMANUEL</v>
          </cell>
          <cell r="BP26" t="str">
            <v>FRAIS EXEPTIONNEL</v>
          </cell>
          <cell r="BR26">
            <v>0</v>
          </cell>
          <cell r="BS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-50000</v>
          </cell>
          <cell r="D27">
            <v>50000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J27">
            <v>1</v>
          </cell>
          <cell r="K27">
            <v>50000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50000</v>
          </cell>
          <cell r="U27">
            <v>100000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7750</v>
          </cell>
          <cell r="BG27">
            <v>3</v>
          </cell>
          <cell r="BR27">
            <v>0</v>
          </cell>
          <cell r="BS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-27000</v>
          </cell>
          <cell r="D28">
            <v>125000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27000</v>
          </cell>
          <cell r="J28">
            <v>1</v>
          </cell>
          <cell r="K28">
            <v>50000</v>
          </cell>
          <cell r="L28">
            <v>1</v>
          </cell>
          <cell r="M28">
            <v>75000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152000</v>
          </cell>
          <cell r="AQ28">
            <v>0</v>
          </cell>
          <cell r="AR28">
            <v>0</v>
          </cell>
          <cell r="AS28">
            <v>52000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12</v>
          </cell>
          <cell r="BO28" t="str">
            <v>S/TOTAL</v>
          </cell>
          <cell r="BQ28">
            <v>0</v>
          </cell>
          <cell r="BR28">
            <v>0</v>
          </cell>
          <cell r="BS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D29">
            <v>110000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-1000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61000</v>
          </cell>
          <cell r="Q29">
            <v>0</v>
          </cell>
          <cell r="R29">
            <v>0</v>
          </cell>
          <cell r="U29">
            <v>110000</v>
          </cell>
          <cell r="Z29">
            <v>1000000</v>
          </cell>
          <cell r="AQ29">
            <v>0</v>
          </cell>
          <cell r="AR29">
            <v>0</v>
          </cell>
          <cell r="AS29">
            <v>24000</v>
          </cell>
          <cell r="AW29">
            <v>0</v>
          </cell>
          <cell r="AX29">
            <v>0</v>
          </cell>
          <cell r="AY29">
            <v>0</v>
          </cell>
          <cell r="AZ29">
            <v>980000</v>
          </cell>
          <cell r="BA29">
            <v>980000</v>
          </cell>
          <cell r="BB29">
            <v>115000</v>
          </cell>
          <cell r="BD29">
            <v>0</v>
          </cell>
          <cell r="BF29">
            <v>120000</v>
          </cell>
          <cell r="BG29">
            <v>12</v>
          </cell>
          <cell r="BK29">
            <v>100000</v>
          </cell>
          <cell r="BR29">
            <v>60000</v>
          </cell>
          <cell r="BS29">
            <v>60000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452000</v>
          </cell>
          <cell r="E30">
            <v>1000000</v>
          </cell>
          <cell r="F30">
            <v>0</v>
          </cell>
          <cell r="G30">
            <v>0</v>
          </cell>
          <cell r="H30" t="str">
            <v>BANQUE</v>
          </cell>
          <cell r="J30">
            <v>1</v>
          </cell>
          <cell r="K30">
            <v>50000</v>
          </cell>
          <cell r="M30">
            <v>0</v>
          </cell>
          <cell r="N30">
            <v>2</v>
          </cell>
          <cell r="O30">
            <v>200000</v>
          </cell>
          <cell r="P30">
            <v>0</v>
          </cell>
          <cell r="Q30">
            <v>0</v>
          </cell>
          <cell r="R30">
            <v>202000</v>
          </cell>
          <cell r="S30">
            <v>1000000</v>
          </cell>
          <cell r="U30">
            <v>1452000</v>
          </cell>
          <cell r="Z30">
            <v>1000000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880000</v>
          </cell>
          <cell r="BA30">
            <v>880000</v>
          </cell>
          <cell r="BD30">
            <v>0</v>
          </cell>
          <cell r="BF30">
            <v>120000</v>
          </cell>
          <cell r="BG30">
            <v>12</v>
          </cell>
          <cell r="BO30" t="str">
            <v xml:space="preserve">DECES </v>
          </cell>
          <cell r="BP30" t="str">
            <v>MUTUELLE</v>
          </cell>
          <cell r="BR30">
            <v>0</v>
          </cell>
          <cell r="BS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D31">
            <v>1150000</v>
          </cell>
          <cell r="E31">
            <v>0</v>
          </cell>
          <cell r="F31">
            <v>0</v>
          </cell>
          <cell r="G31">
            <v>0</v>
          </cell>
          <cell r="H31" t="str">
            <v>BANQUE</v>
          </cell>
          <cell r="J31">
            <v>1</v>
          </cell>
          <cell r="K31">
            <v>50000</v>
          </cell>
          <cell r="M31">
            <v>0</v>
          </cell>
          <cell r="N31">
            <v>1</v>
          </cell>
          <cell r="O31">
            <v>100000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U31">
            <v>1150000</v>
          </cell>
          <cell r="Z31">
            <v>1000000</v>
          </cell>
          <cell r="AQ31">
            <v>0</v>
          </cell>
          <cell r="AR31">
            <v>0</v>
          </cell>
          <cell r="AS31">
            <v>25000</v>
          </cell>
          <cell r="AW31">
            <v>0</v>
          </cell>
          <cell r="AX31">
            <v>0</v>
          </cell>
          <cell r="AY31">
            <v>0</v>
          </cell>
          <cell r="AZ31">
            <v>880000</v>
          </cell>
          <cell r="BD31">
            <v>880000</v>
          </cell>
          <cell r="BE31" t="str">
            <v>OK</v>
          </cell>
          <cell r="BF31">
            <v>120000</v>
          </cell>
          <cell r="BG31">
            <v>12</v>
          </cell>
          <cell r="BO31" t="str">
            <v>TRANSPORT DELEGUE</v>
          </cell>
          <cell r="BP31" t="str">
            <v>MUTUELLE</v>
          </cell>
          <cell r="BR31">
            <v>1000000</v>
          </cell>
          <cell r="BS31">
            <v>1000000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D32">
            <v>327000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J32">
            <v>1</v>
          </cell>
          <cell r="K32">
            <v>50000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202000</v>
          </cell>
          <cell r="R32">
            <v>0</v>
          </cell>
          <cell r="U32">
            <v>327000</v>
          </cell>
          <cell r="Z32">
            <v>1000000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E32" t="str">
            <v>OK</v>
          </cell>
          <cell r="BF32">
            <v>120000</v>
          </cell>
          <cell r="BG32">
            <v>12</v>
          </cell>
          <cell r="BO32" t="str">
            <v>FUNERAILLE JOSUE DJOSSE</v>
          </cell>
          <cell r="BR32">
            <v>0</v>
          </cell>
          <cell r="BS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D33">
            <v>160000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10000</v>
          </cell>
          <cell r="J33">
            <v>1</v>
          </cell>
          <cell r="K33">
            <v>50000</v>
          </cell>
          <cell r="M33">
            <v>0</v>
          </cell>
          <cell r="N33">
            <v>1</v>
          </cell>
          <cell r="O33">
            <v>100000</v>
          </cell>
          <cell r="P33">
            <v>0</v>
          </cell>
          <cell r="Q33">
            <v>0</v>
          </cell>
          <cell r="R33">
            <v>0</v>
          </cell>
          <cell r="U33">
            <v>160000</v>
          </cell>
          <cell r="Z33">
            <v>1000000</v>
          </cell>
          <cell r="AQ33">
            <v>0</v>
          </cell>
          <cell r="AR33">
            <v>0</v>
          </cell>
          <cell r="AS33">
            <v>35000</v>
          </cell>
          <cell r="AW33">
            <v>0</v>
          </cell>
          <cell r="AX33">
            <v>0</v>
          </cell>
          <cell r="AY33">
            <v>0</v>
          </cell>
          <cell r="AZ33">
            <v>880000</v>
          </cell>
          <cell r="BA33">
            <v>880000</v>
          </cell>
          <cell r="BD33">
            <v>0</v>
          </cell>
          <cell r="BF33">
            <v>120000</v>
          </cell>
          <cell r="BG33">
            <v>12</v>
          </cell>
          <cell r="BO33" t="str">
            <v>S/TOTAL</v>
          </cell>
          <cell r="BQ33">
            <v>0</v>
          </cell>
          <cell r="BR33">
            <v>10000</v>
          </cell>
          <cell r="BS33">
            <v>10000</v>
          </cell>
        </row>
        <row r="34">
          <cell r="A34" t="str">
            <v>AS201643</v>
          </cell>
          <cell r="B34" t="str">
            <v>TCHOUTOU NANA CLAUDE</v>
          </cell>
          <cell r="C34">
            <v>-297500</v>
          </cell>
          <cell r="D34">
            <v>0</v>
          </cell>
          <cell r="E34">
            <v>50000</v>
          </cell>
          <cell r="F34">
            <v>0</v>
          </cell>
          <cell r="G34">
            <v>0</v>
          </cell>
          <cell r="H34" t="str">
            <v>ESPECES</v>
          </cell>
          <cell r="I34">
            <v>297500</v>
          </cell>
          <cell r="J34">
            <v>1</v>
          </cell>
          <cell r="K34">
            <v>50000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U34">
            <v>347500</v>
          </cell>
          <cell r="AC34">
            <v>2500</v>
          </cell>
          <cell r="AQ34">
            <v>0</v>
          </cell>
          <cell r="AR34">
            <v>0</v>
          </cell>
          <cell r="AS34">
            <v>322500</v>
          </cell>
          <cell r="AW34">
            <v>297500</v>
          </cell>
          <cell r="AX34">
            <v>0</v>
          </cell>
          <cell r="AY34">
            <v>0</v>
          </cell>
          <cell r="AZ34">
            <v>297500</v>
          </cell>
          <cell r="BA34">
            <v>297500</v>
          </cell>
          <cell r="BD34">
            <v>0</v>
          </cell>
          <cell r="BF34">
            <v>0</v>
          </cell>
          <cell r="BG34">
            <v>12</v>
          </cell>
          <cell r="BO34" t="str">
            <v>S/TOTAL</v>
          </cell>
          <cell r="BQ34">
            <v>0</v>
          </cell>
          <cell r="BR34">
            <v>0</v>
          </cell>
          <cell r="BS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D35">
            <v>350000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J35">
            <v>1</v>
          </cell>
          <cell r="K35">
            <v>50000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300000</v>
          </cell>
          <cell r="U35">
            <v>350000</v>
          </cell>
          <cell r="Z35">
            <v>1000000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880000</v>
          </cell>
          <cell r="BD35">
            <v>880000</v>
          </cell>
          <cell r="BE35" t="str">
            <v>OK</v>
          </cell>
          <cell r="BF35">
            <v>120000</v>
          </cell>
          <cell r="BG35">
            <v>12</v>
          </cell>
          <cell r="BR35">
            <v>290000</v>
          </cell>
          <cell r="BS35">
            <v>290000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0</v>
          </cell>
          <cell r="E36">
            <v>50000</v>
          </cell>
          <cell r="F36">
            <v>0</v>
          </cell>
          <cell r="G36">
            <v>0</v>
          </cell>
          <cell r="H36" t="str">
            <v>ESPECES</v>
          </cell>
          <cell r="J36">
            <v>1</v>
          </cell>
          <cell r="K36">
            <v>50000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U36">
            <v>50000</v>
          </cell>
          <cell r="AC36">
            <v>2500</v>
          </cell>
          <cell r="AQ36">
            <v>0</v>
          </cell>
          <cell r="AR36">
            <v>0</v>
          </cell>
          <cell r="AS36">
            <v>25000</v>
          </cell>
          <cell r="AW36">
            <v>297500</v>
          </cell>
          <cell r="AX36">
            <v>0</v>
          </cell>
          <cell r="AY36">
            <v>0</v>
          </cell>
          <cell r="AZ36">
            <v>297500</v>
          </cell>
          <cell r="BA36">
            <v>297500</v>
          </cell>
          <cell r="BD36">
            <v>0</v>
          </cell>
          <cell r="BF36">
            <v>0</v>
          </cell>
          <cell r="BG36">
            <v>12</v>
          </cell>
          <cell r="BO36" t="str">
            <v>COLLATION</v>
          </cell>
          <cell r="BP36" t="str">
            <v>COLLATION</v>
          </cell>
          <cell r="BR36">
            <v>0</v>
          </cell>
          <cell r="BS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0</v>
          </cell>
          <cell r="E37">
            <v>150000</v>
          </cell>
          <cell r="F37">
            <v>0</v>
          </cell>
          <cell r="G37">
            <v>0</v>
          </cell>
          <cell r="H37" t="str">
            <v>ESPECES</v>
          </cell>
          <cell r="J37">
            <v>1</v>
          </cell>
          <cell r="K37">
            <v>50000</v>
          </cell>
          <cell r="M37">
            <v>0</v>
          </cell>
          <cell r="N37">
            <v>1</v>
          </cell>
          <cell r="O37">
            <v>100000</v>
          </cell>
          <cell r="P37">
            <v>0</v>
          </cell>
          <cell r="Q37">
            <v>0</v>
          </cell>
          <cell r="R37">
            <v>0</v>
          </cell>
          <cell r="U37">
            <v>150000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D37">
            <v>0</v>
          </cell>
          <cell r="BF37">
            <v>0</v>
          </cell>
          <cell r="BG37">
            <v>12</v>
          </cell>
          <cell r="BO37" t="str">
            <v>BOISSON</v>
          </cell>
          <cell r="BP37" t="str">
            <v>COLLATION</v>
          </cell>
          <cell r="BR37">
            <v>0</v>
          </cell>
          <cell r="BS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D38">
            <v>125000</v>
          </cell>
          <cell r="E38">
            <v>0</v>
          </cell>
          <cell r="F38">
            <v>0</v>
          </cell>
          <cell r="G38">
            <v>0</v>
          </cell>
          <cell r="H38" t="str">
            <v>BANQUE</v>
          </cell>
          <cell r="J38">
            <v>1</v>
          </cell>
          <cell r="K38">
            <v>50000</v>
          </cell>
          <cell r="L38">
            <v>1</v>
          </cell>
          <cell r="M38">
            <v>75000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125000</v>
          </cell>
          <cell r="Z38">
            <v>500000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485000</v>
          </cell>
          <cell r="BA38">
            <v>485000</v>
          </cell>
          <cell r="BD38">
            <v>0</v>
          </cell>
          <cell r="BF38">
            <v>15000</v>
          </cell>
          <cell r="BG38">
            <v>3</v>
          </cell>
          <cell r="BO38" t="str">
            <v>BOISSON</v>
          </cell>
          <cell r="BP38" t="str">
            <v>COLLATION</v>
          </cell>
          <cell r="BR38">
            <v>0</v>
          </cell>
          <cell r="BS38">
            <v>0</v>
          </cell>
        </row>
        <row r="40">
          <cell r="B40" t="str">
            <v>TOTAUX</v>
          </cell>
          <cell r="C40">
            <v>-2335000</v>
          </cell>
          <cell r="D40">
            <v>9103000</v>
          </cell>
          <cell r="E40">
            <v>9052000</v>
          </cell>
          <cell r="F40">
            <v>0</v>
          </cell>
          <cell r="G40">
            <v>0</v>
          </cell>
          <cell r="H40">
            <v>0</v>
          </cell>
          <cell r="I40">
            <v>790500</v>
          </cell>
          <cell r="J40">
            <v>32</v>
          </cell>
          <cell r="K40">
            <v>1600000</v>
          </cell>
          <cell r="L40">
            <v>16</v>
          </cell>
          <cell r="M40">
            <v>1200000</v>
          </cell>
          <cell r="N40">
            <v>18</v>
          </cell>
          <cell r="O40">
            <v>1800000</v>
          </cell>
          <cell r="P40">
            <v>315000</v>
          </cell>
          <cell r="Q40">
            <v>942500</v>
          </cell>
          <cell r="R40">
            <v>2025500</v>
          </cell>
          <cell r="S40">
            <v>11817500</v>
          </cell>
          <cell r="U40">
            <v>20491000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15400000</v>
          </cell>
          <cell r="AA40">
            <v>0</v>
          </cell>
          <cell r="AC40">
            <v>7500</v>
          </cell>
          <cell r="AD40">
            <v>7500</v>
          </cell>
          <cell r="AE40">
            <v>10000</v>
          </cell>
          <cell r="AF40">
            <v>0</v>
          </cell>
          <cell r="AG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MODEVERSEMENT"/>
      <sheetName val="MODEPAID"/>
      <sheetName val="TONTAVRIL"/>
      <sheetName val="TONTMAI"/>
      <sheetName val="TONTJUIN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2019"/>
      <sheetName val="TONTMAI2019"/>
      <sheetName val="TONTJUIN2019"/>
      <sheetName val="TONTRES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M6">
            <v>336000</v>
          </cell>
        </row>
        <row r="32">
          <cell r="M32">
            <v>16000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/>
      <sheetData sheetId="1">
        <row r="59">
          <cell r="E59">
            <v>90000</v>
          </cell>
          <cell r="K59">
            <v>0</v>
          </cell>
        </row>
        <row r="60">
          <cell r="E60">
            <v>180000</v>
          </cell>
          <cell r="K60">
            <v>113500</v>
          </cell>
        </row>
      </sheetData>
      <sheetData sheetId="2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116000</v>
          </cell>
        </row>
      </sheetData>
      <sheetData sheetId="3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4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119000</v>
          </cell>
        </row>
      </sheetData>
      <sheetData sheetId="5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6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0</v>
          </cell>
        </row>
      </sheetData>
      <sheetData sheetId="7">
        <row r="59">
          <cell r="E59">
            <v>80000</v>
          </cell>
          <cell r="K59">
            <v>0</v>
          </cell>
        </row>
        <row r="60">
          <cell r="E60">
            <v>190000</v>
          </cell>
          <cell r="K60">
            <v>238000</v>
          </cell>
        </row>
      </sheetData>
      <sheetData sheetId="8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0</v>
          </cell>
        </row>
      </sheetData>
      <sheetData sheetId="9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0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1">
        <row r="59">
          <cell r="E59">
            <v>60000</v>
          </cell>
          <cell r="K59">
            <v>0</v>
          </cell>
        </row>
        <row r="60">
          <cell r="E60">
            <v>180000</v>
          </cell>
          <cell r="K60">
            <v>476000</v>
          </cell>
        </row>
      </sheetData>
      <sheetData sheetId="12">
        <row r="59">
          <cell r="E59">
            <v>60000</v>
          </cell>
          <cell r="K59">
            <v>0</v>
          </cell>
        </row>
        <row r="60">
          <cell r="E60">
            <v>160000</v>
          </cell>
          <cell r="K60">
            <v>714000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225000</v>
          </cell>
        </row>
      </sheetData>
      <sheetData sheetId="2">
        <row r="48">
          <cell r="E48">
            <v>80000</v>
          </cell>
          <cell r="K48">
            <v>0</v>
          </cell>
        </row>
        <row r="49">
          <cell r="E49">
            <v>500000</v>
          </cell>
          <cell r="K49">
            <v>476000</v>
          </cell>
        </row>
      </sheetData>
      <sheetData sheetId="3">
        <row r="48">
          <cell r="E48">
            <v>40000</v>
          </cell>
          <cell r="K48">
            <v>0</v>
          </cell>
        </row>
        <row r="49">
          <cell r="E49">
            <v>520000</v>
          </cell>
          <cell r="K49">
            <v>714000</v>
          </cell>
        </row>
      </sheetData>
      <sheetData sheetId="4">
        <row r="48">
          <cell r="E48">
            <v>80000</v>
          </cell>
          <cell r="K48">
            <v>0</v>
          </cell>
        </row>
        <row r="49">
          <cell r="E49">
            <v>460000</v>
          </cell>
          <cell r="K49">
            <v>238000</v>
          </cell>
        </row>
      </sheetData>
      <sheetData sheetId="5">
        <row r="48">
          <cell r="E48">
            <v>60000</v>
          </cell>
          <cell r="K48">
            <v>0</v>
          </cell>
        </row>
        <row r="49">
          <cell r="E49">
            <v>500000</v>
          </cell>
          <cell r="K49">
            <v>475000</v>
          </cell>
        </row>
      </sheetData>
      <sheetData sheetId="6">
        <row r="48">
          <cell r="E48">
            <v>120000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7">
        <row r="48">
          <cell r="E48">
            <v>140000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8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0</v>
          </cell>
        </row>
      </sheetData>
      <sheetData sheetId="9">
        <row r="48">
          <cell r="E48">
            <v>140000</v>
          </cell>
          <cell r="K48">
            <v>0</v>
          </cell>
        </row>
        <row r="49">
          <cell r="E49">
            <v>380000</v>
          </cell>
          <cell r="K49">
            <v>238000</v>
          </cell>
        </row>
      </sheetData>
      <sheetData sheetId="10">
        <row r="48">
          <cell r="E48">
            <v>140000</v>
          </cell>
          <cell r="K48">
            <v>0</v>
          </cell>
        </row>
        <row r="49">
          <cell r="E49">
            <v>400000</v>
          </cell>
          <cell r="K49">
            <v>1428000</v>
          </cell>
        </row>
      </sheetData>
      <sheetData sheetId="11">
        <row r="48">
          <cell r="E48">
            <v>160000</v>
          </cell>
          <cell r="K48">
            <v>0</v>
          </cell>
        </row>
        <row r="49">
          <cell r="E49">
            <v>360000</v>
          </cell>
          <cell r="K49">
            <v>237000</v>
          </cell>
        </row>
      </sheetData>
      <sheetData sheetId="12">
        <row r="48">
          <cell r="E48">
            <v>80000</v>
          </cell>
          <cell r="K48">
            <v>0</v>
          </cell>
        </row>
        <row r="49">
          <cell r="E49">
            <v>360000</v>
          </cell>
          <cell r="K49">
            <v>1426000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37">
          <cell r="E37">
            <v>120000</v>
          </cell>
          <cell r="K37">
            <v>0</v>
          </cell>
        </row>
        <row r="38">
          <cell r="E38">
            <v>360000</v>
          </cell>
          <cell r="K38">
            <v>345000</v>
          </cell>
        </row>
      </sheetData>
      <sheetData sheetId="2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3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661000</v>
          </cell>
        </row>
      </sheetData>
      <sheetData sheetId="4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342000</v>
          </cell>
        </row>
      </sheetData>
      <sheetData sheetId="5">
        <row r="37">
          <cell r="E37">
            <v>90000</v>
          </cell>
          <cell r="K37">
            <v>0</v>
          </cell>
        </row>
        <row r="38">
          <cell r="E38">
            <v>360000</v>
          </cell>
          <cell r="K38">
            <v>342000</v>
          </cell>
        </row>
      </sheetData>
      <sheetData sheetId="6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7">
        <row r="37">
          <cell r="E37">
            <v>150000</v>
          </cell>
          <cell r="K37">
            <v>0</v>
          </cell>
        </row>
        <row r="38">
          <cell r="E38">
            <v>270000</v>
          </cell>
          <cell r="K38">
            <v>0</v>
          </cell>
        </row>
      </sheetData>
      <sheetData sheetId="8">
        <row r="37">
          <cell r="E37">
            <v>180000</v>
          </cell>
          <cell r="K37">
            <v>0</v>
          </cell>
        </row>
        <row r="38">
          <cell r="E38">
            <v>270000</v>
          </cell>
          <cell r="K38">
            <v>357000</v>
          </cell>
        </row>
      </sheetData>
      <sheetData sheetId="9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0</v>
          </cell>
        </row>
      </sheetData>
      <sheetData sheetId="10">
        <row r="37">
          <cell r="E37">
            <v>120000</v>
          </cell>
          <cell r="K37">
            <v>0</v>
          </cell>
        </row>
        <row r="38">
          <cell r="E38">
            <v>300000</v>
          </cell>
          <cell r="K38">
            <v>357000</v>
          </cell>
        </row>
      </sheetData>
      <sheetData sheetId="11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714000</v>
          </cell>
        </row>
      </sheetData>
      <sheetData sheetId="12">
        <row r="37">
          <cell r="E37">
            <v>60000</v>
          </cell>
          <cell r="K37">
            <v>0</v>
          </cell>
        </row>
        <row r="38">
          <cell r="E38">
            <v>300000</v>
          </cell>
          <cell r="K38">
            <v>1071000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3">
          <cell r="E43">
            <v>300000</v>
          </cell>
          <cell r="K43">
            <v>0</v>
          </cell>
        </row>
        <row r="44">
          <cell r="E44">
            <v>950000</v>
          </cell>
          <cell r="K44">
            <v>557500</v>
          </cell>
        </row>
      </sheetData>
      <sheetData sheetId="2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3">
        <row r="43">
          <cell r="E43">
            <v>50000</v>
          </cell>
          <cell r="K43">
            <v>0</v>
          </cell>
        </row>
        <row r="44">
          <cell r="E44">
            <v>1200000</v>
          </cell>
          <cell r="K44">
            <v>1190000</v>
          </cell>
        </row>
      </sheetData>
      <sheetData sheetId="4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5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0</v>
          </cell>
        </row>
      </sheetData>
      <sheetData sheetId="6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7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1710000</v>
          </cell>
        </row>
      </sheetData>
      <sheetData sheetId="8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0</v>
          </cell>
        </row>
      </sheetData>
      <sheetData sheetId="9">
        <row r="43">
          <cell r="E43">
            <v>250000</v>
          </cell>
          <cell r="K43">
            <v>0</v>
          </cell>
        </row>
        <row r="44">
          <cell r="E44">
            <v>1000000</v>
          </cell>
          <cell r="K44">
            <v>595000</v>
          </cell>
        </row>
      </sheetData>
      <sheetData sheetId="10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2380000</v>
          </cell>
        </row>
      </sheetData>
      <sheetData sheetId="11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1780000</v>
          </cell>
        </row>
      </sheetData>
      <sheetData sheetId="12">
        <row r="43">
          <cell r="E43">
            <v>100000</v>
          </cell>
          <cell r="K43">
            <v>0</v>
          </cell>
        </row>
        <row r="44">
          <cell r="E44">
            <v>1000000</v>
          </cell>
          <cell r="K44">
            <v>2975000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  <sheetName val="TONTOCT (3)"/>
    </sheetNames>
    <sheetDataSet>
      <sheetData sheetId="0"/>
      <sheetData sheetId="1">
        <row r="31">
          <cell r="E31">
            <v>200000</v>
          </cell>
          <cell r="K31">
            <v>0</v>
          </cell>
        </row>
        <row r="32">
          <cell r="E32">
            <v>1100000</v>
          </cell>
          <cell r="K32">
            <v>1110000</v>
          </cell>
        </row>
      </sheetData>
      <sheetData sheetId="2">
        <row r="31">
          <cell r="E31">
            <v>100000</v>
          </cell>
        </row>
      </sheetData>
      <sheetData sheetId="3">
        <row r="31">
          <cell r="E31">
            <v>200000</v>
          </cell>
        </row>
      </sheetData>
      <sheetData sheetId="4">
        <row r="31">
          <cell r="E31">
            <v>200000</v>
          </cell>
        </row>
      </sheetData>
      <sheetData sheetId="5">
        <row r="31">
          <cell r="E31">
            <v>200000</v>
          </cell>
        </row>
      </sheetData>
      <sheetData sheetId="6">
        <row r="31">
          <cell r="E31">
            <v>300000</v>
          </cell>
        </row>
      </sheetData>
      <sheetData sheetId="7">
        <row r="31">
          <cell r="E31">
            <v>300000</v>
          </cell>
        </row>
      </sheetData>
      <sheetData sheetId="8">
        <row r="31">
          <cell r="E31">
            <v>200000</v>
          </cell>
        </row>
      </sheetData>
      <sheetData sheetId="9">
        <row r="31">
          <cell r="E31">
            <v>200000</v>
          </cell>
        </row>
      </sheetData>
      <sheetData sheetId="10">
        <row r="31">
          <cell r="E31">
            <v>200000</v>
          </cell>
        </row>
      </sheetData>
      <sheetData sheetId="11">
        <row r="31">
          <cell r="E31">
            <v>200000</v>
          </cell>
        </row>
      </sheetData>
      <sheetData sheetId="12">
        <row r="31">
          <cell r="E31">
            <v>400000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GESTIONINTERET"/>
    </sheetNames>
    <sheetDataSet>
      <sheetData sheetId="0">
        <row r="1">
          <cell r="A1" t="str">
            <v>BANQUE</v>
          </cell>
        </row>
      </sheetData>
      <sheetData sheetId="1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1685000</v>
          </cell>
        </row>
      </sheetData>
      <sheetData sheetId="2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1685000</v>
          </cell>
        </row>
      </sheetData>
      <sheetData sheetId="3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3565000</v>
          </cell>
        </row>
      </sheetData>
      <sheetData sheetId="4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1785000</v>
          </cell>
        </row>
      </sheetData>
      <sheetData sheetId="5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3570000</v>
          </cell>
        </row>
      </sheetData>
      <sheetData sheetId="6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0</v>
          </cell>
        </row>
      </sheetData>
      <sheetData sheetId="7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3530000</v>
          </cell>
        </row>
      </sheetData>
      <sheetData sheetId="8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1785000</v>
          </cell>
        </row>
      </sheetData>
      <sheetData sheetId="9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0</v>
          </cell>
        </row>
      </sheetData>
      <sheetData sheetId="10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3570000</v>
          </cell>
        </row>
      </sheetData>
      <sheetData sheetId="11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0</v>
          </cell>
        </row>
      </sheetData>
      <sheetData sheetId="12">
        <row r="34">
          <cell r="E34">
            <v>600000</v>
          </cell>
          <cell r="K34">
            <v>0</v>
          </cell>
        </row>
        <row r="35">
          <cell r="E35">
            <v>1650000</v>
          </cell>
          <cell r="K35">
            <v>5355000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MARS21"/>
      <sheetName val="TONTAVRIL21"/>
      <sheetName val="TONTMAI21"/>
      <sheetName val="TONTJUIN21"/>
      <sheetName val="TONTJUIL21"/>
      <sheetName val="TONTAOUT21"/>
      <sheetName val="TONTSEPT21"/>
      <sheetName val="TONTOCT21"/>
      <sheetName val="TONTNOV21"/>
      <sheetName val="TONTDEC21"/>
      <sheetName val="TONTRESUME21"/>
      <sheetName val="DEFAILLANCETONTINE"/>
    </sheetNames>
    <sheetDataSet>
      <sheetData sheetId="0"/>
      <sheetData sheetId="1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  <cell r="Q7">
            <v>257000</v>
          </cell>
          <cell r="R7">
            <v>43000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38000</v>
          </cell>
          <cell r="F8">
            <v>3000</v>
          </cell>
          <cell r="G8" t="str">
            <v>ESPECES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48000</v>
          </cell>
          <cell r="F9">
            <v>0</v>
          </cell>
          <cell r="G9" t="str">
            <v>BANQUE</v>
          </cell>
          <cell r="H9">
            <v>30000</v>
          </cell>
          <cell r="I9">
            <v>1000</v>
          </cell>
          <cell r="J9" t="str">
            <v>BANQUE</v>
          </cell>
          <cell r="K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35000</v>
          </cell>
          <cell r="F10">
            <v>0</v>
          </cell>
          <cell r="G10" t="str">
            <v>BANQUE</v>
          </cell>
          <cell r="H10">
            <v>31000</v>
          </cell>
          <cell r="I10">
            <v>1500</v>
          </cell>
          <cell r="J10" t="str">
            <v>ESPECES</v>
          </cell>
          <cell r="K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AS201610</v>
          </cell>
          <cell r="B13">
            <v>0</v>
          </cell>
          <cell r="C13" t="str">
            <v>FOTSO THOMAS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23000</v>
          </cell>
          <cell r="E14">
            <v>30000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23000</v>
          </cell>
          <cell r="E15">
            <v>65000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23000</v>
          </cell>
          <cell r="E16">
            <v>38000</v>
          </cell>
          <cell r="F16">
            <v>3000</v>
          </cell>
          <cell r="G16" t="str">
            <v>ESPECES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23000</v>
          </cell>
          <cell r="E17">
            <v>38000</v>
          </cell>
          <cell r="F17">
            <v>3000</v>
          </cell>
          <cell r="G17" t="str">
            <v>ESPECES</v>
          </cell>
          <cell r="H17">
            <v>70000</v>
          </cell>
          <cell r="I17">
            <v>2000</v>
          </cell>
          <cell r="J17" t="str">
            <v>BANQUE</v>
          </cell>
          <cell r="K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23000</v>
          </cell>
          <cell r="E19">
            <v>35000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23000</v>
          </cell>
          <cell r="E21">
            <v>30000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23000</v>
          </cell>
          <cell r="E22">
            <v>37000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23000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23000</v>
          </cell>
          <cell r="E24">
            <v>38000</v>
          </cell>
          <cell r="F24">
            <v>3000</v>
          </cell>
          <cell r="G24" t="str">
            <v>ESPECES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23000</v>
          </cell>
          <cell r="E25">
            <v>38000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 t="str">
            <v>ECHEC</v>
          </cell>
          <cell r="O25" t="str">
            <v>BANQUE</v>
          </cell>
          <cell r="P25">
            <v>0</v>
          </cell>
          <cell r="Q25">
            <v>256000</v>
          </cell>
          <cell r="R25">
            <v>44000</v>
          </cell>
        </row>
        <row r="26">
          <cell r="A26" t="str">
            <v>AS201629</v>
          </cell>
          <cell r="B26">
            <v>1</v>
          </cell>
          <cell r="C26" t="str">
            <v>NKEPSEU DIEUDONNE</v>
          </cell>
          <cell r="D26">
            <v>23000</v>
          </cell>
          <cell r="E26">
            <v>35000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AS201653</v>
          </cell>
          <cell r="B28">
            <v>1</v>
          </cell>
          <cell r="C28" t="str">
            <v>SIME BRICE</v>
          </cell>
          <cell r="D28">
            <v>23000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AS201637</v>
          </cell>
          <cell r="B29">
            <v>1</v>
          </cell>
          <cell r="C29" t="str">
            <v>SIME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AS201636</v>
          </cell>
          <cell r="B30">
            <v>1</v>
          </cell>
          <cell r="C30" t="str">
            <v>SIMO FONGANG ERIC</v>
          </cell>
          <cell r="D30">
            <v>23000</v>
          </cell>
          <cell r="E30">
            <v>30000</v>
          </cell>
          <cell r="F30">
            <v>3000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AS201638</v>
          </cell>
          <cell r="B31">
            <v>1</v>
          </cell>
          <cell r="C31" t="str">
            <v>SIMO PIERRE</v>
          </cell>
          <cell r="D31">
            <v>23000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AS201641</v>
          </cell>
          <cell r="B32">
            <v>1</v>
          </cell>
          <cell r="C32" t="str">
            <v>TCHOUAMOU MATHIEU</v>
          </cell>
          <cell r="D32">
            <v>23000</v>
          </cell>
          <cell r="E32">
            <v>35000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AS201646</v>
          </cell>
          <cell r="B33">
            <v>1</v>
          </cell>
          <cell r="C33" t="str">
            <v>YEPMOU JEAN JACQUES</v>
          </cell>
          <cell r="D33">
            <v>23000</v>
          </cell>
          <cell r="E33">
            <v>35000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AS201647</v>
          </cell>
          <cell r="B34">
            <v>1</v>
          </cell>
          <cell r="C34" t="str">
            <v>YOUMBI EMMANUEL</v>
          </cell>
          <cell r="D34">
            <v>23000</v>
          </cell>
          <cell r="E34">
            <v>30000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7">
          <cell r="B37">
            <v>27</v>
          </cell>
          <cell r="C37">
            <v>0</v>
          </cell>
          <cell r="D37">
            <v>644000</v>
          </cell>
          <cell r="E37">
            <v>1005000</v>
          </cell>
          <cell r="F37">
            <v>18000</v>
          </cell>
          <cell r="H37">
            <v>131000</v>
          </cell>
          <cell r="I37">
            <v>4500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513000</v>
          </cell>
          <cell r="R37">
            <v>87000</v>
          </cell>
        </row>
        <row r="39">
          <cell r="D39" t="str">
            <v>MONTANT TONTINE</v>
          </cell>
          <cell r="E39" t="str">
            <v>MONTANT VERSE</v>
          </cell>
          <cell r="G39" t="str">
            <v>REMBOURSEMENT PETIT LOT</v>
          </cell>
          <cell r="H39" t="str">
            <v>VENTE PETIT LOT</v>
          </cell>
          <cell r="I39" t="str">
            <v>VENTE LOT PRINCIPAL</v>
          </cell>
          <cell r="J39" t="str">
            <v>SOLDE EN CAISSE</v>
          </cell>
          <cell r="L39" t="str">
            <v>TONTINE + REMB + INTERET VENTE</v>
          </cell>
          <cell r="M39">
            <v>731000</v>
          </cell>
          <cell r="N39" t="str">
            <v>NBRE PART</v>
          </cell>
        </row>
        <row r="40">
          <cell r="D40">
            <v>138000</v>
          </cell>
          <cell r="E40">
            <v>220000</v>
          </cell>
          <cell r="F40" t="str">
            <v>ESPECES</v>
          </cell>
          <cell r="G40">
            <v>0</v>
          </cell>
          <cell r="H40">
            <v>31000</v>
          </cell>
          <cell r="I40">
            <v>0</v>
          </cell>
          <cell r="J40">
            <v>107000</v>
          </cell>
          <cell r="L40" t="str">
            <v>LOT PRINCIPAL</v>
          </cell>
          <cell r="M40">
            <v>600000</v>
          </cell>
          <cell r="N40">
            <v>2</v>
          </cell>
        </row>
        <row r="41">
          <cell r="D41">
            <v>506000</v>
          </cell>
          <cell r="E41">
            <v>785000</v>
          </cell>
          <cell r="F41" t="str">
            <v>BANQUE</v>
          </cell>
          <cell r="G41">
            <v>0</v>
          </cell>
          <cell r="H41">
            <v>100000</v>
          </cell>
          <cell r="I41">
            <v>513000</v>
          </cell>
          <cell r="J41">
            <v>-107000</v>
          </cell>
        </row>
      </sheetData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/>
      <sheetData sheetId="6"/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44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49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8" sqref="A8"/>
    </sheetView>
  </sheetViews>
  <sheetFormatPr baseColWidth="10" defaultRowHeight="14.5" x14ac:dyDescent="0.35"/>
  <sheetData>
    <row r="1" spans="1:1" x14ac:dyDescent="0.35">
      <c r="A1" t="s">
        <v>270</v>
      </c>
    </row>
    <row r="2" spans="1:1" x14ac:dyDescent="0.35">
      <c r="A2" t="s">
        <v>222</v>
      </c>
    </row>
    <row r="3" spans="1:1" x14ac:dyDescent="0.35">
      <c r="A3" t="s">
        <v>160</v>
      </c>
    </row>
    <row r="4" spans="1:1" x14ac:dyDescent="0.35">
      <c r="A4" t="s">
        <v>271</v>
      </c>
    </row>
    <row r="5" spans="1:1" x14ac:dyDescent="0.35">
      <c r="A5" t="s">
        <v>272</v>
      </c>
    </row>
    <row r="6" spans="1:1" x14ac:dyDescent="0.3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sqref="A1:A4"/>
    </sheetView>
  </sheetViews>
  <sheetFormatPr baseColWidth="10" defaultColWidth="11" defaultRowHeight="14.5" x14ac:dyDescent="0.35"/>
  <sheetData>
    <row r="1" spans="1:1" x14ac:dyDescent="0.35">
      <c r="A1" t="s">
        <v>22</v>
      </c>
    </row>
    <row r="2" spans="1:1" x14ac:dyDescent="0.35">
      <c r="A2" t="s">
        <v>20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D29" sqref="D29"/>
    </sheetView>
  </sheetViews>
  <sheetFormatPr baseColWidth="10" defaultColWidth="11" defaultRowHeight="14.5" x14ac:dyDescent="0.35"/>
  <sheetData>
    <row r="1" spans="1:1" x14ac:dyDescent="0.35">
      <c r="A1" t="s">
        <v>22</v>
      </c>
    </row>
    <row r="2" spans="1:1" x14ac:dyDescent="0.35">
      <c r="A2" t="s">
        <v>20</v>
      </c>
    </row>
    <row r="3" spans="1:1" x14ac:dyDescent="0.3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0"/>
  <sheetViews>
    <sheetView workbookViewId="0">
      <pane xSplit="2" ySplit="5" topLeftCell="N6" activePane="bottomRight" state="frozen"/>
      <selection activeCell="B43" sqref="B43"/>
      <selection pane="topRight" activeCell="B43" sqref="B43"/>
      <selection pane="bottomLeft" activeCell="B43" sqref="B43"/>
      <selection pane="bottomRight" activeCell="R6" sqref="R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6" width="18.26953125" customWidth="1"/>
    <col min="7" max="7" width="18.453125" customWidth="1"/>
    <col min="8" max="8" width="16.81640625" bestFit="1" customWidth="1"/>
    <col min="9" max="9" width="15" bestFit="1" customWidth="1"/>
    <col min="10" max="10" width="17.54296875" style="3" bestFit="1" customWidth="1"/>
    <col min="11" max="11" width="17.54296875" style="3" customWidth="1"/>
    <col min="12" max="12" width="15.7265625" style="2" customWidth="1"/>
    <col min="13" max="15" width="12.453125" style="2" customWidth="1"/>
    <col min="16" max="16" width="16.81640625" style="2" bestFit="1" customWidth="1"/>
    <col min="17" max="17" width="16.81640625" style="2" customWidth="1"/>
    <col min="18" max="18" width="17" customWidth="1"/>
    <col min="19" max="19" width="15" customWidth="1"/>
    <col min="20" max="21" width="18.1796875" customWidth="1"/>
    <col min="30" max="30" width="12.453125" bestFit="1" customWidth="1"/>
  </cols>
  <sheetData>
    <row r="1" spans="1:32" x14ac:dyDescent="0.3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35">
      <c r="A3" s="1" t="s">
        <v>3</v>
      </c>
      <c r="B3" s="5"/>
      <c r="C3" s="5"/>
      <c r="D3" s="5"/>
      <c r="E3" s="5"/>
      <c r="F3" s="5"/>
      <c r="G3" s="5"/>
      <c r="H3" s="5"/>
    </row>
    <row r="4" spans="1:32" ht="26" x14ac:dyDescent="0.6">
      <c r="B4" s="16"/>
      <c r="C4" s="16"/>
      <c r="D4" s="16"/>
      <c r="E4" s="16"/>
      <c r="F4" s="16"/>
      <c r="G4" s="16"/>
      <c r="H4" s="16"/>
      <c r="I4" s="102"/>
      <c r="J4" s="189">
        <v>44578</v>
      </c>
      <c r="K4" s="189"/>
      <c r="L4" s="189"/>
      <c r="M4" s="189"/>
      <c r="N4" s="189"/>
      <c r="O4" s="189"/>
      <c r="P4"/>
      <c r="Q4"/>
    </row>
    <row r="5" spans="1:32" ht="70.5" x14ac:dyDescent="0.3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4" t="s">
        <v>255</v>
      </c>
    </row>
    <row r="6" spans="1:32" x14ac:dyDescent="0.35">
      <c r="A6" s="1" t="s">
        <v>16</v>
      </c>
      <c r="B6" s="1" t="str">
        <f>VLOOKUP(A6,[15]LISTADHERENT!$A$5:$J$50,3,0)</f>
        <v>ASELBY</v>
      </c>
      <c r="C6" s="5" t="e">
        <f>#REF!</f>
        <v>#REF!</v>
      </c>
      <c r="D6" s="5" t="e">
        <f>#REF!</f>
        <v>#REF!</v>
      </c>
      <c r="E6" s="36"/>
      <c r="F6" s="5" t="e">
        <f>C6+D6-E6+K6</f>
        <v>#REF!</v>
      </c>
      <c r="G6" s="6" t="e">
        <f t="shared" ref="G6:G36" si="0">$S$40/$H$40*H6</f>
        <v>#REF!</v>
      </c>
      <c r="H6" s="6" t="e">
        <f>F6+D6+K6</f>
        <v>#REF!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35">
      <c r="A7" s="1" t="s">
        <v>17</v>
      </c>
      <c r="B7" s="1" t="str">
        <f>VLOOKUP(A7,[15]LISTADHERENT!$A$5:$J$50,3,0)</f>
        <v>BAKOP ACHILLE</v>
      </c>
      <c r="C7" s="5" t="e">
        <f>#REF!</f>
        <v>#REF!</v>
      </c>
      <c r="D7" s="5" t="e">
        <f>#REF!</f>
        <v>#REF!</v>
      </c>
      <c r="E7" s="36"/>
      <c r="F7" s="5" t="e">
        <f t="shared" ref="F7:F36" si="1">C7+D7-E7+K7</f>
        <v>#REF!</v>
      </c>
      <c r="G7" s="6" t="e">
        <f t="shared" si="0"/>
        <v>#REF!</v>
      </c>
      <c r="H7" s="6" t="e">
        <f t="shared" ref="H7:H36" si="2">F7+D7+K7</f>
        <v>#REF!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>
        <v>4000</v>
      </c>
      <c r="Z7" s="36"/>
      <c r="AA7" s="36"/>
      <c r="AB7" s="36"/>
      <c r="AC7" s="36"/>
      <c r="AD7" s="36"/>
      <c r="AE7" s="2"/>
      <c r="AF7" s="2"/>
    </row>
    <row r="8" spans="1:32" x14ac:dyDescent="0.35">
      <c r="A8" s="1" t="s">
        <v>19</v>
      </c>
      <c r="B8" s="1" t="str">
        <f>VLOOKUP(A8,[15]LISTADHERENT!$A$5:$J$50,3,0)</f>
        <v>BOUTCHOUANG WILLIAM</v>
      </c>
      <c r="C8" s="5" t="e">
        <f>#REF!</f>
        <v>#REF!</v>
      </c>
      <c r="D8" s="5" t="e">
        <f>#REF!</f>
        <v>#REF!</v>
      </c>
      <c r="E8" s="36"/>
      <c r="F8" s="5" t="e">
        <f t="shared" si="1"/>
        <v>#REF!</v>
      </c>
      <c r="G8" s="6" t="e">
        <f t="shared" si="0"/>
        <v>#REF!</v>
      </c>
      <c r="H8" s="6" t="e">
        <f t="shared" si="2"/>
        <v>#REF!</v>
      </c>
      <c r="I8" s="36">
        <f>VLOOKUP($A8,[16]HISTOJANV22!$A$6:$AQ$37,22,0)</f>
        <v>0</v>
      </c>
      <c r="J8" s="36">
        <f>VLOOKUP($A8,[16]HISTOJANV22!$A$6:$AU$39,45,0)</f>
        <v>7000</v>
      </c>
      <c r="K8" s="36">
        <f t="shared" ref="K8:K36" si="3">IF(J8=0,0,J8-(L8+M8+N8))</f>
        <v>3000</v>
      </c>
      <c r="L8" s="36">
        <f t="shared" ref="L8:L36" si="4">IF(J8=0,0,500)</f>
        <v>500</v>
      </c>
      <c r="M8" s="36">
        <f t="shared" ref="M8:M36" si="5">IF(J8=0,0,1000)</f>
        <v>1000</v>
      </c>
      <c r="N8" s="36">
        <f t="shared" ref="N8:N36" si="6">IF(J8=0,0,2500)</f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525000</v>
      </c>
      <c r="S8" s="36">
        <f t="shared" ref="S8:S36" si="7">R8*12/1200*12</f>
        <v>63000</v>
      </c>
      <c r="T8" s="36">
        <f>VLOOKUP($A8,[16]HISTOJANV22!$A$6:$AU$39,28,0)</f>
        <v>0</v>
      </c>
      <c r="U8" s="36">
        <f>VLOOKUP($A8,[16]HISTOJANV22!$A$6:$AU$39,19,0)</f>
        <v>0</v>
      </c>
      <c r="V8" s="36">
        <f>VLOOKUP($A8,[16]HISTOJANV22!$A$6:$AU$39,20,0)</f>
        <v>0</v>
      </c>
      <c r="W8" s="36">
        <f>VLOOKUP($A8,[16]HISTOJANV22!$A$6:$AU$39,27,0)</f>
        <v>0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35">
      <c r="A9" s="1" t="s">
        <v>23</v>
      </c>
      <c r="B9" s="1" t="str">
        <f>VLOOKUP(A9,[15]LISTADHERENT!$A$5:$J$50,3,0)</f>
        <v xml:space="preserve">DJOMO JEAN PAUL </v>
      </c>
      <c r="C9" s="5" t="e">
        <f>#REF!</f>
        <v>#REF!</v>
      </c>
      <c r="D9" s="5" t="e">
        <f>#REF!</f>
        <v>#REF!</v>
      </c>
      <c r="E9" s="36"/>
      <c r="F9" s="5" t="e">
        <f t="shared" si="1"/>
        <v>#REF!</v>
      </c>
      <c r="G9" s="6" t="e">
        <f t="shared" si="0"/>
        <v>#REF!</v>
      </c>
      <c r="H9" s="6" t="e">
        <f t="shared" si="2"/>
        <v>#REF!</v>
      </c>
      <c r="I9" s="36">
        <f>VLOOKUP($A9,[16]HISTOJANV22!$A$6:$AQ$37,22,0)</f>
        <v>0</v>
      </c>
      <c r="J9" s="36">
        <f>VLOOKUP($A9,[16]HISTOJANV22!$A$6:$AU$39,45,0)</f>
        <v>52000</v>
      </c>
      <c r="K9" s="36">
        <f t="shared" si="3"/>
        <v>48000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1000000</v>
      </c>
      <c r="S9" s="36">
        <f t="shared" si="7"/>
        <v>120000</v>
      </c>
      <c r="T9" s="36" t="str">
        <f>VLOOKUP($A9,[16]HISTOJANV22!$A$6:$AU$39,28,0)</f>
        <v>OKK</v>
      </c>
      <c r="U9" s="36">
        <f>VLOOKUP($A9,[16]HISTOJANV22!$A$6:$AU$39,19,0)</f>
        <v>0</v>
      </c>
      <c r="V9" s="36">
        <f>VLOOKUP($A9,[16]HISTOJANV22!$A$6:$AU$39,20,0)</f>
        <v>0</v>
      </c>
      <c r="W9" s="36" t="str">
        <f>VLOOKUP($A9,[16]HISTOJANV22!$A$6:$AU$39,27,0)</f>
        <v>BANQUE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35">
      <c r="A10" s="1" t="s">
        <v>154</v>
      </c>
      <c r="B10" s="1" t="str">
        <f>VLOOKUP(A10,[15]LISTADHERENT!$A$5:$J$50,3,0)</f>
        <v>DJOMOU TCHAPDA</v>
      </c>
      <c r="C10" s="5" t="e">
        <f>#REF!</f>
        <v>#REF!</v>
      </c>
      <c r="D10" s="5" t="e">
        <f>#REF!</f>
        <v>#REF!</v>
      </c>
      <c r="E10" s="36"/>
      <c r="F10" s="5" t="e">
        <f t="shared" si="1"/>
        <v>#REF!</v>
      </c>
      <c r="G10" s="6" t="e">
        <f t="shared" si="0"/>
        <v>#REF!</v>
      </c>
      <c r="H10" s="6" t="e">
        <f t="shared" si="2"/>
        <v>#REF!</v>
      </c>
      <c r="I10" s="36">
        <f>VLOOKUP($A10,[16]HISTOJANV22!$A$6:$AQ$37,22,0)</f>
        <v>0</v>
      </c>
      <c r="J10" s="36">
        <f>VLOOKUP($A10,[16]HISTOJANV22!$A$6:$AU$39,45,0)</f>
        <v>7000</v>
      </c>
      <c r="K10" s="36">
        <f t="shared" si="3"/>
        <v>3000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 t="e">
        <f>VLOOKUP($A10,[16]HISTODEC21!$A$6:$AU$39,26,0)</f>
        <v>#REF!</v>
      </c>
      <c r="S10" s="36" t="e">
        <f>R10*1/1200*12</f>
        <v>#REF!</v>
      </c>
      <c r="T10" s="36">
        <f>VLOOKUP($A10,[16]HISTOJANV22!$A$6:$AU$39,28,0)</f>
        <v>0</v>
      </c>
      <c r="U10" s="36">
        <f>VLOOKUP($A10,[16]HISTOJANV22!$A$6:$AU$39,19,0)</f>
        <v>0</v>
      </c>
      <c r="V10" s="36">
        <f>VLOOKUP($A10,[16]HISTOJANV22!$A$6:$AU$39,20,0)</f>
        <v>0</v>
      </c>
      <c r="W10" s="36">
        <f>VLOOKUP($A10,[16]HISTOJANV22!$A$6:$AU$39,27,0)</f>
        <v>0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35">
      <c r="A11" s="1" t="s">
        <v>24</v>
      </c>
      <c r="B11" s="1" t="str">
        <f>VLOOKUP(A11,[15]LISTADHERENT!$A$5:$J$50,3,0)</f>
        <v>DJOUKWE NANGUEN GUY BLAISE</v>
      </c>
      <c r="C11" s="5" t="e">
        <f>#REF!</f>
        <v>#REF!</v>
      </c>
      <c r="D11" s="5" t="e">
        <f>#REF!</f>
        <v>#REF!</v>
      </c>
      <c r="E11" s="36"/>
      <c r="F11" s="5" t="e">
        <f t="shared" si="1"/>
        <v>#REF!</v>
      </c>
      <c r="G11" s="6" t="e">
        <f t="shared" si="0"/>
        <v>#REF!</v>
      </c>
      <c r="H11" s="6" t="e">
        <f t="shared" si="2"/>
        <v>#REF!</v>
      </c>
      <c r="I11" s="36">
        <f>VLOOKUP($A11,[16]HISTOJANV22!$A$6:$AQ$37,22,0)</f>
        <v>0</v>
      </c>
      <c r="J11" s="36">
        <f>VLOOKUP($A11,[16]HISTOJANV22!$A$6:$AU$39,45,0)</f>
        <v>12000</v>
      </c>
      <c r="K11" s="36">
        <f t="shared" si="3"/>
        <v>8000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1000000</v>
      </c>
      <c r="S11" s="36">
        <f>R11*1/1200*12</f>
        <v>10000</v>
      </c>
      <c r="T11" s="36" t="str">
        <f>VLOOKUP($A11,[16]HISTOJANV22!$A$6:$AU$39,28,0)</f>
        <v>OKK</v>
      </c>
      <c r="U11" s="36">
        <f>VLOOKUP($A11,[16]HISTOJANV22!$A$6:$AU$39,19,0)</f>
        <v>0</v>
      </c>
      <c r="V11" s="36">
        <f>VLOOKUP($A11,[16]HISTOJANV22!$A$6:$AU$39,20,0)</f>
        <v>0</v>
      </c>
      <c r="W11" s="36" t="str">
        <f>VLOOKUP($A11,[16]HISTOJANV22!$A$6:$AU$39,27,0)</f>
        <v>BANQUE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0</v>
      </c>
      <c r="AE11" s="2"/>
      <c r="AF11" s="2"/>
    </row>
    <row r="12" spans="1:32" x14ac:dyDescent="0.35">
      <c r="A12" s="1" t="s">
        <v>25</v>
      </c>
      <c r="B12" s="1" t="str">
        <f>VLOOKUP(A12,[15]LISTADHERENT!$A$5:$J$50,3,0)</f>
        <v>DJUOMBESSY ANTOINE</v>
      </c>
      <c r="C12" s="5" t="e">
        <f>#REF!</f>
        <v>#REF!</v>
      </c>
      <c r="D12" s="5" t="e">
        <f>#REF!</f>
        <v>#REF!</v>
      </c>
      <c r="E12" s="36"/>
      <c r="F12" s="5" t="e">
        <f t="shared" si="1"/>
        <v>#REF!</v>
      </c>
      <c r="G12" s="6" t="e">
        <f t="shared" si="0"/>
        <v>#REF!</v>
      </c>
      <c r="H12" s="6" t="e">
        <f t="shared" si="2"/>
        <v>#REF!</v>
      </c>
      <c r="I12" s="36">
        <f>VLOOKUP($A12,[16]HISTOJANV22!$A$6:$AQ$37,22,0)</f>
        <v>0</v>
      </c>
      <c r="J12" s="36">
        <f>VLOOKUP($A12,[16]HISTOJANV22!$A$6:$AU$39,45,0)</f>
        <v>7000</v>
      </c>
      <c r="K12" s="36">
        <f t="shared" si="3"/>
        <v>3000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1029000</v>
      </c>
      <c r="S12" s="36">
        <f t="shared" si="7"/>
        <v>123480</v>
      </c>
      <c r="T12" s="36">
        <f>VLOOKUP($A12,[16]HISTOJANV22!$A$6:$AU$39,28,0)</f>
        <v>0</v>
      </c>
      <c r="U12" s="36">
        <f>VLOOKUP($A12,[16]HISTOJANV22!$A$6:$AU$39,19,0)</f>
        <v>1000000</v>
      </c>
      <c r="V12" s="36" t="str">
        <f>VLOOKUP($A12,[16]HISTOJANV22!$A$6:$AU$39,20,0)</f>
        <v>BANQUE</v>
      </c>
      <c r="W12" s="36">
        <f>VLOOKUP($A12,[16]HISTOJANV22!$A$6:$AU$39,27,0)</f>
        <v>0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61000</v>
      </c>
      <c r="AE12" s="2"/>
      <c r="AF12" s="2"/>
    </row>
    <row r="13" spans="1:32" x14ac:dyDescent="0.35">
      <c r="A13" s="1" t="s">
        <v>79</v>
      </c>
      <c r="B13" s="1" t="str">
        <f>VLOOKUP(A13,[15]LISTADHERENT!$A$5:$J$50,3,0)</f>
        <v>DOMOU FABIEN</v>
      </c>
      <c r="C13" s="5" t="e">
        <f>#REF!</f>
        <v>#REF!</v>
      </c>
      <c r="D13" s="5" t="e">
        <f>#REF!</f>
        <v>#REF!</v>
      </c>
      <c r="E13" s="36"/>
      <c r="F13" s="5" t="e">
        <f t="shared" si="1"/>
        <v>#REF!</v>
      </c>
      <c r="G13" s="6" t="e">
        <f t="shared" si="0"/>
        <v>#REF!</v>
      </c>
      <c r="H13" s="6" t="e">
        <f t="shared" si="2"/>
        <v>#REF!</v>
      </c>
      <c r="I13" s="36">
        <f>VLOOKUP($A13,[16]HISTOJANV22!$A$6:$AQ$37,22,0)</f>
        <v>0</v>
      </c>
      <c r="J13" s="36">
        <f>VLOOKUP($A13,[16]HISTOJANV22!$A$6:$AU$39,45,0)</f>
        <v>12000</v>
      </c>
      <c r="K13" s="36">
        <f t="shared" si="3"/>
        <v>8000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1000000</v>
      </c>
      <c r="S13" s="36">
        <f t="shared" si="7"/>
        <v>120000</v>
      </c>
      <c r="T13" s="36" t="str">
        <f>VLOOKUP($A13,[16]HISTOJANV22!$A$6:$AU$39,28,0)</f>
        <v>OKK</v>
      </c>
      <c r="U13" s="36">
        <f>VLOOKUP($A13,[16]HISTOJANV22!$A$6:$AU$39,19,0)</f>
        <v>0</v>
      </c>
      <c r="V13" s="36">
        <f>VLOOKUP($A13,[16]HISTOJANV22!$A$6:$AU$39,20,0)</f>
        <v>0</v>
      </c>
      <c r="W13" s="36" t="str">
        <f>VLOOKUP($A13,[16]HISTOJANV22!$A$6:$AU$39,27,0)</f>
        <v>BANQUE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57000</v>
      </c>
      <c r="AE13" s="2"/>
      <c r="AF13" s="2"/>
    </row>
    <row r="14" spans="1:32" x14ac:dyDescent="0.35">
      <c r="A14" s="1" t="s">
        <v>26</v>
      </c>
      <c r="B14" s="1" t="str">
        <f>VLOOKUP(A14,[15]LISTADHERENT!$A$5:$J$50,3,0)</f>
        <v>DONHOU DAVID</v>
      </c>
      <c r="C14" s="5" t="e">
        <f>#REF!</f>
        <v>#REF!</v>
      </c>
      <c r="D14" s="5" t="e">
        <f>#REF!</f>
        <v>#REF!</v>
      </c>
      <c r="E14" s="36"/>
      <c r="F14" s="5" t="e">
        <f t="shared" si="1"/>
        <v>#REF!</v>
      </c>
      <c r="G14" s="6" t="e">
        <f t="shared" si="0"/>
        <v>#REF!</v>
      </c>
      <c r="H14" s="6" t="e">
        <f t="shared" si="2"/>
        <v>#REF!</v>
      </c>
      <c r="I14" s="36">
        <f>VLOOKUP($A14,[16]HISTOJANV22!$A$6:$AQ$37,22,0)</f>
        <v>0</v>
      </c>
      <c r="J14" s="36">
        <f>VLOOKUP($A14,[16]HISTOJANV22!$A$6:$AU$39,45,0)</f>
        <v>7000</v>
      </c>
      <c r="K14" s="36">
        <f t="shared" si="3"/>
        <v>3000</v>
      </c>
      <c r="L14" s="36">
        <f t="shared" si="4"/>
        <v>500</v>
      </c>
      <c r="M14" s="36">
        <f t="shared" si="5"/>
        <v>1000</v>
      </c>
      <c r="N14" s="36">
        <f t="shared" si="6"/>
        <v>2500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 t="e">
        <f>VLOOKUP($A14,[16]HISTODEC21!$A$6:$AU$39,26,0)</f>
        <v>#REF!</v>
      </c>
      <c r="S14" s="36" t="e">
        <f>R14*0/1200*12</f>
        <v>#REF!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>
        <f>VLOOKUP($A14,[16]HISTOJANV22!$A$6:$AU$39,27,0)</f>
        <v>0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70000</v>
      </c>
      <c r="AE14" s="2"/>
      <c r="AF14" s="2"/>
    </row>
    <row r="15" spans="1:32" ht="14.25" customHeight="1" x14ac:dyDescent="0.35">
      <c r="A15" s="1" t="s">
        <v>28</v>
      </c>
      <c r="B15" s="1" t="str">
        <f>VLOOKUP(A15,[15]LISTADHERENT!$A$5:$J$50,3,0)</f>
        <v>HENGUE PAUL OMER</v>
      </c>
      <c r="C15" s="5" t="e">
        <f>#REF!</f>
        <v>#REF!</v>
      </c>
      <c r="D15" s="5" t="e">
        <f>#REF!</f>
        <v>#REF!</v>
      </c>
      <c r="E15" s="36"/>
      <c r="F15" s="5" t="e">
        <f t="shared" si="1"/>
        <v>#REF!</v>
      </c>
      <c r="G15" s="6" t="e">
        <f t="shared" si="0"/>
        <v>#REF!</v>
      </c>
      <c r="H15" s="6" t="e">
        <f t="shared" si="2"/>
        <v>#REF!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 t="e">
        <f>VLOOKUP($A15,[16]HISTODEC21!$A$6:$AU$39,26,0)</f>
        <v>#REF!</v>
      </c>
      <c r="S15" s="36" t="e">
        <f t="shared" si="7"/>
        <v>#REF!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35">
      <c r="A16" s="1" t="s">
        <v>29</v>
      </c>
      <c r="B16" s="1" t="str">
        <f>VLOOKUP(A16,[15]LISTADHERENT!$A$5:$J$50,3,0)</f>
        <v>HOTCHO BENJAMIN</v>
      </c>
      <c r="C16" s="5" t="e">
        <f>#REF!</f>
        <v>#REF!</v>
      </c>
      <c r="D16" s="5" t="e">
        <f>#REF!</f>
        <v>#REF!</v>
      </c>
      <c r="E16" s="36"/>
      <c r="F16" s="5" t="e">
        <f t="shared" si="1"/>
        <v>#REF!</v>
      </c>
      <c r="G16" s="6" t="e">
        <f t="shared" si="0"/>
        <v>#REF!</v>
      </c>
      <c r="H16" s="6" t="e">
        <f t="shared" si="2"/>
        <v>#REF!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 t="e">
        <f>VLOOKUP($A16,[16]HISTODEC21!$A$6:$AU$39,26,0)</f>
        <v>#REF!</v>
      </c>
      <c r="S16" s="36" t="e">
        <f t="shared" si="7"/>
        <v>#REF!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35">
      <c r="A17" s="1" t="s">
        <v>33</v>
      </c>
      <c r="B17" s="1" t="str">
        <f>VLOOKUP(A17,[15]LISTADHERENT!$A$5:$J$50,3,0)</f>
        <v>KOUAMOU MOISE</v>
      </c>
      <c r="C17" s="5" t="e">
        <f>#REF!</f>
        <v>#REF!</v>
      </c>
      <c r="D17" s="5" t="e">
        <f>#REF!</f>
        <v>#REF!</v>
      </c>
      <c r="E17" s="36"/>
      <c r="F17" s="5" t="e">
        <f t="shared" si="1"/>
        <v>#REF!</v>
      </c>
      <c r="G17" s="6" t="e">
        <f t="shared" si="0"/>
        <v>#REF!</v>
      </c>
      <c r="H17" s="6" t="e">
        <f t="shared" si="2"/>
        <v>#REF!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 t="e">
        <f>VLOOKUP($A17,[16]HISTODEC21!$A$6:$AU$39,26,0)</f>
        <v>#REF!</v>
      </c>
      <c r="S17" s="36" t="e">
        <f t="shared" si="7"/>
        <v>#REF!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35">
      <c r="A18" s="1" t="s">
        <v>35</v>
      </c>
      <c r="B18" s="1" t="str">
        <f>VLOOKUP(A18,[15]LISTADHERENT!$A$5:$J$50,3,0)</f>
        <v>KOUATCHO MESSACK</v>
      </c>
      <c r="C18" s="5" t="e">
        <f>#REF!</f>
        <v>#REF!</v>
      </c>
      <c r="D18" s="5" t="e">
        <f>#REF!</f>
        <v>#REF!</v>
      </c>
      <c r="E18" s="36"/>
      <c r="F18" s="5" t="e">
        <f t="shared" si="1"/>
        <v>#REF!</v>
      </c>
      <c r="G18" s="6" t="e">
        <f t="shared" si="0"/>
        <v>#REF!</v>
      </c>
      <c r="H18" s="6" t="e">
        <f t="shared" si="2"/>
        <v>#REF!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35">
      <c r="A19" s="1" t="s">
        <v>36</v>
      </c>
      <c r="B19" s="1" t="str">
        <f>VLOOKUP(A19,[15]LISTADHERENT!$A$5:$J$50,3,0)</f>
        <v>LOWE JEAN</v>
      </c>
      <c r="C19" s="5" t="e">
        <f>#REF!</f>
        <v>#REF!</v>
      </c>
      <c r="D19" s="5" t="e">
        <f>#REF!</f>
        <v>#REF!</v>
      </c>
      <c r="E19" s="36"/>
      <c r="F19" s="5" t="e">
        <f t="shared" si="1"/>
        <v>#REF!</v>
      </c>
      <c r="G19" s="6" t="e">
        <f t="shared" si="0"/>
        <v>#REF!</v>
      </c>
      <c r="H19" s="6" t="e">
        <f t="shared" si="2"/>
        <v>#REF!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35">
      <c r="A20" s="1" t="s">
        <v>75</v>
      </c>
      <c r="B20" s="1" t="str">
        <f>VLOOKUP(A20,[15]LISTADHERENT!$A$5:$J$50,3,0)</f>
        <v>MBOGNING TUGMA GUY</v>
      </c>
      <c r="C20" s="5" t="e">
        <f>#REF!</f>
        <v>#REF!</v>
      </c>
      <c r="D20" s="5" t="e">
        <f>#REF!</f>
        <v>#REF!</v>
      </c>
      <c r="E20" s="36"/>
      <c r="F20" s="5" t="e">
        <f t="shared" si="1"/>
        <v>#REF!</v>
      </c>
      <c r="G20" s="6" t="e">
        <f t="shared" si="0"/>
        <v>#REF!</v>
      </c>
      <c r="H20" s="6" t="e">
        <f t="shared" si="2"/>
        <v>#REF!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35">
      <c r="A21" s="1" t="s">
        <v>50</v>
      </c>
      <c r="B21" s="1" t="str">
        <f>VLOOKUP(A21,[15]LISTADHERENT!$A$5:$J$50,3,0)</f>
        <v>NANGUEN MARTIN</v>
      </c>
      <c r="C21" s="5" t="e">
        <f>#REF!</f>
        <v>#REF!</v>
      </c>
      <c r="D21" s="5" t="e">
        <f>#REF!</f>
        <v>#REF!</v>
      </c>
      <c r="E21" s="36"/>
      <c r="F21" s="5" t="e">
        <f t="shared" si="1"/>
        <v>#REF!</v>
      </c>
      <c r="G21" s="6" t="e">
        <f t="shared" si="0"/>
        <v>#REF!</v>
      </c>
      <c r="H21" s="6" t="e">
        <f t="shared" si="2"/>
        <v>#REF!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 t="e">
        <f>VLOOKUP($A21,[16]HISTODEC21!$A$6:$AU$39,26,0)</f>
        <v>#REF!</v>
      </c>
      <c r="S21" s="36" t="e">
        <f t="shared" si="7"/>
        <v>#REF!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35">
      <c r="A22" s="1" t="s">
        <v>37</v>
      </c>
      <c r="B22" s="1" t="str">
        <f>VLOOKUP(A22,[15]LISTADHERENT!$A$5:$J$50,3,0)</f>
        <v>NANKAM APPOLINAIRE</v>
      </c>
      <c r="C22" s="5" t="e">
        <f>#REF!</f>
        <v>#REF!</v>
      </c>
      <c r="D22" s="5" t="e">
        <f>#REF!</f>
        <v>#REF!</v>
      </c>
      <c r="E22" s="36"/>
      <c r="F22" s="5" t="e">
        <f t="shared" si="1"/>
        <v>#REF!</v>
      </c>
      <c r="G22" s="6" t="e">
        <f t="shared" si="0"/>
        <v>#REF!</v>
      </c>
      <c r="H22" s="6" t="e">
        <f t="shared" si="2"/>
        <v>#REF!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35">
      <c r="A23" s="1" t="s">
        <v>38</v>
      </c>
      <c r="B23" s="1" t="str">
        <f>VLOOKUP(A23,[15]LISTADHERENT!$A$5:$J$50,3,0)</f>
        <v>NDJOMO ETIENNE</v>
      </c>
      <c r="C23" s="5" t="e">
        <f>#REF!</f>
        <v>#REF!</v>
      </c>
      <c r="D23" s="5" t="e">
        <f>#REF!</f>
        <v>#REF!</v>
      </c>
      <c r="E23" s="36"/>
      <c r="F23" s="5" t="e">
        <f t="shared" si="1"/>
        <v>#REF!</v>
      </c>
      <c r="G23" s="6" t="e">
        <f t="shared" si="0"/>
        <v>#REF!</v>
      </c>
      <c r="H23" s="6" t="e">
        <f t="shared" si="2"/>
        <v>#REF!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35">
      <c r="A24" s="1" t="s">
        <v>39</v>
      </c>
      <c r="B24" s="1" t="str">
        <f>VLOOKUP(A24,[15]LISTADHERENT!$A$5:$J$50,3,0)</f>
        <v>NGONDIEP CLAUDE</v>
      </c>
      <c r="C24" s="5" t="e">
        <f>#REF!</f>
        <v>#REF!</v>
      </c>
      <c r="D24" s="5" t="e">
        <f>#REF!</f>
        <v>#REF!</v>
      </c>
      <c r="E24" s="36"/>
      <c r="F24" s="5" t="e">
        <f t="shared" si="1"/>
        <v>#REF!</v>
      </c>
      <c r="G24" s="6" t="e">
        <f t="shared" si="0"/>
        <v>#REF!</v>
      </c>
      <c r="H24" s="6" t="e">
        <f t="shared" si="2"/>
        <v>#REF!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35">
      <c r="A25" s="1" t="s">
        <v>41</v>
      </c>
      <c r="B25" s="1" t="str">
        <f>VLOOKUP(A25,[15]LISTADHERENT!$A$5:$J$50,3,0)</f>
        <v>NGUIEMEGNI MATHIEU BLAISE</v>
      </c>
      <c r="C25" s="5" t="e">
        <f>#REF!</f>
        <v>#REF!</v>
      </c>
      <c r="D25" s="5" t="e">
        <f>#REF!</f>
        <v>#REF!</v>
      </c>
      <c r="E25" s="36"/>
      <c r="F25" s="5" t="e">
        <f t="shared" si="1"/>
        <v>#REF!</v>
      </c>
      <c r="G25" s="6" t="e">
        <f t="shared" si="0"/>
        <v>#REF!</v>
      </c>
      <c r="H25" s="6" t="e">
        <f t="shared" si="2"/>
        <v>#REF!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35">
      <c r="A26" s="1" t="s">
        <v>43</v>
      </c>
      <c r="B26" s="1" t="str">
        <f>VLOOKUP(A26,[15]LISTADHERENT!$A$5:$J$50,3,0)</f>
        <v>NKAMGANG JUSTIN DEJOLIE</v>
      </c>
      <c r="C26" s="5" t="e">
        <f>#REF!</f>
        <v>#REF!</v>
      </c>
      <c r="D26" s="5" t="e">
        <f>#REF!</f>
        <v>#REF!</v>
      </c>
      <c r="E26" s="36"/>
      <c r="F26" s="5" t="e">
        <f t="shared" si="1"/>
        <v>#REF!</v>
      </c>
      <c r="G26" s="6" t="e">
        <f t="shared" si="0"/>
        <v>#REF!</v>
      </c>
      <c r="H26" s="6" t="e">
        <f t="shared" si="2"/>
        <v>#REF!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35">
      <c r="A27" s="1" t="s">
        <v>172</v>
      </c>
      <c r="B27" s="1" t="str">
        <f>VLOOKUP(A27,[15]LISTADHERENT!$A$5:$J$50,3,0)</f>
        <v>NOUBE ETIENNE</v>
      </c>
      <c r="C27" s="5" t="e">
        <f>#REF!</f>
        <v>#REF!</v>
      </c>
      <c r="D27" s="5" t="e">
        <f>#REF!</f>
        <v>#REF!</v>
      </c>
      <c r="E27" s="36"/>
      <c r="F27" s="5" t="e">
        <f t="shared" si="1"/>
        <v>#REF!</v>
      </c>
      <c r="G27" s="6" t="e">
        <f t="shared" si="0"/>
        <v>#REF!</v>
      </c>
      <c r="H27" s="6" t="e">
        <f t="shared" si="2"/>
        <v>#REF!</v>
      </c>
      <c r="I27" s="36" t="e">
        <f>VLOOKUP($A27,[16]HISTOJANV22!$A$6:$AQ$37,22,0)</f>
        <v>#N/A</v>
      </c>
      <c r="J27" s="36" t="e">
        <f>VLOOKUP($A27,[16]HISTOJANV22!$A$6:$AU$39,45,0)</f>
        <v>#N/A</v>
      </c>
      <c r="K27" s="36" t="e">
        <f t="shared" si="3"/>
        <v>#N/A</v>
      </c>
      <c r="L27" s="36" t="e">
        <f t="shared" si="4"/>
        <v>#N/A</v>
      </c>
      <c r="M27" s="36" t="e">
        <f t="shared" si="5"/>
        <v>#N/A</v>
      </c>
      <c r="N27" s="36" t="e">
        <f t="shared" si="6"/>
        <v>#N/A</v>
      </c>
      <c r="O27" s="36" t="e">
        <f>VLOOKUP($A27,[16]HISTOJANV22!$A$6:$AU$39,7,0)</f>
        <v>#N/A</v>
      </c>
      <c r="P27" s="36" t="e">
        <f>VLOOKUP($A27,[16]HISTOJANV22!$A$6:$AU$39,23,0)</f>
        <v>#N/A</v>
      </c>
      <c r="Q27" s="36" t="e">
        <f>VLOOKUP($A27,[16]HISTOJANV22!$A$6:$AU$39,46,0)</f>
        <v>#N/A</v>
      </c>
      <c r="R27" s="36" t="e">
        <f>VLOOKUP($A27,[16]HISTODEC21!$A$6:$AU$39,26,0)</f>
        <v>#N/A</v>
      </c>
      <c r="S27" s="36" t="e">
        <f t="shared" si="7"/>
        <v>#N/A</v>
      </c>
      <c r="T27" s="36" t="e">
        <f>VLOOKUP($A27,[16]HISTOJANV22!$A$6:$AU$39,28,0)</f>
        <v>#N/A</v>
      </c>
      <c r="U27" s="36" t="e">
        <f>VLOOKUP($A27,[16]HISTOJANV22!$A$6:$AU$39,19,0)</f>
        <v>#N/A</v>
      </c>
      <c r="V27" s="36" t="e">
        <f>VLOOKUP($A27,[16]HISTOJANV22!$A$6:$AU$39,20,0)</f>
        <v>#N/A</v>
      </c>
      <c r="W27" s="36" t="e">
        <f>VLOOKUP($A27,[16]HISTOJANV22!$A$6:$AU$39,27,0)</f>
        <v>#N/A</v>
      </c>
      <c r="X27" s="36" t="e">
        <f>VLOOKUP($A27,[16]HISTOJANV22!$A$6:$AU$39,33,0)</f>
        <v>#N/A</v>
      </c>
      <c r="Y27" s="36"/>
      <c r="Z27" s="36"/>
      <c r="AA27" s="36" t="e">
        <f>VLOOKUP($A27,[16]HISTOJANV22!$A$6:$AU$39,43,0)</f>
        <v>#N/A</v>
      </c>
      <c r="AB27" s="36" t="e">
        <f>VLOOKUP($A27,[16]HISTOJANV22!$A$6:$AU$39,44,0)</f>
        <v>#N/A</v>
      </c>
      <c r="AC27" s="36" t="e">
        <f>VLOOKUP($A27,[16]HISTOJANV22!$A$6:$AU$39,47,0)</f>
        <v>#N/A</v>
      </c>
      <c r="AD27" s="36" t="e">
        <f>VLOOKUP(A27,[16]HISTOJANV22!$A$6:$BB$36,54,0)</f>
        <v>#N/A</v>
      </c>
      <c r="AE27" s="2"/>
      <c r="AF27" s="2"/>
    </row>
    <row r="28" spans="1:32" x14ac:dyDescent="0.35">
      <c r="A28" s="1" t="s">
        <v>45</v>
      </c>
      <c r="B28" s="1" t="str">
        <f>VLOOKUP(A28,[15]LISTADHERENT!$A$5:$J$50,3,0)</f>
        <v>PATEGO NJOSSU GUSTAVE</v>
      </c>
      <c r="C28" s="5" t="e">
        <f>#REF!</f>
        <v>#REF!</v>
      </c>
      <c r="D28" s="5" t="e">
        <f>#REF!</f>
        <v>#REF!</v>
      </c>
      <c r="E28" s="36"/>
      <c r="F28" s="5" t="e">
        <f t="shared" si="1"/>
        <v>#REF!</v>
      </c>
      <c r="G28" s="6" t="e">
        <f t="shared" si="0"/>
        <v>#REF!</v>
      </c>
      <c r="H28" s="6" t="e">
        <f t="shared" si="2"/>
        <v>#REF!</v>
      </c>
      <c r="I28" s="36">
        <f>VLOOKUP($A28,[16]HISTOJANV22!$A$6:$AQ$37,22,0)</f>
        <v>0</v>
      </c>
      <c r="J28" s="36">
        <f>VLOOKUP($A28,[16]HISTOJANV22!$A$6:$AU$39,45,0)</f>
        <v>7000</v>
      </c>
      <c r="K28" s="36">
        <f t="shared" si="3"/>
        <v>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 t="e">
        <f>VLOOKUP($A28,[16]HISTODEC21!$A$6:$AU$39,26,0)</f>
        <v>#REF!</v>
      </c>
      <c r="S28" s="36" t="e">
        <f t="shared" si="7"/>
        <v>#REF!</v>
      </c>
      <c r="T28" s="36">
        <f>VLOOKUP($A28,[16]HISTOJANV22!$A$6:$AU$39,28,0)</f>
        <v>0</v>
      </c>
      <c r="U28" s="36">
        <f>VLOOKUP($A28,[16]HISTOJANV22!$A$6:$AU$39,19,0)</f>
        <v>0</v>
      </c>
      <c r="V28" s="36">
        <f>VLOOKUP($A28,[16]HISTOJANV22!$A$6:$AU$39,20,0)</f>
        <v>0</v>
      </c>
      <c r="W28" s="36">
        <f>VLOOKUP($A28,[16]HISTOJANV22!$A$6:$AU$39,27,0)</f>
        <v>0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35">
      <c r="A29" s="1" t="s">
        <v>312</v>
      </c>
      <c r="B29" s="1" t="str">
        <f>VLOOKUP(A29,[15]LISTADHERENT!$A$5:$J$50,3,0)</f>
        <v>SEUMO POLYCARPE</v>
      </c>
      <c r="C29" s="5" t="e">
        <f>#REF!</f>
        <v>#REF!</v>
      </c>
      <c r="D29" s="5" t="e">
        <f>#REF!</f>
        <v>#REF!</v>
      </c>
      <c r="E29" s="36"/>
      <c r="F29" s="5" t="e">
        <f t="shared" si="1"/>
        <v>#REF!</v>
      </c>
      <c r="G29" s="6" t="e">
        <f t="shared" si="0"/>
        <v>#REF!</v>
      </c>
      <c r="H29" s="6" t="e">
        <f t="shared" si="2"/>
        <v>#REF!</v>
      </c>
      <c r="I29" s="36" t="e">
        <f>VLOOKUP($A29,[16]HISTOJANV22!$A$6:$AQ$37,22,0)</f>
        <v>#N/A</v>
      </c>
      <c r="J29" s="36" t="e">
        <f>VLOOKUP($A29,[16]HISTOJANV22!$A$6:$AU$39,45,0)</f>
        <v>#N/A</v>
      </c>
      <c r="K29" s="36" t="e">
        <f t="shared" si="3"/>
        <v>#N/A</v>
      </c>
      <c r="L29" s="36" t="e">
        <f t="shared" si="4"/>
        <v>#N/A</v>
      </c>
      <c r="M29" s="36" t="e">
        <f t="shared" si="5"/>
        <v>#N/A</v>
      </c>
      <c r="N29" s="36" t="e">
        <f t="shared" si="6"/>
        <v>#N/A</v>
      </c>
      <c r="O29" s="36" t="e">
        <f>VLOOKUP($A29,[16]HISTOJANV22!$A$6:$AU$39,7,0)</f>
        <v>#N/A</v>
      </c>
      <c r="P29" s="36" t="e">
        <f>VLOOKUP($A29,[16]HISTOJANV22!$A$6:$AU$39,23,0)</f>
        <v>#N/A</v>
      </c>
      <c r="Q29" s="36" t="e">
        <f>VLOOKUP($A29,[16]HISTOJANV22!$A$6:$AU$39,46,0)</f>
        <v>#N/A</v>
      </c>
      <c r="R29" s="36" t="e">
        <f>VLOOKUP($A29,[16]HISTODEC21!$A$6:$AU$39,26,0)</f>
        <v>#N/A</v>
      </c>
      <c r="S29" s="36" t="e">
        <f t="shared" si="7"/>
        <v>#N/A</v>
      </c>
      <c r="T29" s="36" t="e">
        <f>VLOOKUP($A29,[16]HISTOJANV22!$A$6:$AU$39,28,0)</f>
        <v>#N/A</v>
      </c>
      <c r="U29" s="36" t="e">
        <f>VLOOKUP($A29,[16]HISTOJANV22!$A$6:$AU$39,19,0)</f>
        <v>#N/A</v>
      </c>
      <c r="V29" s="36" t="e">
        <f>VLOOKUP($A29,[16]HISTOJANV22!$A$6:$AU$39,20,0)</f>
        <v>#N/A</v>
      </c>
      <c r="W29" s="36" t="e">
        <f>VLOOKUP($A29,[16]HISTOJANV22!$A$6:$AU$39,27,0)</f>
        <v>#N/A</v>
      </c>
      <c r="X29" s="36" t="e">
        <f>VLOOKUP($A29,[16]HISTOJANV22!$A$6:$AU$39,33,0)</f>
        <v>#N/A</v>
      </c>
      <c r="Y29" s="36"/>
      <c r="Z29" s="36"/>
      <c r="AA29" s="36" t="e">
        <f>VLOOKUP($A29,[16]HISTOJANV22!$A$6:$AU$39,43,0)</f>
        <v>#N/A</v>
      </c>
      <c r="AB29" s="36" t="e">
        <f>VLOOKUP($A29,[16]HISTOJANV22!$A$6:$AU$39,44,0)</f>
        <v>#N/A</v>
      </c>
      <c r="AC29" s="36" t="e">
        <f>VLOOKUP($A29,[16]HISTOJANV22!$A$6:$AU$39,47,0)</f>
        <v>#N/A</v>
      </c>
      <c r="AD29" s="36" t="e">
        <f>VLOOKUP(A29,[16]HISTOJANV22!$A$6:$BB$36,54,0)</f>
        <v>#N/A</v>
      </c>
      <c r="AE29" s="2"/>
      <c r="AF29" s="2"/>
    </row>
    <row r="30" spans="1:32" x14ac:dyDescent="0.35">
      <c r="A30" s="1" t="s">
        <v>81</v>
      </c>
      <c r="B30" s="1" t="str">
        <f>VLOOKUP(A30,[15]LISTADHERENT!$A$5:$J$50,3,0)</f>
        <v>SIME BRICE</v>
      </c>
      <c r="C30" s="5" t="e">
        <f>#REF!</f>
        <v>#REF!</v>
      </c>
      <c r="D30" s="5" t="e">
        <f>#REF!</f>
        <v>#REF!</v>
      </c>
      <c r="E30" s="36"/>
      <c r="F30" s="5" t="e">
        <f t="shared" si="1"/>
        <v>#REF!</v>
      </c>
      <c r="G30" s="6" t="e">
        <f t="shared" si="0"/>
        <v>#REF!</v>
      </c>
      <c r="H30" s="6" t="e">
        <f t="shared" si="2"/>
        <v>#REF!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 t="e">
        <f>VLOOKUP($A30,[16]HISTODEC21!$A$6:$AU$39,26,0)</f>
        <v>#REF!</v>
      </c>
      <c r="S30" s="36" t="e">
        <f t="shared" si="7"/>
        <v>#REF!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35">
      <c r="A31" s="1" t="s">
        <v>49</v>
      </c>
      <c r="B31" s="1" t="str">
        <f>VLOOKUP(A31,[15]LISTADHERENT!$A$5:$J$50,3,0)</f>
        <v>SIMO PIERRE</v>
      </c>
      <c r="C31" s="5" t="e">
        <f>#REF!</f>
        <v>#REF!</v>
      </c>
      <c r="D31" s="5" t="e">
        <f>#REF!</f>
        <v>#REF!</v>
      </c>
      <c r="E31" s="36"/>
      <c r="F31" s="5" t="e">
        <f t="shared" si="1"/>
        <v>#REF!</v>
      </c>
      <c r="G31" s="6" t="e">
        <f t="shared" si="0"/>
        <v>#REF!</v>
      </c>
      <c r="H31" s="6" t="e">
        <f t="shared" si="2"/>
        <v>#REF!</v>
      </c>
      <c r="I31" s="36">
        <f>VLOOKUP($A31,[16]HISTOJANV22!$A$6:$AQ$37,22,0)</f>
        <v>0</v>
      </c>
      <c r="J31" s="36">
        <f>VLOOKUP($A31,[16]HISTOJANV22!$A$6:$AU$39,45,0)</f>
        <v>22000</v>
      </c>
      <c r="K31" s="36">
        <f t="shared" si="3"/>
        <v>18000</v>
      </c>
      <c r="L31" s="36">
        <f t="shared" si="4"/>
        <v>500</v>
      </c>
      <c r="M31" s="36">
        <f t="shared" si="5"/>
        <v>1000</v>
      </c>
      <c r="N31" s="36">
        <f t="shared" si="6"/>
        <v>2500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 t="e">
        <f>VLOOKUP($A31,[16]HISTODEC21!$A$6:$AU$39,26,0)</f>
        <v>#REF!</v>
      </c>
      <c r="S31" s="36" t="e">
        <f t="shared" si="7"/>
        <v>#REF!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70000</v>
      </c>
      <c r="AE31" s="2"/>
      <c r="AF31" s="2"/>
    </row>
    <row r="32" spans="1:32" x14ac:dyDescent="0.35">
      <c r="A32" s="1" t="s">
        <v>51</v>
      </c>
      <c r="B32" s="1" t="str">
        <f>VLOOKUP(A32,[15]LISTADHERENT!$A$5:$J$50,3,0)</f>
        <v>TCHOUAMOU MATHIEU</v>
      </c>
      <c r="C32" s="5" t="e">
        <f>#REF!</f>
        <v>#REF!</v>
      </c>
      <c r="D32" s="5" t="e">
        <f>#REF!</f>
        <v>#REF!</v>
      </c>
      <c r="E32" s="36"/>
      <c r="F32" s="5" t="e">
        <f t="shared" si="1"/>
        <v>#REF!</v>
      </c>
      <c r="G32" s="6" t="e">
        <f t="shared" si="0"/>
        <v>#REF!</v>
      </c>
      <c r="H32" s="6" t="e">
        <f t="shared" si="2"/>
        <v>#REF!</v>
      </c>
      <c r="I32" s="36">
        <f>VLOOKUP($A32,[16]HISTOJANV22!$A$6:$AQ$37,22,0)</f>
        <v>0</v>
      </c>
      <c r="J32" s="36">
        <f>VLOOKUP($A32,[16]HISTOJANV22!$A$6:$AU$39,45,0)</f>
        <v>7000</v>
      </c>
      <c r="K32" s="36">
        <f t="shared" si="3"/>
        <v>3000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560000</v>
      </c>
      <c r="S32" s="36">
        <f t="shared" si="7"/>
        <v>67200</v>
      </c>
      <c r="T32" s="36" t="str">
        <f>VLOOKUP($A32,[16]HISTOJANV22!$A$6:$AU$39,28,0)</f>
        <v>OKK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0</v>
      </c>
      <c r="AE32" s="2"/>
      <c r="AF32" s="2"/>
    </row>
    <row r="33" spans="1:32" x14ac:dyDescent="0.35">
      <c r="A33" s="1" t="s">
        <v>53</v>
      </c>
      <c r="B33" s="1" t="str">
        <f>VLOOKUP(A33,[15]LISTADHERENT!$A$5:$J$50,3,0)</f>
        <v>TCHOUTOU NANA CLAUDE</v>
      </c>
      <c r="C33" s="5" t="e">
        <f>#REF!</f>
        <v>#REF!</v>
      </c>
      <c r="D33" s="5" t="e">
        <f>#REF!</f>
        <v>#REF!</v>
      </c>
      <c r="E33" s="36"/>
      <c r="F33" s="5" t="e">
        <f t="shared" si="1"/>
        <v>#REF!</v>
      </c>
      <c r="G33" s="6" t="e">
        <f t="shared" si="0"/>
        <v>#REF!</v>
      </c>
      <c r="H33" s="6" t="e">
        <f t="shared" si="2"/>
        <v>#REF!</v>
      </c>
      <c r="I33" s="36" t="e">
        <f>VLOOKUP($A33,[16]HISTOJANV22!$A$6:$AQ$37,22,0)</f>
        <v>#N/A</v>
      </c>
      <c r="J33" s="36" t="e">
        <f>VLOOKUP($A33,[16]HISTOJANV22!$A$6:$AU$39,45,0)</f>
        <v>#N/A</v>
      </c>
      <c r="K33" s="36" t="e">
        <f t="shared" si="3"/>
        <v>#N/A</v>
      </c>
      <c r="L33" s="36" t="e">
        <f t="shared" si="4"/>
        <v>#N/A</v>
      </c>
      <c r="M33" s="36" t="e">
        <f t="shared" si="5"/>
        <v>#N/A</v>
      </c>
      <c r="N33" s="36" t="e">
        <f t="shared" si="6"/>
        <v>#N/A</v>
      </c>
      <c r="O33" s="36" t="e">
        <f>VLOOKUP($A33,[16]HISTOJANV22!$A$6:$AU$39,7,0)</f>
        <v>#N/A</v>
      </c>
      <c r="P33" s="36" t="e">
        <f>VLOOKUP($A33,[16]HISTOJANV22!$A$6:$AU$39,23,0)</f>
        <v>#N/A</v>
      </c>
      <c r="Q33" s="36" t="e">
        <f>VLOOKUP($A33,[16]HISTOJANV22!$A$6:$AU$39,46,0)</f>
        <v>#N/A</v>
      </c>
      <c r="R33" s="36" t="e">
        <f>VLOOKUP($A33,[16]HISTODEC21!$A$6:$AU$39,26,0)</f>
        <v>#N/A</v>
      </c>
      <c r="S33" s="36" t="e">
        <f t="shared" si="7"/>
        <v>#N/A</v>
      </c>
      <c r="T33" s="36" t="e">
        <f>VLOOKUP($A33,[16]HISTOJANV22!$A$6:$AU$39,28,0)</f>
        <v>#N/A</v>
      </c>
      <c r="U33" s="36" t="e">
        <f>VLOOKUP($A33,[16]HISTOJANV22!$A$6:$AU$39,19,0)</f>
        <v>#N/A</v>
      </c>
      <c r="V33" s="36" t="e">
        <f>VLOOKUP($A33,[16]HISTOJANV22!$A$6:$AU$39,20,0)</f>
        <v>#N/A</v>
      </c>
      <c r="W33" s="36" t="e">
        <f>VLOOKUP($A33,[16]HISTOJANV22!$A$6:$AU$39,27,0)</f>
        <v>#N/A</v>
      </c>
      <c r="X33" s="36" t="e">
        <f>VLOOKUP($A33,[16]HISTOJANV22!$A$6:$AU$39,33,0)</f>
        <v>#N/A</v>
      </c>
      <c r="Y33" s="36"/>
      <c r="Z33" s="36"/>
      <c r="AA33" s="36" t="e">
        <f>VLOOKUP($A33,[16]HISTOJANV22!$A$6:$AU$39,43,0)</f>
        <v>#N/A</v>
      </c>
      <c r="AB33" s="36" t="e">
        <f>VLOOKUP($A33,[16]HISTOJANV22!$A$6:$AU$39,44,0)</f>
        <v>#N/A</v>
      </c>
      <c r="AC33" s="36" t="e">
        <f>VLOOKUP($A33,[16]HISTOJANV22!$A$6:$AU$39,47,0)</f>
        <v>#N/A</v>
      </c>
      <c r="AD33" s="36" t="e">
        <f>VLOOKUP(A33,[16]HISTOJANV22!$A$6:$BB$36,54,0)</f>
        <v>#N/A</v>
      </c>
      <c r="AE33" s="2"/>
      <c r="AF33" s="2"/>
    </row>
    <row r="34" spans="1:32" x14ac:dyDescent="0.35">
      <c r="A34" s="1" t="s">
        <v>313</v>
      </c>
      <c r="B34" s="1" t="str">
        <f>VLOOKUP(A34,[15]LISTADHERENT!$A$5:$J$50,3,0)</f>
        <v>YANTCHOU GERVAIS</v>
      </c>
      <c r="C34" s="5" t="e">
        <f>#REF!</f>
        <v>#REF!</v>
      </c>
      <c r="D34" s="5" t="e">
        <f>#REF!</f>
        <v>#REF!</v>
      </c>
      <c r="E34" s="36"/>
      <c r="F34" s="5" t="e">
        <f t="shared" si="1"/>
        <v>#REF!</v>
      </c>
      <c r="G34" s="6" t="e">
        <f t="shared" si="0"/>
        <v>#REF!</v>
      </c>
      <c r="H34" s="6" t="e">
        <f t="shared" si="2"/>
        <v>#REF!</v>
      </c>
      <c r="I34" s="36" t="e">
        <f>VLOOKUP($A34,[16]HISTOJANV22!$A$6:$AQ$37,22,0)</f>
        <v>#N/A</v>
      </c>
      <c r="J34" s="36" t="e">
        <f>VLOOKUP($A34,[16]HISTOJANV22!$A$6:$AU$39,45,0)</f>
        <v>#N/A</v>
      </c>
      <c r="K34" s="36" t="e">
        <f t="shared" si="3"/>
        <v>#N/A</v>
      </c>
      <c r="L34" s="36" t="e">
        <f t="shared" si="4"/>
        <v>#N/A</v>
      </c>
      <c r="M34" s="36" t="e">
        <f t="shared" si="5"/>
        <v>#N/A</v>
      </c>
      <c r="N34" s="36" t="e">
        <f t="shared" si="6"/>
        <v>#N/A</v>
      </c>
      <c r="O34" s="36" t="e">
        <f>VLOOKUP($A34,[16]HISTOJANV22!$A$6:$AU$39,7,0)</f>
        <v>#N/A</v>
      </c>
      <c r="P34" s="36" t="e">
        <f>VLOOKUP($A34,[16]HISTOJANV22!$A$6:$AU$39,23,0)</f>
        <v>#N/A</v>
      </c>
      <c r="Q34" s="36" t="e">
        <f>VLOOKUP($A34,[16]HISTOJANV22!$A$6:$AU$39,46,0)</f>
        <v>#N/A</v>
      </c>
      <c r="R34" s="36" t="e">
        <f>VLOOKUP($A34,[16]HISTODEC21!$A$6:$AU$39,26,0)</f>
        <v>#N/A</v>
      </c>
      <c r="S34" s="36" t="e">
        <f t="shared" si="7"/>
        <v>#N/A</v>
      </c>
      <c r="T34" s="36" t="e">
        <f>VLOOKUP($A34,[16]HISTOJANV22!$A$6:$AU$39,28,0)</f>
        <v>#N/A</v>
      </c>
      <c r="U34" s="36" t="e">
        <f>VLOOKUP($A34,[16]HISTOJANV22!$A$6:$AU$39,19,0)</f>
        <v>#N/A</v>
      </c>
      <c r="V34" s="36" t="e">
        <f>VLOOKUP($A34,[16]HISTOJANV22!$A$6:$AU$39,20,0)</f>
        <v>#N/A</v>
      </c>
      <c r="W34" s="36" t="e">
        <f>VLOOKUP($A34,[16]HISTOJANV22!$A$6:$AU$39,27,0)</f>
        <v>#N/A</v>
      </c>
      <c r="X34" s="36" t="e">
        <f>VLOOKUP($A34,[16]HISTOJANV22!$A$6:$AU$39,33,0)</f>
        <v>#N/A</v>
      </c>
      <c r="Y34" s="36"/>
      <c r="Z34" s="36"/>
      <c r="AA34" s="36" t="e">
        <f>VLOOKUP($A34,[16]HISTOJANV22!$A$6:$AU$39,43,0)</f>
        <v>#N/A</v>
      </c>
      <c r="AB34" s="36" t="e">
        <f>VLOOKUP($A34,[16]HISTOJANV22!$A$6:$AU$39,44,0)</f>
        <v>#N/A</v>
      </c>
      <c r="AC34" s="36" t="e">
        <f>VLOOKUP($A34,[16]HISTOJANV22!$A$6:$AU$39,47,0)</f>
        <v>#N/A</v>
      </c>
      <c r="AD34" s="36" t="e">
        <f>VLOOKUP(A34,[16]HISTOJANV22!$A$6:$BB$36,54,0)</f>
        <v>#N/A</v>
      </c>
      <c r="AE34" s="2"/>
      <c r="AF34" s="2"/>
    </row>
    <row r="35" spans="1:32" x14ac:dyDescent="0.35">
      <c r="A35" s="1" t="s">
        <v>55</v>
      </c>
      <c r="B35" s="1" t="str">
        <f>VLOOKUP(A35,[15]LISTADHERENT!$A$5:$J$50,3,0)</f>
        <v>YEPMOU JEAN JACQUES</v>
      </c>
      <c r="C35" s="5" t="e">
        <f>#REF!</f>
        <v>#REF!</v>
      </c>
      <c r="D35" s="5" t="e">
        <f>#REF!</f>
        <v>#REF!</v>
      </c>
      <c r="E35" s="36"/>
      <c r="F35" s="5" t="e">
        <f t="shared" si="1"/>
        <v>#REF!</v>
      </c>
      <c r="G35" s="6" t="e">
        <f t="shared" si="0"/>
        <v>#REF!</v>
      </c>
      <c r="H35" s="6" t="e">
        <f t="shared" si="2"/>
        <v>#REF!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35">
      <c r="A36" s="1" t="s">
        <v>56</v>
      </c>
      <c r="B36" s="1" t="str">
        <f>VLOOKUP(A36,[15]LISTADHERENT!$A$5:$J$50,3,0)</f>
        <v>YOUMBI EMMANUEL</v>
      </c>
      <c r="C36" s="5" t="e">
        <f>#REF!</f>
        <v>#REF!</v>
      </c>
      <c r="D36" s="5" t="e">
        <f>#REF!</f>
        <v>#REF!</v>
      </c>
      <c r="E36" s="36"/>
      <c r="F36" s="5" t="e">
        <f t="shared" si="1"/>
        <v>#REF!</v>
      </c>
      <c r="G36" s="6" t="e">
        <f t="shared" si="0"/>
        <v>#REF!</v>
      </c>
      <c r="H36" s="6" t="e">
        <f t="shared" si="2"/>
        <v>#REF!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 t="e">
        <f>VLOOKUP($A36,[16]HISTODEC21!$A$6:$AU$39,26,0)</f>
        <v>#REF!</v>
      </c>
      <c r="S36" s="36" t="e">
        <f t="shared" si="7"/>
        <v>#REF!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35">
      <c r="A37" s="15"/>
      <c r="B37" s="1"/>
      <c r="C37" s="5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3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35">
      <c r="A39" s="1"/>
      <c r="B39" s="1"/>
      <c r="C39" s="1"/>
      <c r="D39" s="1"/>
      <c r="E39" s="1"/>
      <c r="F39" s="1"/>
      <c r="G39" s="1"/>
      <c r="H39" s="1"/>
    </row>
    <row r="40" spans="1:32" ht="17.5" x14ac:dyDescent="0.35">
      <c r="A40" s="1" t="s">
        <v>57</v>
      </c>
      <c r="B40" s="1"/>
      <c r="C40" s="9" t="e">
        <f t="shared" ref="C40:AE40" si="8">SUM(C6:C39)</f>
        <v>#REF!</v>
      </c>
      <c r="D40" s="9" t="e">
        <f t="shared" si="8"/>
        <v>#REF!</v>
      </c>
      <c r="E40" s="9">
        <f t="shared" si="8"/>
        <v>0</v>
      </c>
      <c r="F40" s="9" t="e">
        <f t="shared" si="8"/>
        <v>#REF!</v>
      </c>
      <c r="G40" s="9" t="e">
        <f t="shared" si="8"/>
        <v>#REF!</v>
      </c>
      <c r="H40" s="9" t="e">
        <f t="shared" si="8"/>
        <v>#REF!</v>
      </c>
      <c r="I40" s="9" t="e">
        <f t="shared" si="8"/>
        <v>#N/A</v>
      </c>
      <c r="J40" s="9" t="e">
        <f t="shared" si="8"/>
        <v>#N/A</v>
      </c>
      <c r="K40" s="9" t="e">
        <f t="shared" si="8"/>
        <v>#N/A</v>
      </c>
      <c r="L40" s="9" t="e">
        <f t="shared" si="8"/>
        <v>#N/A</v>
      </c>
      <c r="M40" s="9" t="e">
        <f t="shared" si="8"/>
        <v>#N/A</v>
      </c>
      <c r="N40" s="9" t="e">
        <f t="shared" si="8"/>
        <v>#N/A</v>
      </c>
      <c r="O40" s="9" t="e">
        <f t="shared" si="8"/>
        <v>#N/A</v>
      </c>
      <c r="P40" s="9" t="e">
        <f t="shared" si="8"/>
        <v>#N/A</v>
      </c>
      <c r="Q40" s="9" t="e">
        <f t="shared" si="8"/>
        <v>#N/A</v>
      </c>
      <c r="R40" s="9" t="e">
        <f t="shared" si="8"/>
        <v>#REF!</v>
      </c>
      <c r="S40" s="9" t="e">
        <f t="shared" si="8"/>
        <v>#REF!</v>
      </c>
      <c r="T40" s="9" t="e">
        <f t="shared" si="8"/>
        <v>#N/A</v>
      </c>
      <c r="U40" s="9" t="e">
        <f t="shared" si="8"/>
        <v>#N/A</v>
      </c>
      <c r="V40" s="9" t="e">
        <f t="shared" si="8"/>
        <v>#N/A</v>
      </c>
      <c r="W40" s="9" t="e">
        <f t="shared" si="8"/>
        <v>#N/A</v>
      </c>
      <c r="X40" s="9" t="e">
        <f t="shared" si="8"/>
        <v>#N/A</v>
      </c>
      <c r="Y40" s="9">
        <f t="shared" si="8"/>
        <v>548000</v>
      </c>
      <c r="Z40" s="9">
        <f t="shared" si="8"/>
        <v>0</v>
      </c>
      <c r="AA40" s="9" t="e">
        <f t="shared" si="8"/>
        <v>#N/A</v>
      </c>
      <c r="AB40" s="9" t="e">
        <f t="shared" si="8"/>
        <v>#N/A</v>
      </c>
      <c r="AC40" s="9" t="e">
        <f t="shared" si="8"/>
        <v>#N/A</v>
      </c>
      <c r="AD40" s="9" t="e">
        <f t="shared" si="8"/>
        <v>#N/A</v>
      </c>
      <c r="AE40" s="9">
        <f t="shared" si="8"/>
        <v>0</v>
      </c>
    </row>
  </sheetData>
  <autoFilter ref="A5:U36" xr:uid="{00000000-0009-0000-0000-000003000000}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 xr:uid="{00000000-0002-0000-03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43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E13" sqref="E13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6" width="18.26953125" customWidth="1"/>
    <col min="7" max="7" width="18.453125" customWidth="1"/>
    <col min="8" max="8" width="16.81640625" bestFit="1" customWidth="1"/>
    <col min="9" max="9" width="15" bestFit="1" customWidth="1"/>
    <col min="10" max="10" width="17.54296875" style="138" bestFit="1" customWidth="1"/>
    <col min="11" max="11" width="17.54296875" style="138" customWidth="1"/>
    <col min="12" max="12" width="15.7265625" style="2" customWidth="1"/>
    <col min="13" max="15" width="12.453125" style="2" customWidth="1"/>
    <col min="16" max="16" width="16.81640625" style="2" bestFit="1" customWidth="1"/>
    <col min="17" max="17" width="16.81640625" style="2" customWidth="1"/>
    <col min="18" max="18" width="16.81640625" bestFit="1" customWidth="1"/>
    <col min="19" max="19" width="15" customWidth="1"/>
    <col min="20" max="21" width="18.1796875" customWidth="1"/>
    <col min="30" max="30" width="12.453125" bestFit="1" customWidth="1"/>
    <col min="35" max="35" width="12.453125" bestFit="1" customWidth="1"/>
    <col min="36" max="36" width="17.54296875" customWidth="1"/>
  </cols>
  <sheetData>
    <row r="1" spans="1:36" x14ac:dyDescent="0.3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3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" x14ac:dyDescent="0.6">
      <c r="B4" s="16"/>
      <c r="C4" s="16"/>
      <c r="D4" s="16"/>
      <c r="E4" s="16"/>
      <c r="F4" s="16"/>
      <c r="G4" s="16"/>
      <c r="H4" s="16"/>
      <c r="I4" s="137"/>
      <c r="J4" s="189">
        <v>44912</v>
      </c>
      <c r="K4" s="189"/>
      <c r="L4" s="189"/>
      <c r="M4" s="189"/>
      <c r="N4" s="189"/>
      <c r="O4" s="189"/>
      <c r="P4"/>
      <c r="Q4"/>
      <c r="AJ4" s="104"/>
    </row>
    <row r="5" spans="1:36" ht="70.5" x14ac:dyDescent="0.3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3" t="s">
        <v>216</v>
      </c>
      <c r="AD5" s="4" t="s">
        <v>254</v>
      </c>
      <c r="AE5" s="83" t="s">
        <v>10</v>
      </c>
      <c r="AF5" s="83" t="s">
        <v>11</v>
      </c>
      <c r="AG5" s="83" t="s">
        <v>303</v>
      </c>
      <c r="AH5" s="83" t="s">
        <v>269</v>
      </c>
      <c r="AI5" s="4" t="s">
        <v>65</v>
      </c>
      <c r="AJ5" s="83" t="s">
        <v>274</v>
      </c>
    </row>
    <row r="6" spans="1:36" x14ac:dyDescent="0.35">
      <c r="A6" s="1" t="s">
        <v>16</v>
      </c>
      <c r="B6" s="1" t="str">
        <f>VLOOKUP(A6,[15]LISTADHERENT!$A$5:$J$45,3,0)</f>
        <v>ASELBY</v>
      </c>
      <c r="C6" s="5">
        <v>0</v>
      </c>
      <c r="D6" s="43">
        <f>VLOOKUP(A6,'[17]EPARGNE 2023'!$A$5:$BF$47,4,0)</f>
        <v>816543.52134848095</v>
      </c>
      <c r="E6" s="36"/>
      <c r="F6" s="5">
        <f>C6+D6-E6</f>
        <v>816543.52134848095</v>
      </c>
      <c r="G6" s="6">
        <v>51868.550111954391</v>
      </c>
      <c r="H6" s="6">
        <f>+F6+G6</f>
        <v>868412.0714604354</v>
      </c>
      <c r="I6" s="36"/>
      <c r="J6" s="36"/>
      <c r="K6" s="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35">
      <c r="A7" s="1" t="s">
        <v>17</v>
      </c>
      <c r="B7" s="1" t="str">
        <f>VLOOKUP(A7,[15]LISTADHERENT!$A$5:$J$45,3,0)</f>
        <v>BAKOP ACHILLE</v>
      </c>
      <c r="C7" s="5">
        <v>0</v>
      </c>
      <c r="D7" s="43">
        <f>VLOOKUP(A7,'[17]EPARGNE 2023'!$A$5:$BF$47,4,0)</f>
        <v>0</v>
      </c>
      <c r="E7" s="36"/>
      <c r="F7" s="5">
        <f t="shared" ref="F7:F37" si="0">C7+D7-E7</f>
        <v>0</v>
      </c>
      <c r="G7" s="6">
        <v>0</v>
      </c>
      <c r="H7" s="6">
        <f t="shared" ref="H7:H37" si="1">+F7+G7</f>
        <v>0</v>
      </c>
      <c r="I7" s="36"/>
      <c r="J7" s="36"/>
      <c r="K7" s="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spans="1:36" x14ac:dyDescent="0.35">
      <c r="A8" s="1" t="s">
        <v>19</v>
      </c>
      <c r="B8" s="1" t="str">
        <f>VLOOKUP(A8,[15]LISTADHERENT!$A$5:$J$45,3,0)</f>
        <v>BOUTCHOUANG WILLIAM</v>
      </c>
      <c r="C8" s="5">
        <v>600000</v>
      </c>
      <c r="D8" s="43">
        <f>VLOOKUP(A8,'[17]EPARGNE 2023'!$A$5:$BF$47,4,0)</f>
        <v>7023.6611389458412</v>
      </c>
      <c r="E8" s="36"/>
      <c r="F8" s="5">
        <f t="shared" si="0"/>
        <v>607023.66113894584</v>
      </c>
      <c r="G8" s="6">
        <v>38559.410936150474</v>
      </c>
      <c r="H8" s="6">
        <f t="shared" si="1"/>
        <v>645583.07207509631</v>
      </c>
      <c r="I8" s="36">
        <f>VLOOKUP($A8,[16]HISTODEC22!$A$6:$AQ$37,22,0)</f>
        <v>0</v>
      </c>
      <c r="J8" s="36">
        <f>VLOOKUP($A8,[16]HISTODEC22!$A$6:$AU$39,45,0)</f>
        <v>7000</v>
      </c>
      <c r="K8" s="6"/>
      <c r="L8" s="36">
        <f t="shared" ref="L8:L32" si="2">IF(J8=0,0,500)</f>
        <v>500</v>
      </c>
      <c r="M8" s="36">
        <f t="shared" ref="M8:M32" si="3">IF(J8=0,0,1000)</f>
        <v>1000</v>
      </c>
      <c r="N8" s="36">
        <f t="shared" ref="N8:N32" si="4">IF(J8=0,0,2500)</f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VLOOKUP($A8,[18]HISTODEC22!$A$6:$AU$39,26,0)</f>
        <v>500000</v>
      </c>
      <c r="S8" s="36">
        <f>VLOOKUP($A8,[18]HISTODEC22!$A$6:$BG$39,58,0)</f>
        <v>10000</v>
      </c>
      <c r="T8" s="36">
        <f>VLOOKUP($A8,[16]HISTODEC22!$A$6:$AU$39,28,0)</f>
        <v>0</v>
      </c>
      <c r="U8" s="36">
        <f>VLOOKUP($A8,[16]HISTODEC22!$A$6:$AU$39,19,0)</f>
        <v>0</v>
      </c>
      <c r="V8" s="36">
        <f>VLOOKUP($A8,[16]HISTODEC22!$A$6:$AU$39,20,0)</f>
        <v>0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35">
      <c r="A9" s="1" t="s">
        <v>23</v>
      </c>
      <c r="B9" s="1" t="str">
        <f>VLOOKUP(A9,[15]LISTADHERENT!$A$5:$J$45,3,0)</f>
        <v xml:space="preserve">DJOMO JEAN PAUL </v>
      </c>
      <c r="C9" s="5">
        <v>600000</v>
      </c>
      <c r="D9" s="43">
        <f>VLOOKUP(A9,'[17]EPARGNE 2023'!$A$5:$BF$47,4,0)</f>
        <v>4809.8069585817866</v>
      </c>
      <c r="E9" s="36"/>
      <c r="F9" s="5">
        <f t="shared" si="0"/>
        <v>604809.80695858179</v>
      </c>
      <c r="G9" s="6">
        <v>38418.782294207253</v>
      </c>
      <c r="H9" s="6">
        <f t="shared" si="1"/>
        <v>643228.58925278904</v>
      </c>
      <c r="I9" s="36">
        <f>VLOOKUP($A9,[16]HISTODEC22!$A$6:$AQ$37,22,0)</f>
        <v>0</v>
      </c>
      <c r="J9" s="36">
        <f>VLOOKUP($A9,[16]HISTODEC22!$A$6:$AU$39,45,0)</f>
        <v>7000</v>
      </c>
      <c r="K9" s="6"/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VLOOKUP($A9,[18]HISTODEC22!$A$6:$AU$39,26,0)</f>
        <v>1000000</v>
      </c>
      <c r="S9" s="36">
        <f>VLOOKUP($A9,[18]HISTODEC22!$A$6:$BG$39,58,0)</f>
        <v>120000</v>
      </c>
      <c r="T9" s="36">
        <f>VLOOKUP($A9,[16]HISTODEC22!$A$6:$AU$39,28,0)</f>
        <v>0</v>
      </c>
      <c r="U9" s="36">
        <f>VLOOKUP($A9,[16]HISTODEC22!$A$6:$AU$39,19,0)</f>
        <v>1000000</v>
      </c>
      <c r="V9" s="36" t="str">
        <f>VLOOKUP($A9,[16]HISTODEC22!$A$6:$AU$39,20,0)</f>
        <v>BANQUE</v>
      </c>
      <c r="W9" s="36" t="str">
        <f>VLOOKUP($A9,[16]HISTODEC22!$A$6:$AU$39,27,0)</f>
        <v>BANQUE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35">
      <c r="A10" s="1" t="s">
        <v>154</v>
      </c>
      <c r="B10" s="1" t="str">
        <f>VLOOKUP(A10,[15]LISTADHERENT!$A$5:$J$45,3,0)</f>
        <v>DJOMOU TCHAPDA</v>
      </c>
      <c r="C10" s="5">
        <v>600000</v>
      </c>
      <c r="D10" s="43">
        <f>VLOOKUP(A10,'[17]EPARGNE 2023'!$A$5:$BF$47,4,0)</f>
        <v>48710.412466726033</v>
      </c>
      <c r="E10" s="36"/>
      <c r="F10" s="5">
        <f t="shared" si="0"/>
        <v>648710.41246672603</v>
      </c>
      <c r="G10" s="6">
        <v>41207.440457808705</v>
      </c>
      <c r="H10" s="6">
        <f t="shared" si="1"/>
        <v>689917.8529245347</v>
      </c>
      <c r="I10" s="36">
        <f>VLOOKUP($A10,[16]HISTODEC22!$A$6:$AQ$37,22,0)</f>
        <v>0</v>
      </c>
      <c r="J10" s="36">
        <f>VLOOKUP($A10,[16]HISTODEC22!$A$6:$AU$39,45,0)</f>
        <v>7000</v>
      </c>
      <c r="K10" s="6"/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VLOOKUP($A10,[18]HISTODEC22!$A$6:$AU$39,26,0)</f>
        <v>0</v>
      </c>
      <c r="S10" s="36">
        <f>VLOOKUP($A10,[18]HISTODEC22!$A$6:$BG$39,58,0)</f>
        <v>0</v>
      </c>
      <c r="T10" s="36">
        <f>VLOOKUP($A10,[16]HISTODEC22!$A$6:$AU$39,28,0)</f>
        <v>0</v>
      </c>
      <c r="U10" s="36">
        <f>VLOOKUP($A10,[16]HISTODEC22!$A$6:$AU$39,19,0)</f>
        <v>0</v>
      </c>
      <c r="V10" s="36">
        <f>VLOOKUP($A10,[16]HISTODEC22!$A$6:$AU$39,20,0)</f>
        <v>0</v>
      </c>
      <c r="W10" s="36">
        <f>VLOOKUP($A10,[16]HISTODEC22!$A$6:$AU$39,27,0)</f>
        <v>0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35">
      <c r="A11" s="1" t="s">
        <v>24</v>
      </c>
      <c r="B11" s="1" t="str">
        <f>VLOOKUP(A11,[15]LISTADHERENT!$A$5:$J$45,3,0)</f>
        <v>DJOUKWE NANGUEN GUY BLAISE</v>
      </c>
      <c r="C11" s="5">
        <v>600000</v>
      </c>
      <c r="D11" s="43">
        <f>VLOOKUP(A11,'[17]EPARGNE 2023'!$A$5:$BF$47,4,0)</f>
        <v>4750.0783119258704</v>
      </c>
      <c r="E11" s="36"/>
      <c r="F11" s="5">
        <f t="shared" si="0"/>
        <v>604750.07831192587</v>
      </c>
      <c r="G11" s="6">
        <v>38414.98820580756</v>
      </c>
      <c r="H11" s="6">
        <f t="shared" si="1"/>
        <v>643165.06651773339</v>
      </c>
      <c r="I11" s="36">
        <f>VLOOKUP($A11,[16]HISTODEC22!$A$6:$AQ$37,22,0)</f>
        <v>0</v>
      </c>
      <c r="J11" s="36">
        <f>VLOOKUP($A11,[16]HISTODEC22!$A$6:$AU$39,45,0)</f>
        <v>7000</v>
      </c>
      <c r="K11" s="6"/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VLOOKUP($A11,[18]HISTODEC22!$A$6:$AU$39,26,0)</f>
        <v>1000000</v>
      </c>
      <c r="S11" s="36">
        <f>VLOOKUP($A11,[18]HISTODEC22!$A$6:$BG$39,58,0)</f>
        <v>40000</v>
      </c>
      <c r="T11" s="36">
        <f>VLOOKUP($A11,[16]HISTODEC22!$A$6:$AU$39,28,0)</f>
        <v>0</v>
      </c>
      <c r="U11" s="36">
        <f>VLOOKUP($A11,[16]HISTODEC22!$A$6:$AU$39,19,0)</f>
        <v>1000000</v>
      </c>
      <c r="V11" s="36" t="str">
        <f>VLOOKUP($A11,[16]HISTODEC22!$A$6:$AU$39,20,0)</f>
        <v>BANQUE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35">
      <c r="A12" s="1" t="s">
        <v>25</v>
      </c>
      <c r="B12" s="1" t="str">
        <f>VLOOKUP(A12,[15]LISTADHERENT!$A$5:$J$45,3,0)</f>
        <v>DJUOMBESSY ANTOINE</v>
      </c>
      <c r="C12" s="5">
        <v>600000</v>
      </c>
      <c r="D12" s="43">
        <f>VLOOKUP(A12,'[17]EPARGNE 2023'!$A$5:$BF$47,4,0)</f>
        <v>10718.850200936431</v>
      </c>
      <c r="E12" s="36"/>
      <c r="F12" s="5">
        <f t="shared" si="0"/>
        <v>610718.85020093643</v>
      </c>
      <c r="G12" s="6">
        <v>38794.137064059098</v>
      </c>
      <c r="H12" s="6">
        <f t="shared" si="1"/>
        <v>649512.98726499558</v>
      </c>
      <c r="I12" s="36">
        <f>VLOOKUP($A12,[16]HISTODEC22!$A$6:$AQ$37,22,0)</f>
        <v>0</v>
      </c>
      <c r="J12" s="36">
        <f>VLOOKUP($A12,[16]HISTODEC22!$A$6:$AU$39,45,0)</f>
        <v>8000</v>
      </c>
      <c r="K12" s="6"/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VLOOKUP($A12,[18]HISTODEC22!$A$6:$AU$39,26,0)</f>
        <v>1000000</v>
      </c>
      <c r="S12" s="36">
        <f>VLOOKUP($A12,[18]HISTODEC22!$A$6:$BG$39,58,0)</f>
        <v>60000</v>
      </c>
      <c r="T12" s="36">
        <f>VLOOKUP($A12,[16]HISTODEC22!$A$6:$AU$39,28,0)</f>
        <v>0</v>
      </c>
      <c r="U12" s="36">
        <f>VLOOKUP($A12,[16]HISTODEC22!$A$6:$AU$39,19,0)</f>
        <v>0</v>
      </c>
      <c r="V12" s="36">
        <f>VLOOKUP($A12,[16]HISTODEC22!$A$6:$AU$39,20,0)</f>
        <v>0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9000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35">
      <c r="A13" s="1" t="s">
        <v>79</v>
      </c>
      <c r="B13" s="1" t="str">
        <f>VLOOKUP(A13,[15]LISTADHERENT!$A$5:$J$45,3,0)</f>
        <v>DOMOU FABIEN</v>
      </c>
      <c r="C13" s="5">
        <v>600000</v>
      </c>
      <c r="D13" s="43">
        <f>VLOOKUP(A13,'[17]EPARGNE 2023'!$A$5:$BF$47,4,0)</f>
        <v>584.0460014406126</v>
      </c>
      <c r="E13" s="36"/>
      <c r="F13" s="5">
        <f t="shared" si="0"/>
        <v>600584.04600144061</v>
      </c>
      <c r="G13" s="6">
        <v>38150.353131234224</v>
      </c>
      <c r="H13" s="6">
        <f t="shared" si="1"/>
        <v>638734.39913267479</v>
      </c>
      <c r="I13" s="36">
        <f>VLOOKUP($A13,[16]HISTODEC22!$A$6:$AQ$37,22,0)</f>
        <v>0</v>
      </c>
      <c r="J13" s="36">
        <f>VLOOKUP($A13,[16]HISTODEC22!$A$6:$AU$39,45,0)</f>
        <v>12000</v>
      </c>
      <c r="K13" s="6"/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VLOOKUP($A13,[18]HISTODEC22!$A$6:$AU$39,26,0)</f>
        <v>1000000</v>
      </c>
      <c r="S13" s="36">
        <f>VLOOKUP($A13,[18]HISTODEC22!$A$6:$BG$39,58,0)</f>
        <v>120000</v>
      </c>
      <c r="T13" s="36">
        <f>VLOOKUP($A13,[16]HISTODEC22!$A$6:$AU$39,28,0)</f>
        <v>0</v>
      </c>
      <c r="U13" s="36">
        <f>VLOOKUP($A13,[16]HISTODEC22!$A$6:$AU$39,19,0)</f>
        <v>1000000</v>
      </c>
      <c r="V13" s="36" t="str">
        <f>VLOOKUP($A13,[16]HISTODEC22!$A$6:$AU$39,20,0)</f>
        <v>BANQUE</v>
      </c>
      <c r="W13" s="36" t="str">
        <f>VLOOKUP($A13,[16]HISTODEC22!$A$6:$AU$39,27,0)</f>
        <v>BANQUE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ht="14.25" customHeight="1" x14ac:dyDescent="0.35">
      <c r="A14" s="1" t="s">
        <v>26</v>
      </c>
      <c r="B14" s="1" t="str">
        <f>VLOOKUP(A14,[15]LISTADHERENT!$A$5:$J$45,3,0)</f>
        <v>DONHOU DAVID</v>
      </c>
      <c r="C14" s="5">
        <v>600000</v>
      </c>
      <c r="D14" s="43">
        <f>VLOOKUP(A14,'[17]EPARGNE 2023'!$A$5:$BF$47,4,0)</f>
        <v>458343.17855274049</v>
      </c>
      <c r="E14" s="36"/>
      <c r="F14" s="5">
        <f t="shared" si="0"/>
        <v>1058343.1785527405</v>
      </c>
      <c r="G14" s="6">
        <v>67228.169420476217</v>
      </c>
      <c r="H14" s="6">
        <f t="shared" si="1"/>
        <v>1125571.3479732168</v>
      </c>
      <c r="I14" s="36">
        <f>VLOOKUP($A14,[16]HISTODEC22!$A$6:$AQ$37,22,0)</f>
        <v>0</v>
      </c>
      <c r="J14" s="36">
        <f>VLOOKUP($A14,[16]HISTODEC22!$A$6:$AU$39,45,0)</f>
        <v>12000</v>
      </c>
      <c r="K14" s="6"/>
      <c r="L14" s="36">
        <f t="shared" si="2"/>
        <v>500</v>
      </c>
      <c r="M14" s="36">
        <f t="shared" si="3"/>
        <v>1000</v>
      </c>
      <c r="N14" s="36">
        <f t="shared" si="4"/>
        <v>2500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VLOOKUP($A14,[18]HISTODEC22!$A$6:$AU$39,26,0)</f>
        <v>0</v>
      </c>
      <c r="S14" s="36">
        <f>VLOOKUP($A14,[18]HISTODEC22!$A$6:$BG$39,58,0)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x14ac:dyDescent="0.35">
      <c r="A15" s="1" t="s">
        <v>28</v>
      </c>
      <c r="B15" s="1" t="str">
        <f>VLOOKUP(A15,[15]LISTADHERENT!$A$5:$J$45,3,0)</f>
        <v>HENGUE PAUL OMER</v>
      </c>
      <c r="C15" s="5">
        <v>600000</v>
      </c>
      <c r="D15" s="43">
        <f>VLOOKUP(A15,'[17]EPARGNE 2023'!$A$5:$BF$47,4,0)</f>
        <v>51112.01036672492</v>
      </c>
      <c r="E15" s="36"/>
      <c r="F15" s="5">
        <f t="shared" si="0"/>
        <v>651112.01036672492</v>
      </c>
      <c r="G15" s="6">
        <v>41359.994972991364</v>
      </c>
      <c r="H15" s="6">
        <f t="shared" si="1"/>
        <v>692472.00533971633</v>
      </c>
      <c r="I15" s="36">
        <f>VLOOKUP($A15,[16]HISTODEC22!$A$6:$AQ$37,22,0)</f>
        <v>0</v>
      </c>
      <c r="J15" s="36">
        <f>VLOOKUP($A15,[16]HISTODEC22!$A$6:$AU$39,45,0)</f>
        <v>7000</v>
      </c>
      <c r="K15" s="6"/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VLOOKUP($A15,[18]HISTODEC22!$A$6:$AU$39,26,0)</f>
        <v>0</v>
      </c>
      <c r="S15" s="36">
        <f>VLOOKUP($A15,[18]HISTODEC22!$A$6:$BG$39,58,0)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35">
      <c r="A16" s="1" t="s">
        <v>29</v>
      </c>
      <c r="B16" s="1" t="str">
        <f>VLOOKUP(A16,[15]LISTADHERENT!$A$5:$J$45,3,0)</f>
        <v>HOTCHO BENJAMIN</v>
      </c>
      <c r="C16" s="5">
        <v>600000</v>
      </c>
      <c r="D16" s="43">
        <f>VLOOKUP(A16,'[17]EPARGNE 2023'!$A$5:$BF$47,4,0)</f>
        <v>16229.566345777828</v>
      </c>
      <c r="E16" s="36"/>
      <c r="F16" s="5">
        <f t="shared" si="0"/>
        <v>616229.56634577783</v>
      </c>
      <c r="G16" s="6">
        <v>39144.189264631852</v>
      </c>
      <c r="H16" s="6">
        <f t="shared" si="1"/>
        <v>655373.75561040966</v>
      </c>
      <c r="I16" s="36">
        <f>VLOOKUP($A16,[16]HISTODEC22!$A$6:$AQ$37,22,0)</f>
        <v>0</v>
      </c>
      <c r="J16" s="36">
        <f>VLOOKUP($A16,[16]HISTODEC22!$A$6:$AU$39,45,0)</f>
        <v>52000</v>
      </c>
      <c r="K16" s="6"/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VLOOKUP($A16,[18]HISTODEC22!$A$6:$AU$39,26,0)</f>
        <v>1000000</v>
      </c>
      <c r="S16" s="36">
        <f>VLOOKUP($A16,[18]HISTODEC22!$A$6:$BG$39,58,0)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35">
      <c r="A17" s="1" t="s">
        <v>33</v>
      </c>
      <c r="B17" s="1" t="str">
        <f>VLOOKUP(A17,[15]LISTADHERENT!$A$5:$J$45,3,0)</f>
        <v>KOUAMOU MOISE</v>
      </c>
      <c r="C17" s="5">
        <v>600000</v>
      </c>
      <c r="D17" s="43">
        <f>VLOOKUP(A17,'[17]EPARGNE 2023'!$A$5:$BF$47,4,0)</f>
        <v>53292.832106360001</v>
      </c>
      <c r="E17" s="36"/>
      <c r="F17" s="5">
        <f t="shared" si="0"/>
        <v>653292.83210636</v>
      </c>
      <c r="G17" s="6">
        <v>41498.525325299706</v>
      </c>
      <c r="H17" s="6">
        <f t="shared" si="1"/>
        <v>694791.35743165971</v>
      </c>
      <c r="I17" s="36">
        <f>VLOOKUP($A17,[16]HISTODEC22!$A$6:$AQ$37,22,0)</f>
        <v>0</v>
      </c>
      <c r="J17" s="36">
        <f>VLOOKUP($A17,[16]HISTODEC22!$A$6:$AU$39,45,0)</f>
        <v>7000</v>
      </c>
      <c r="K17" s="6"/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VLOOKUP($A17,[18]HISTODEC22!$A$6:$AU$39,26,0)</f>
        <v>0</v>
      </c>
      <c r="S17" s="36">
        <f>VLOOKUP($A17,[18]HISTODEC22!$A$6:$BG$39,58,0)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35">
      <c r="A18" s="1" t="s">
        <v>35</v>
      </c>
      <c r="B18" s="1" t="str">
        <f>VLOOKUP(A18,[15]LISTADHERENT!$A$5:$J$45,3,0)</f>
        <v>KOUATCHO MESSACK</v>
      </c>
      <c r="C18" s="5">
        <v>600000</v>
      </c>
      <c r="D18" s="43">
        <f>VLOOKUP(A18,'[17]EPARGNE 2023'!$A$5:$BF$47,4,0)</f>
        <v>6459.0432257176144</v>
      </c>
      <c r="E18" s="36"/>
      <c r="F18" s="5">
        <f t="shared" si="0"/>
        <v>606459.04322571761</v>
      </c>
      <c r="G18" s="6">
        <v>38523.545226900802</v>
      </c>
      <c r="H18" s="6">
        <f t="shared" si="1"/>
        <v>644982.58845261845</v>
      </c>
      <c r="I18" s="36">
        <f>VLOOKUP($A18,[16]HISTODEC22!$A$6:$AQ$37,22,0)</f>
        <v>0</v>
      </c>
      <c r="J18" s="36">
        <f>VLOOKUP($A18,[16]HISTODEC22!$A$6:$AU$39,45,0)</f>
        <v>7000</v>
      </c>
      <c r="K18" s="6"/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VLOOKUP($A18,[18]HISTODEC22!$A$6:$AU$39,26,0)</f>
        <v>1000000</v>
      </c>
      <c r="S18" s="36">
        <f>VLOOKUP($A18,[18]HISTODEC22!$A$6:$BG$39,58,0)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35">
      <c r="A19" s="1" t="s">
        <v>36</v>
      </c>
      <c r="B19" s="1" t="str">
        <f>VLOOKUP(A19,[15]LISTADHERENT!$A$5:$J$45,3,0)</f>
        <v>LOWE JEAN</v>
      </c>
      <c r="C19" s="5">
        <v>600000</v>
      </c>
      <c r="D19" s="43">
        <f>VLOOKUP(A19,'[17]EPARGNE 2023'!$A$5:$BF$47,4,0)</f>
        <v>746.1759009861853</v>
      </c>
      <c r="E19" s="36"/>
      <c r="F19" s="5">
        <f t="shared" si="0"/>
        <v>600746.17590098619</v>
      </c>
      <c r="G19" s="6">
        <v>38160.651961118194</v>
      </c>
      <c r="H19" s="6">
        <f t="shared" si="1"/>
        <v>638906.8278621044</v>
      </c>
      <c r="I19" s="36">
        <f>VLOOKUP($A19,[16]HISTODEC22!$A$6:$AQ$37,22,0)</f>
        <v>0</v>
      </c>
      <c r="J19" s="36">
        <f>VLOOKUP($A19,[16]HISTODEC22!$A$6:$AU$39,45,0)</f>
        <v>7000</v>
      </c>
      <c r="K19" s="6"/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VLOOKUP($A19,[18]HISTODEC22!$A$6:$AU$39,26,0)</f>
        <v>1000000</v>
      </c>
      <c r="S19" s="36">
        <f>VLOOKUP($A19,[18]HISTODEC22!$A$6:$BG$39,58,0)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35">
      <c r="A20" s="1" t="s">
        <v>75</v>
      </c>
      <c r="B20" s="1" t="str">
        <f>VLOOKUP(A20,[15]LISTADHERENT!$A$5:$J$45,3,0)</f>
        <v>MBOGNING TUGMA GUY</v>
      </c>
      <c r="C20" s="5">
        <v>600000</v>
      </c>
      <c r="D20" s="43">
        <f>VLOOKUP(A20,'[17]EPARGNE 2023'!$A$5:$BF$47,4,0)</f>
        <v>47746</v>
      </c>
      <c r="E20" s="36"/>
      <c r="F20" s="5">
        <f t="shared" si="0"/>
        <v>647746</v>
      </c>
      <c r="G20" s="6">
        <v>41146.178963410508</v>
      </c>
      <c r="H20" s="6">
        <f t="shared" si="1"/>
        <v>688892.17896341055</v>
      </c>
      <c r="I20" s="36">
        <f>VLOOKUP($A20,[16]HISTODEC22!$A$6:$AQ$37,22,0)</f>
        <v>0</v>
      </c>
      <c r="J20" s="36">
        <f>VLOOKUP($A20,[16]HISTODEC22!$A$6:$AU$39,45,0)</f>
        <v>7000</v>
      </c>
      <c r="K20" s="6"/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VLOOKUP($A20,[18]HISTODEC22!$A$6:$AU$39,26,0)</f>
        <v>1000000</v>
      </c>
      <c r="S20" s="36">
        <f>VLOOKUP($A20,[18]HISTODEC22!$A$6:$BG$39,58,0)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35">
      <c r="A21" s="1" t="s">
        <v>50</v>
      </c>
      <c r="B21" s="1" t="str">
        <f>VLOOKUP(A21,[15]LISTADHERENT!$A$5:$J$45,3,0)</f>
        <v>NANGUEN MARTIN</v>
      </c>
      <c r="C21" s="5">
        <v>600000</v>
      </c>
      <c r="D21" s="43">
        <f>VLOOKUP(A21,'[17]EPARGNE 2023'!$A$5:$BF$47,4,0)</f>
        <v>51342.559108640766</v>
      </c>
      <c r="E21" s="36"/>
      <c r="F21" s="5">
        <f t="shared" si="0"/>
        <v>651342.55910864077</v>
      </c>
      <c r="G21" s="6">
        <v>41374.639910659302</v>
      </c>
      <c r="H21" s="6">
        <f t="shared" si="1"/>
        <v>692717.19901930005</v>
      </c>
      <c r="I21" s="36">
        <f>VLOOKUP($A21,[16]HISTODEC22!$A$6:$AQ$37,22,0)</f>
        <v>0</v>
      </c>
      <c r="J21" s="36">
        <f>VLOOKUP($A21,[16]HISTODEC22!$A$6:$AU$39,45,0)</f>
        <v>7000</v>
      </c>
      <c r="K21" s="6"/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VLOOKUP($A21,[18]HISTODEC22!$A$6:$AU$39,26,0)</f>
        <v>500000</v>
      </c>
      <c r="S21" s="36">
        <f>VLOOKUP($A21,[18]HISTODEC22!$A$6:$BG$39,58,0)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35">
      <c r="A22" s="1" t="s">
        <v>37</v>
      </c>
      <c r="B22" s="1" t="str">
        <f>VLOOKUP(A22,[15]LISTADHERENT!$A$5:$J$45,3,0)</f>
        <v>NANKAM APPOLINAIRE</v>
      </c>
      <c r="C22" s="5">
        <v>600000</v>
      </c>
      <c r="D22" s="43">
        <f>VLOOKUP(A22,'[17]EPARGNE 2023'!$A$5:$BF$47,4,0)</f>
        <v>140918.4930248888</v>
      </c>
      <c r="E22" s="36"/>
      <c r="F22" s="5">
        <f t="shared" si="0"/>
        <v>740918.4930248888</v>
      </c>
      <c r="G22" s="6">
        <v>47064.690343595321</v>
      </c>
      <c r="H22" s="6">
        <f t="shared" si="1"/>
        <v>787983.18336848414</v>
      </c>
      <c r="I22" s="36">
        <f>VLOOKUP($A22,[16]HISTODEC22!$A$6:$AQ$37,22,0)</f>
        <v>0</v>
      </c>
      <c r="J22" s="36">
        <f>VLOOKUP($A22,[16]HISTODEC22!$A$6:$AU$39,45,0)</f>
        <v>7000</v>
      </c>
      <c r="K22" s="6"/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VLOOKUP($A22,[18]HISTODEC22!$A$6:$AU$39,26,0)</f>
        <v>1000000</v>
      </c>
      <c r="S22" s="36">
        <f>VLOOKUP($A22,[18]HISTODEC22!$A$6:$BG$39,58,0)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35">
      <c r="A23" s="1" t="s">
        <v>38</v>
      </c>
      <c r="B23" s="1" t="str">
        <f>VLOOKUP(A23,[15]LISTADHERENT!$A$5:$J$45,3,0)</f>
        <v>NDJOMO ETIENNE</v>
      </c>
      <c r="C23" s="5">
        <v>600000</v>
      </c>
      <c r="D23" s="43">
        <f>VLOOKUP(A23,'[17]EPARGNE 2023'!$A$5:$BF$47,4,0)</f>
        <v>283210.4580118584</v>
      </c>
      <c r="E23" s="36"/>
      <c r="F23" s="5">
        <f t="shared" si="0"/>
        <v>883210.4580118584</v>
      </c>
      <c r="G23" s="6">
        <v>56103.373185958211</v>
      </c>
      <c r="H23" s="6">
        <f t="shared" si="1"/>
        <v>939313.83119781665</v>
      </c>
      <c r="I23" s="36">
        <f>VLOOKUP($A23,[16]HISTODEC22!$A$6:$AQ$37,22,0)</f>
        <v>0</v>
      </c>
      <c r="J23" s="36">
        <f>VLOOKUP($A23,[16]HISTODEC22!$A$6:$AU$39,45,0)</f>
        <v>27000</v>
      </c>
      <c r="K23" s="6"/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VLOOKUP($A23,[18]HISTODEC22!$A$6:$AU$39,26,0)</f>
        <v>600000</v>
      </c>
      <c r="S23" s="36">
        <f>VLOOKUP($A23,[18]HISTODEC22!$A$6:$BG$39,58,0)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35">
      <c r="A24" s="1" t="s">
        <v>39</v>
      </c>
      <c r="B24" s="1" t="str">
        <f>VLOOKUP(A24,[15]LISTADHERENT!$A$5:$J$45,3,0)</f>
        <v>NGONDIEP CLAUDE</v>
      </c>
      <c r="C24" s="5">
        <v>600000</v>
      </c>
      <c r="D24" s="43">
        <f>VLOOKUP(A24,'[17]EPARGNE 2023'!$A$5:$BF$47,4,0)</f>
        <v>39787.038443138823</v>
      </c>
      <c r="E24" s="36"/>
      <c r="F24" s="5">
        <f t="shared" si="0"/>
        <v>639787.03844313882</v>
      </c>
      <c r="G24" s="6">
        <v>40640.609100251932</v>
      </c>
      <c r="H24" s="6">
        <f t="shared" si="1"/>
        <v>680427.64754339075</v>
      </c>
      <c r="I24" s="36">
        <f>VLOOKUP($A24,[16]HISTODEC22!$A$6:$AQ$37,22,0)</f>
        <v>0</v>
      </c>
      <c r="J24" s="36">
        <f>VLOOKUP($A24,[16]HISTODEC22!$A$6:$AU$39,45,0)</f>
        <v>42000</v>
      </c>
      <c r="K24" s="6"/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VLOOKUP($A24,[18]HISTODEC22!$A$6:$AU$39,26,0)</f>
        <v>1000000</v>
      </c>
      <c r="S24" s="36">
        <f>VLOOKUP($A24,[18]HISTODEC22!$A$6:$BG$39,58,0)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35">
      <c r="A25" s="1" t="s">
        <v>41</v>
      </c>
      <c r="B25" s="1" t="str">
        <f>VLOOKUP(A25,[15]LISTADHERENT!$A$5:$J$45,3,0)</f>
        <v>NGUIEMEGNI MATHIEU BLAISE</v>
      </c>
      <c r="C25" s="5">
        <v>600000</v>
      </c>
      <c r="D25" s="43">
        <f>VLOOKUP(A25,'[17]EPARGNE 2023'!$A$5:$BF$47,4,0)</f>
        <v>13695.736143450369</v>
      </c>
      <c r="E25" s="36"/>
      <c r="F25" s="5">
        <f t="shared" si="0"/>
        <v>613695.73614345037</v>
      </c>
      <c r="G25" s="6">
        <v>38983.235077392012</v>
      </c>
      <c r="H25" s="6">
        <f t="shared" si="1"/>
        <v>652678.97122084233</v>
      </c>
      <c r="I25" s="36">
        <f>VLOOKUP($A25,[16]HISTODEC22!$A$6:$AQ$37,22,0)</f>
        <v>0</v>
      </c>
      <c r="J25" s="36">
        <f>VLOOKUP($A25,[16]HISTODEC22!$A$6:$AU$39,45,0)</f>
        <v>7000</v>
      </c>
      <c r="K25" s="6"/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VLOOKUP($A25,[18]HISTODEC22!$A$6:$AU$39,26,0)</f>
        <v>1000000</v>
      </c>
      <c r="S25" s="36">
        <f>VLOOKUP($A25,[18]HISTODEC22!$A$6:$BG$39,58,0)</f>
        <v>120000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35">
      <c r="A26" s="1" t="s">
        <v>43</v>
      </c>
      <c r="B26" s="1" t="str">
        <f>VLOOKUP(A26,[15]LISTADHERENT!$A$5:$J$45,3,0)</f>
        <v>NKAMGANG JUSTIN DEJOLIE</v>
      </c>
      <c r="C26" s="5">
        <v>600000</v>
      </c>
      <c r="D26" s="43">
        <f>VLOOKUP(A26,'[17]EPARGNE 2023'!$A$5:$BF$47,4,0)</f>
        <v>575.28052728832699</v>
      </c>
      <c r="E26" s="36"/>
      <c r="F26" s="5">
        <f t="shared" si="0"/>
        <v>600575.28052728833</v>
      </c>
      <c r="G26" s="6">
        <v>38149.796330006327</v>
      </c>
      <c r="H26" s="6">
        <f t="shared" si="1"/>
        <v>638725.07685729465</v>
      </c>
      <c r="I26" s="36">
        <f>VLOOKUP($A26,[16]HISTODEC22!$A$6:$AQ$37,22,0)</f>
        <v>0</v>
      </c>
      <c r="J26" s="36">
        <f>VLOOKUP($A26,[16]HISTODEC22!$A$6:$AU$39,45,0)</f>
        <v>7000</v>
      </c>
      <c r="K26" s="6"/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VLOOKUP($A26,[18]HISTODEC22!$A$6:$AU$39,26,0)</f>
        <v>1000000</v>
      </c>
      <c r="S26" s="36">
        <f>VLOOKUP($A26,[18]HISTODEC22!$A$6:$BG$39,58,0)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35">
      <c r="A27" s="1" t="s">
        <v>172</v>
      </c>
      <c r="B27" s="1" t="str">
        <f>VLOOKUP(A27,[15]LISTADHERENT!$A$5:$J$45,3,0)</f>
        <v>NOUBE ETIENNE</v>
      </c>
      <c r="C27" s="5">
        <v>0</v>
      </c>
      <c r="D27" s="43">
        <f>VLOOKUP(A27,'[17]EPARGNE 2023'!$A$5:$BF$47,4,0)</f>
        <v>0</v>
      </c>
      <c r="E27" s="36"/>
      <c r="F27" s="5">
        <f t="shared" si="0"/>
        <v>0</v>
      </c>
      <c r="G27" s="6">
        <v>0</v>
      </c>
      <c r="H27" s="6">
        <f t="shared" si="1"/>
        <v>0</v>
      </c>
      <c r="I27" s="36"/>
      <c r="J27" s="36"/>
      <c r="K27" s="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spans="1:36" x14ac:dyDescent="0.35">
      <c r="A28" s="1" t="s">
        <v>45</v>
      </c>
      <c r="B28" s="1" t="str">
        <f>VLOOKUP(A28,[15]LISTADHERENT!$A$5:$J$45,3,0)</f>
        <v>PATEGO NJOSSU GUSTAVE</v>
      </c>
      <c r="C28" s="5">
        <v>600000</v>
      </c>
      <c r="D28" s="43">
        <f>VLOOKUP(A28,'[17]EPARGNE 2023'!$A$5:$BF$47,4,0)</f>
        <v>21451.962695348077</v>
      </c>
      <c r="E28" s="36"/>
      <c r="F28" s="5">
        <f t="shared" si="0"/>
        <v>621451.96269534808</v>
      </c>
      <c r="G28" s="6">
        <v>39475.926789552548</v>
      </c>
      <c r="H28" s="6">
        <f t="shared" si="1"/>
        <v>660927.88948490063</v>
      </c>
      <c r="I28" s="36">
        <f>VLOOKUP($A28,[16]HISTODEC22!$A$6:$AQ$37,22,0)</f>
        <v>0</v>
      </c>
      <c r="J28" s="36">
        <f>VLOOKUP($A28,[16]HISTODEC22!$A$6:$AU$39,45,0)</f>
        <v>7000</v>
      </c>
      <c r="K28" s="6"/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VLOOKUP($A28,[18]HISTODEC22!$A$6:$AU$39,26,0)</f>
        <v>0</v>
      </c>
      <c r="S28" s="36">
        <f>VLOOKUP($A28,[18]HISTODEC22!$A$6:$BG$39,58,0)</f>
        <v>0</v>
      </c>
      <c r="T28" s="36">
        <f>VLOOKUP($A28,[16]HISTODEC22!$A$6:$AU$39,28,0)</f>
        <v>0</v>
      </c>
      <c r="U28" s="36">
        <f>VLOOKUP($A28,[16]HISTODEC22!$A$6:$AU$39,19,0)</f>
        <v>0</v>
      </c>
      <c r="V28" s="36">
        <f>VLOOKUP($A28,[16]HISTODEC22!$A$6:$AU$39,20,0)</f>
        <v>0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35">
      <c r="A29" s="1" t="s">
        <v>312</v>
      </c>
      <c r="B29" s="1" t="str">
        <f>VLOOKUP(A29,[15]LISTADHERENT!$A$5:$J$45,3,0)</f>
        <v>SEUMO POLYCARPE</v>
      </c>
      <c r="C29" s="5">
        <v>0</v>
      </c>
      <c r="D29" s="43">
        <f>VLOOKUP(A29,'[17]EPARGNE 2023'!$A$5:$BF$47,4,0)</f>
        <v>0</v>
      </c>
      <c r="E29" s="36"/>
      <c r="F29" s="5">
        <f t="shared" si="0"/>
        <v>0</v>
      </c>
      <c r="G29" s="6">
        <v>0</v>
      </c>
      <c r="H29" s="6">
        <f t="shared" si="1"/>
        <v>0</v>
      </c>
      <c r="I29" s="36"/>
      <c r="J29" s="36"/>
      <c r="K29" s="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x14ac:dyDescent="0.35">
      <c r="A30" s="1" t="s">
        <v>81</v>
      </c>
      <c r="B30" s="1" t="str">
        <f>VLOOKUP(A30,[15]LISTADHERENT!$A$5:$J$45,3,0)</f>
        <v>SIME BRICE</v>
      </c>
      <c r="C30" s="5">
        <v>600000</v>
      </c>
      <c r="D30" s="43">
        <f>VLOOKUP(A30,'[17]EPARGNE 2023'!$A$5:$BF$47,4,0)</f>
        <v>200752.48017057346</v>
      </c>
      <c r="E30" s="36"/>
      <c r="F30" s="5">
        <f t="shared" si="0"/>
        <v>800752.48017057346</v>
      </c>
      <c r="G30" s="6">
        <v>50865.470191237371</v>
      </c>
      <c r="H30" s="6">
        <f t="shared" si="1"/>
        <v>851617.95036181086</v>
      </c>
      <c r="I30" s="36">
        <f>VLOOKUP($A30,[16]HISTODEC22!$A$6:$AQ$37,22,0)</f>
        <v>0</v>
      </c>
      <c r="J30" s="36">
        <f>VLOOKUP($A30,[16]HISTODEC22!$A$6:$AU$39,45,0)</f>
        <v>7000</v>
      </c>
      <c r="K30" s="6"/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VLOOKUP($A30,[18]HISTODEC22!$A$6:$AU$39,26,0)</f>
        <v>0</v>
      </c>
      <c r="S30" s="36">
        <f>VLOOKUP($A30,[18]HISTODEC22!$A$6:$BG$39,58,0)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35">
      <c r="A31" s="1" t="s">
        <v>49</v>
      </c>
      <c r="B31" s="1" t="str">
        <f>VLOOKUP(A31,[15]LISTADHERENT!$A$5:$J$45,3,0)</f>
        <v>SIMO PIERRE</v>
      </c>
      <c r="C31" s="5">
        <v>600000</v>
      </c>
      <c r="D31" s="43">
        <f>VLOOKUP(A31,'[17]EPARGNE 2023'!$A$5:$BF$47,4,0)</f>
        <v>103606.47183067317</v>
      </c>
      <c r="E31" s="36"/>
      <c r="F31" s="5">
        <f t="shared" si="0"/>
        <v>703606.47183067317</v>
      </c>
      <c r="G31" s="6">
        <v>44694.552818170603</v>
      </c>
      <c r="H31" s="6">
        <f t="shared" si="1"/>
        <v>748301.0246488438</v>
      </c>
      <c r="I31" s="36">
        <f>VLOOKUP($A31,[16]HISTODEC22!$A$6:$AQ$37,22,0)</f>
        <v>0</v>
      </c>
      <c r="J31" s="36">
        <f>VLOOKUP($A31,[16]HISTODEC22!$A$6:$AU$39,45,0)</f>
        <v>7000</v>
      </c>
      <c r="K31" s="6"/>
      <c r="L31" s="36">
        <f t="shared" si="2"/>
        <v>500</v>
      </c>
      <c r="M31" s="36">
        <f t="shared" si="3"/>
        <v>1000</v>
      </c>
      <c r="N31" s="36">
        <f t="shared" si="4"/>
        <v>2500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VLOOKUP($A31,[18]HISTODEC22!$A$6:$AU$39,26,0)</f>
        <v>1000000</v>
      </c>
      <c r="S31" s="36">
        <f>VLOOKUP($A31,[18]HISTODEC22!$A$6:$BG$39,58,0)</f>
        <v>120000</v>
      </c>
      <c r="T31" s="36">
        <f>VLOOKUP($A31,[16]HISTODEC22!$A$6:$AU$39,28,0)</f>
        <v>0</v>
      </c>
      <c r="U31" s="36">
        <f>VLOOKUP($A31,[16]HISTODEC22!$A$6:$AU$39,19,0)</f>
        <v>800000</v>
      </c>
      <c r="V31" s="36" t="str">
        <f>VLOOKUP($A31,[16]HISTODEC22!$A$6:$AU$39,20,0)</f>
        <v>BANQUE</v>
      </c>
      <c r="W31" s="36" t="str">
        <f>VLOOKUP($A31,[16]HISTODEC22!$A$6:$AU$39,27,0)</f>
        <v>BANQUE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35">
      <c r="A32" s="1" t="s">
        <v>51</v>
      </c>
      <c r="B32" s="1" t="str">
        <f>VLOOKUP(A32,[15]LISTADHERENT!$A$5:$J$45,3,0)</f>
        <v>TCHOUAMOU MATHIEU</v>
      </c>
      <c r="C32" s="5">
        <v>600000</v>
      </c>
      <c r="D32" s="43">
        <f>VLOOKUP(A32,'[17]EPARGNE 2023'!$A$5:$BF$47,4,0)</f>
        <v>4207.8699443503283</v>
      </c>
      <c r="E32" s="36"/>
      <c r="F32" s="5">
        <f t="shared" si="0"/>
        <v>604207.86994435033</v>
      </c>
      <c r="G32" s="6">
        <v>38380.545997707901</v>
      </c>
      <c r="H32" s="6">
        <f t="shared" si="1"/>
        <v>642588.4159420582</v>
      </c>
      <c r="I32" s="36">
        <f>VLOOKUP($A32,[16]HISTODEC22!$A$6:$AQ$37,22,0)</f>
        <v>0</v>
      </c>
      <c r="J32" s="36">
        <f>VLOOKUP($A32,[16]HISTODEC22!$A$6:$AU$39,45,0)</f>
        <v>7000</v>
      </c>
      <c r="K32" s="6"/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VLOOKUP($A32,[18]HISTODEC22!$A$6:$AU$39,26,0)</f>
        <v>1000000</v>
      </c>
      <c r="S32" s="36">
        <f>VLOOKUP($A32,[18]HISTODEC22!$A$6:$BG$39,58,0)</f>
        <v>30000</v>
      </c>
      <c r="T32" s="36">
        <f>VLOOKUP($A32,[16]HISTODEC22!$A$6:$AU$39,28,0)</f>
        <v>0</v>
      </c>
      <c r="U32" s="36">
        <f>VLOOKUP($A32,[16]HISTODEC22!$A$6:$AU$39,19,0)</f>
        <v>1000000</v>
      </c>
      <c r="V32" s="36" t="str">
        <f>VLOOKUP($A32,[16]HISTODEC22!$A$6:$AU$39,20,0)</f>
        <v>BANQUE</v>
      </c>
      <c r="W32" s="36">
        <f>VLOOKUP($A32,[16]HISTODEC22!$A$6:$AU$39,27,0)</f>
        <v>0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35">
      <c r="A33" s="1" t="s">
        <v>53</v>
      </c>
      <c r="B33" s="1" t="str">
        <f>VLOOKUP(A33,[15]LISTADHERENT!$A$5:$J$45,3,0)</f>
        <v>TCHOUTOU NANA CLAUDE</v>
      </c>
      <c r="C33" s="5">
        <v>0</v>
      </c>
      <c r="D33" s="43">
        <f>VLOOKUP(A33,'[17]EPARGNE 2023'!$A$5:$BF$47,4,0)</f>
        <v>0</v>
      </c>
      <c r="E33" s="36"/>
      <c r="F33" s="5">
        <f t="shared" si="0"/>
        <v>0</v>
      </c>
      <c r="G33" s="6">
        <v>0</v>
      </c>
      <c r="H33" s="6">
        <f t="shared" si="1"/>
        <v>0</v>
      </c>
      <c r="I33" s="36"/>
      <c r="J33" s="36"/>
      <c r="K33" s="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spans="1:36" x14ac:dyDescent="0.35">
      <c r="A34" s="1" t="s">
        <v>313</v>
      </c>
      <c r="B34" s="1" t="str">
        <f>VLOOKUP(A34,[15]LISTADHERENT!$A$5:$J$45,3,0)</f>
        <v>YANTCHOU GERVAIS</v>
      </c>
      <c r="C34" s="5">
        <v>0</v>
      </c>
      <c r="D34" s="43">
        <f>VLOOKUP(A34,'[17]EPARGNE 2023'!$A$5:$BF$47,4,0)</f>
        <v>0</v>
      </c>
      <c r="E34" s="36"/>
      <c r="F34" s="5">
        <f t="shared" si="0"/>
        <v>0</v>
      </c>
      <c r="G34" s="6">
        <v>0</v>
      </c>
      <c r="H34" s="6">
        <f t="shared" si="1"/>
        <v>0</v>
      </c>
      <c r="I34" s="36"/>
      <c r="J34" s="36"/>
      <c r="K34" s="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spans="1:36" x14ac:dyDescent="0.35">
      <c r="A35" s="1" t="s">
        <v>55</v>
      </c>
      <c r="B35" s="1" t="str">
        <f>VLOOKUP(A35,[15]LISTADHERENT!$A$5:$J$45,3,0)</f>
        <v>YEPMOU JEAN JACQUES</v>
      </c>
      <c r="C35" s="5">
        <v>600000</v>
      </c>
      <c r="D35" s="43">
        <f>VLOOKUP(A35,'[17]EPARGNE 2023'!$A$5:$BF$47,4,0)</f>
        <v>914734.42229355336</v>
      </c>
      <c r="E35" s="1"/>
      <c r="F35" s="5">
        <f t="shared" si="0"/>
        <v>1514734.4222935534</v>
      </c>
      <c r="G35" s="6">
        <v>96219.094555163261</v>
      </c>
      <c r="H35" s="6">
        <f t="shared" si="1"/>
        <v>1610953.5168487167</v>
      </c>
      <c r="I35" s="36">
        <f>VLOOKUP($A35,[16]HISTODEC22!$A$6:$AQ$37,22,0)</f>
        <v>0</v>
      </c>
      <c r="J35" s="36">
        <f>VLOOKUP($A35,[16]HISTODEC22!$A$6:$AU$39,45,0)</f>
        <v>7000</v>
      </c>
      <c r="K35" s="6"/>
      <c r="L35" s="36">
        <f t="shared" ref="L35:L36" si="5">IF(J35=0,0,500)</f>
        <v>500</v>
      </c>
      <c r="M35" s="36">
        <f t="shared" ref="M35:M36" si="6">IF(J35=0,0,1000)</f>
        <v>1000</v>
      </c>
      <c r="N35" s="36">
        <f t="shared" ref="N35:N36" si="7">IF(J35=0,0,2500)</f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VLOOKUP($A35,[18]HISTODEC22!$A$6:$AU$39,26,0)</f>
        <v>0</v>
      </c>
      <c r="S35" s="36">
        <f>VLOOKUP($A35,[18]HISTODEC22!$A$6:$BG$39,58,0)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35">
      <c r="A36" s="1" t="s">
        <v>56</v>
      </c>
      <c r="B36" s="1" t="str">
        <f>VLOOKUP(A36,[15]LISTADHERENT!$A$5:$J$45,3,0)</f>
        <v>YOUMBI EMMANUEL</v>
      </c>
      <c r="C36" s="5">
        <v>600000</v>
      </c>
      <c r="D36" s="43">
        <f>VLOOKUP(A36,'[17]EPARGNE 2023'!$A$5:$BF$47,4,0)</f>
        <v>1057774.2356918815</v>
      </c>
      <c r="E36" s="1"/>
      <c r="F36" s="5">
        <f t="shared" si="0"/>
        <v>1657774.2356918815</v>
      </c>
      <c r="G36" s="6">
        <v>105305.28229075785</v>
      </c>
      <c r="H36" s="6">
        <f t="shared" si="1"/>
        <v>1763079.5179826394</v>
      </c>
      <c r="I36" s="36">
        <f>VLOOKUP($A36,[16]HISTODEC22!$A$6:$AQ$37,22,0)</f>
        <v>0</v>
      </c>
      <c r="J36" s="36">
        <f>VLOOKUP($A36,[16]HISTODEC22!$A$6:$AU$39,45,0)</f>
        <v>7000</v>
      </c>
      <c r="K36" s="6"/>
      <c r="L36" s="36">
        <f t="shared" si="5"/>
        <v>500</v>
      </c>
      <c r="M36" s="36">
        <f t="shared" si="6"/>
        <v>1000</v>
      </c>
      <c r="N36" s="36">
        <f t="shared" si="7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VLOOKUP($A36,[18]HISTODEC22!$A$6:$AU$39,26,0)</f>
        <v>0</v>
      </c>
      <c r="S36" s="36">
        <f>VLOOKUP($A36,[18]HISTODEC22!$A$6:$BG$39,58,0)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35">
      <c r="A37" s="147" t="s">
        <v>44</v>
      </c>
      <c r="B37" s="1" t="str">
        <f>VLOOKUP(A37,[15]LISTADHERENT!$A$5:$J$45,3,0)</f>
        <v>NKEPSEU DIEUDONNE</v>
      </c>
      <c r="C37" s="5">
        <v>600000</v>
      </c>
      <c r="D37" s="5">
        <v>2434</v>
      </c>
      <c r="E37" s="5"/>
      <c r="F37" s="5">
        <f t="shared" si="0"/>
        <v>602434</v>
      </c>
      <c r="G37" s="6">
        <v>38267.866073496785</v>
      </c>
      <c r="H37" s="6">
        <f t="shared" si="1"/>
        <v>640701.86607349676</v>
      </c>
      <c r="K37" s="6"/>
    </row>
    <row r="38" spans="1:36" x14ac:dyDescent="0.35">
      <c r="A38" s="148"/>
      <c r="B38" s="1"/>
      <c r="C38" s="5"/>
      <c r="D38" s="5"/>
      <c r="E38" s="5"/>
      <c r="F38" s="5"/>
      <c r="G38" s="6"/>
      <c r="H38" s="6"/>
      <c r="J38" s="146"/>
      <c r="K38" s="146"/>
    </row>
    <row r="39" spans="1:36" ht="17.5" x14ac:dyDescent="0.35">
      <c r="A39" s="1" t="s">
        <v>57</v>
      </c>
      <c r="B39" s="1"/>
      <c r="C39" s="9">
        <f t="shared" ref="C39:AJ39" si="8">SUM(C6:C37)</f>
        <v>15600000</v>
      </c>
      <c r="D39" s="9">
        <f t="shared" si="8"/>
        <v>4361560.1908109896</v>
      </c>
      <c r="E39" s="9">
        <f t="shared" si="8"/>
        <v>0</v>
      </c>
      <c r="F39" s="9">
        <f t="shared" si="8"/>
        <v>19961560.190810993</v>
      </c>
      <c r="G39" s="9">
        <f t="shared" si="8"/>
        <v>1267999.9999999998</v>
      </c>
      <c r="H39" s="9">
        <f t="shared" si="8"/>
        <v>21229560.19081099</v>
      </c>
      <c r="I39" s="9">
        <f t="shared" si="8"/>
        <v>0</v>
      </c>
      <c r="J39" s="9">
        <f t="shared" si="8"/>
        <v>286000</v>
      </c>
      <c r="K39" s="9">
        <f t="shared" si="8"/>
        <v>0</v>
      </c>
      <c r="L39" s="9">
        <f t="shared" si="8"/>
        <v>12500</v>
      </c>
      <c r="M39" s="9">
        <f t="shared" si="8"/>
        <v>25000</v>
      </c>
      <c r="N39" s="9">
        <f t="shared" si="8"/>
        <v>62500</v>
      </c>
      <c r="O39" s="9">
        <f t="shared" si="8"/>
        <v>0</v>
      </c>
      <c r="P39" s="9">
        <f t="shared" si="8"/>
        <v>0</v>
      </c>
      <c r="Q39" s="9">
        <f t="shared" si="8"/>
        <v>0</v>
      </c>
      <c r="R39" s="9">
        <f t="shared" si="8"/>
        <v>15600000</v>
      </c>
      <c r="S39" s="9">
        <f t="shared" si="8"/>
        <v>1268000</v>
      </c>
      <c r="T39" s="9">
        <f t="shared" si="8"/>
        <v>0</v>
      </c>
      <c r="U39" s="9">
        <f t="shared" si="8"/>
        <v>15041250</v>
      </c>
      <c r="V39" s="9">
        <f t="shared" si="8"/>
        <v>0</v>
      </c>
      <c r="W39" s="9">
        <f t="shared" si="8"/>
        <v>0</v>
      </c>
      <c r="X39" s="9">
        <f t="shared" si="8"/>
        <v>0</v>
      </c>
      <c r="Y39" s="9">
        <f t="shared" si="8"/>
        <v>0</v>
      </c>
      <c r="Z39" s="9">
        <f t="shared" si="8"/>
        <v>0</v>
      </c>
      <c r="AA39" s="9">
        <f t="shared" si="8"/>
        <v>0</v>
      </c>
      <c r="AB39" s="9">
        <f t="shared" si="8"/>
        <v>0</v>
      </c>
      <c r="AC39" s="9">
        <f t="shared" si="8"/>
        <v>0</v>
      </c>
      <c r="AD39" s="9">
        <f t="shared" si="8"/>
        <v>9000</v>
      </c>
      <c r="AE39" s="9">
        <f t="shared" si="8"/>
        <v>6000</v>
      </c>
      <c r="AF39" s="9">
        <f t="shared" si="8"/>
        <v>0</v>
      </c>
      <c r="AG39" s="9">
        <f t="shared" si="8"/>
        <v>0</v>
      </c>
      <c r="AH39" s="9">
        <f t="shared" si="8"/>
        <v>70000</v>
      </c>
      <c r="AI39" s="9">
        <f t="shared" si="8"/>
        <v>0</v>
      </c>
      <c r="AJ39" s="9">
        <f t="shared" si="8"/>
        <v>0</v>
      </c>
    </row>
    <row r="41" spans="1:36" ht="17.5" x14ac:dyDescent="0.35">
      <c r="C41">
        <v>536000</v>
      </c>
      <c r="D41">
        <v>4361500</v>
      </c>
      <c r="H41" s="9"/>
    </row>
    <row r="42" spans="1:36" ht="17.5" x14ac:dyDescent="0.35">
      <c r="C42" s="2">
        <f>C39-C41</f>
        <v>15064000</v>
      </c>
      <c r="D42" s="2">
        <f>D39-D41</f>
        <v>60.190810989588499</v>
      </c>
      <c r="F42" s="9">
        <v>19359126.190810993</v>
      </c>
    </row>
    <row r="43" spans="1:36" x14ac:dyDescent="0.35">
      <c r="H43" s="2">
        <f>H39-H41</f>
        <v>21229560.19081099</v>
      </c>
    </row>
  </sheetData>
  <autoFilter ref="A5:U34" xr:uid="{00000000-0009-0000-0000-000004000000}">
    <sortState ref="A5:L48">
      <sortCondition ref="B5:B48"/>
    </sortState>
  </autoFilter>
  <mergeCells count="1">
    <mergeCell ref="J4:O4"/>
  </mergeCell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44"/>
  <sheetViews>
    <sheetView workbookViewId="0">
      <pane xSplit="2" ySplit="5" topLeftCell="C15" activePane="bottomRight" state="frozen"/>
      <selection activeCell="J4" sqref="J4:O4"/>
      <selection pane="topRight" activeCell="J4" sqref="J4:O4"/>
      <selection pane="bottomLeft" activeCell="J4" sqref="J4:O4"/>
      <selection pane="bottomRight" activeCell="H6" sqref="H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9" width="18.26953125" customWidth="1"/>
    <col min="10" max="10" width="15" bestFit="1" customWidth="1"/>
    <col min="11" max="11" width="17.54296875" style="142" bestFit="1" customWidth="1"/>
    <col min="12" max="12" width="17.54296875" style="142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2023</v>
      </c>
      <c r="C2" s="1"/>
      <c r="D2" s="1"/>
      <c r="E2" s="1"/>
      <c r="F2" s="1"/>
      <c r="G2" s="1"/>
      <c r="H2" s="1"/>
      <c r="I2" s="152">
        <f>IF(E2&gt;=700000,($T$41/$G$41*H2),0)</f>
        <v>0</v>
      </c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59">
        <f>H12+MVTJANV24!H12+MVTFEV24!H12+MVTMARS24!H12</f>
        <v>47606.764611162223</v>
      </c>
      <c r="I4" s="16"/>
      <c r="J4" s="141"/>
      <c r="K4" s="189">
        <v>45277</v>
      </c>
      <c r="L4" s="189"/>
      <c r="M4" s="189"/>
      <c r="N4" s="189"/>
      <c r="O4" s="189"/>
      <c r="P4" s="189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325</v>
      </c>
      <c r="AM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D6" s="36">
        <f>VLOOKUP($A6,[20]DETAILFICHECASSATION!$A$6:$R$36,17,0)</f>
        <v>886523.25892224163</v>
      </c>
      <c r="E6" s="36"/>
      <c r="F6" s="36">
        <f>C6+D6-E6</f>
        <v>886523.25892224163</v>
      </c>
      <c r="G6" s="5">
        <f>[21]MVTNOV23!F6+[21]MVTNOV23!G6-[21]MVTDEC23!E6+L6</f>
        <v>886523.25892224174</v>
      </c>
      <c r="H6" s="36">
        <f>($T$41/$G$41*G6)</f>
        <v>47366.807698803961</v>
      </c>
      <c r="I6" s="6">
        <f>(F6+H6)</f>
        <v>933890.06662104558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f>VLOOKUP($A6,[22]HISTODEC23!$A$6:$CA$36,60,0)</f>
        <v>6000</v>
      </c>
      <c r="AG6" s="36">
        <f>VLOOKUP($A6,[22]HISTODEC23!$A$6:$CA$36,61,0)</f>
        <v>0</v>
      </c>
      <c r="AH6" s="36">
        <f>VLOOKUP($A6,[22]HISTODEC23!$A$6:$CA$36,62,0)</f>
        <v>0</v>
      </c>
      <c r="AI6" s="36">
        <f>VLOOKUP($A6,[22]HISTODEC23!$A$6:$CA$36,63,0)</f>
        <v>0</v>
      </c>
      <c r="AJ6" s="36">
        <f>VLOOKUP($A6,[22]HISTODEC23!$A$6:$CA$36,64,0)</f>
        <v>0</v>
      </c>
      <c r="AK6" s="36">
        <f>VLOOKUP($A6,[22]HISTODEC23!$A$6:$CA$36,65,0)</f>
        <v>0</v>
      </c>
      <c r="AL6" s="36" t="e">
        <f>VLOOKUP($A6,[20]DETAILFICHECASSATION!$A$6:$R$36,12,0)</f>
        <v>#REF!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>
        <v>678482</v>
      </c>
      <c r="E7" s="36"/>
      <c r="F7" s="36">
        <f t="shared" ref="F7:F39" si="0">C7+D7-E7</f>
        <v>678482</v>
      </c>
      <c r="G7" s="5">
        <f>IF(F7&gt;=700000,(C7+D7-E7),0)</f>
        <v>0</v>
      </c>
      <c r="H7" s="36">
        <f t="shared" ref="H7:H39" si="1">($T$41/$G$41*G7)</f>
        <v>0</v>
      </c>
      <c r="I7" s="6">
        <f t="shared" ref="I7:I39" si="2">(F7+H7)</f>
        <v>678482</v>
      </c>
      <c r="J7" s="36">
        <f>VLOOKUP($A7,[22]HISTODEC23!$A$6:$AQ$40,22,0)</f>
        <v>0</v>
      </c>
      <c r="K7" s="36">
        <f>VLOOKUP($A7,[22]HISTODEC23!$A$6:$AU$36,45,0)</f>
        <v>15000</v>
      </c>
      <c r="L7" s="36">
        <f t="shared" ref="L7:L36" si="3">IF(K7=0,0,K7-(M7+N7+O7))</f>
        <v>9000</v>
      </c>
      <c r="M7" s="36">
        <f>IF(K7=0,0,1000)</f>
        <v>1000</v>
      </c>
      <c r="N7" s="36">
        <f t="shared" ref="N7:N36" si="4">IF(K7=0,0,1000)</f>
        <v>1000</v>
      </c>
      <c r="O7" s="36">
        <f>IF(K7=0,0,4000)</f>
        <v>4000</v>
      </c>
      <c r="P7" s="36">
        <f>VLOOKUP($A7,[22]HISTODEC23!$A$6:$AU$36,7,0)</f>
        <v>0</v>
      </c>
      <c r="Q7" s="36">
        <f>VLOOKUP($A7,[22]HISTODEC23!$A$6:$AU$36,23,0)</f>
        <v>0</v>
      </c>
      <c r="R7" s="36">
        <f>VLOOKUP($A7,[22]HISTODEC23!$A$6:$AU$36,46,0)</f>
        <v>0</v>
      </c>
      <c r="S7" s="36">
        <f>VLOOKUP($A7,[22]HISTODEC23!$A$6:$AU$36,26,0)</f>
        <v>600000</v>
      </c>
      <c r="T7" s="36">
        <f>VLOOKUP($A7,[22]HISTODEC23!$A$6:$BG$36,58,0)-30000</f>
        <v>6000</v>
      </c>
      <c r="U7" s="36">
        <f>VLOOKUP($A7,[22]HISTODEC23!$A$6:$AU$36,28,0)</f>
        <v>0</v>
      </c>
      <c r="V7" s="36">
        <f>VLOOKUP($A7,[22]HISTODEC23!$A$6:$AU$36,19,0)</f>
        <v>600000</v>
      </c>
      <c r="W7" s="36" t="str">
        <f>VLOOKUP($A7,[22]HISTODEC23!$A$6:$AU$36,20,0)</f>
        <v>BANQUE</v>
      </c>
      <c r="X7" s="36" t="str">
        <f>VLOOKUP($A7,[22]HISTODEC23!$A$6:$AU$36,27,0)</f>
        <v>BANQUE</v>
      </c>
      <c r="Y7" s="36">
        <f>VLOOKUP($A7,[22]HISTODEC23!$A$6:$BM$36,33,0)</f>
        <v>0</v>
      </c>
      <c r="Z7" s="36">
        <f>VLOOKUP($A7,[22]HISTODEC23!$A$6:$BM$36,65,0)</f>
        <v>0</v>
      </c>
      <c r="AA7" s="36"/>
      <c r="AB7" s="36">
        <f>VLOOKUP($A7,[22]HISTODEC23!$A$6:$AU$36,43,0)</f>
        <v>0</v>
      </c>
      <c r="AC7" s="36">
        <f>VLOOKUP($A7,[22]HISTODEC23!$A$6:$AU$36,44,0)</f>
        <v>0</v>
      </c>
      <c r="AD7" s="36">
        <f>VLOOKUP($A7,[22]HISTODEC23!$A$6:$AU$36,47,0)</f>
        <v>0</v>
      </c>
      <c r="AE7" s="36">
        <f>VLOOKUP(A7,[22]HISTODEC23!$A$6:$BB$36,54,0)</f>
        <v>0</v>
      </c>
      <c r="AF7" s="36">
        <f>VLOOKUP($A7,[22]HISTODEC23!$A$6:$CA$36,60,0)</f>
        <v>0</v>
      </c>
      <c r="AG7" s="36">
        <f>VLOOKUP($A7,[22]HISTODEC23!$A$6:$CA$36,61,0)</f>
        <v>0</v>
      </c>
      <c r="AH7" s="36">
        <f>VLOOKUP($A7,[22]HISTODEC23!$A$6:$CA$36,62,0)</f>
        <v>0</v>
      </c>
      <c r="AI7" s="36">
        <f>VLOOKUP($A7,[22]HISTODEC23!$A$6:$CA$36,63,0)</f>
        <v>0</v>
      </c>
      <c r="AJ7" s="36">
        <f>VLOOKUP($A7,[22]HISTODEC23!$A$6:$CA$36,64,0)</f>
        <v>0</v>
      </c>
      <c r="AK7" s="36">
        <f>VLOOKUP($A7,[22]HISTODEC23!$A$6:$CA$36,65,0)</f>
        <v>0</v>
      </c>
      <c r="AL7" s="36">
        <f>VLOOKUP($A7,[20]DETAILFICHECASSATION!$A$6:$R$36,12,0)</f>
        <v>700000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>
        <f>VLOOKUP($A8,[23]FONDSCAISSE!$A$2:$G$33,4,0)</f>
        <v>700000</v>
      </c>
      <c r="D8" s="36">
        <f>VLOOKUP($A8,[20]DETAILFICHECASSATION!$A$6:$R$36,17,0)</f>
        <v>33.12626320522395</v>
      </c>
      <c r="E8" s="36"/>
      <c r="F8" s="36">
        <f t="shared" si="0"/>
        <v>700033.12626320519</v>
      </c>
      <c r="G8" s="5">
        <f t="shared" ref="G8:G39" si="5">IF(C8+D8+L8-E8&gt;=700000,(C8+D8-E8),0)</f>
        <v>700033.12626320519</v>
      </c>
      <c r="H8" s="36">
        <f t="shared" si="1"/>
        <v>37402.667263138508</v>
      </c>
      <c r="I8" s="6">
        <f t="shared" si="2"/>
        <v>737435.79352634365</v>
      </c>
      <c r="J8" s="36">
        <f>VLOOKUP($A8,[22]HISTODEC23!$A$6:$AQ$40,22,0)</f>
        <v>19000</v>
      </c>
      <c r="K8" s="36">
        <f>VLOOKUP($A8,[22]HISTODEC23!$A$6:$AU$36,45,0)</f>
        <v>15000</v>
      </c>
      <c r="L8" s="36">
        <f t="shared" si="3"/>
        <v>9000</v>
      </c>
      <c r="M8" s="36">
        <f>IF(K8=0,0,1000)</f>
        <v>1000</v>
      </c>
      <c r="N8" s="36">
        <f t="shared" si="4"/>
        <v>1000</v>
      </c>
      <c r="O8" s="36">
        <f>IF(K8=0,0,4000)</f>
        <v>4000</v>
      </c>
      <c r="P8" s="36">
        <f>VLOOKUP($A8,[22]HISTODEC23!$A$6:$AU$36,7,0)</f>
        <v>0</v>
      </c>
      <c r="Q8" s="36">
        <f>VLOOKUP($A8,[22]HISTODEC23!$A$6:$AU$36,23,0)</f>
        <v>0</v>
      </c>
      <c r="R8" s="36">
        <f>VLOOKUP($A8,[22]HISTODEC23!$A$6:$AU$36,46,0)</f>
        <v>0</v>
      </c>
      <c r="S8" s="36">
        <f>VLOOKUP($A8,[22]HISTODEC23!$A$6:$AU$36,26,0)</f>
        <v>500000</v>
      </c>
      <c r="T8" s="36">
        <f>VLOOKUP($A8,[22]HISTODEC23!$A$6:$BG$36,58,0)</f>
        <v>15000</v>
      </c>
      <c r="U8" s="36">
        <f>VLOOKUP($A8,[22]HISTODEC23!$A$6:$AU$36,28,0)</f>
        <v>0</v>
      </c>
      <c r="V8" s="36">
        <f>VLOOKUP($A8,[22]HISTODEC23!$A$6:$AU$36,19,0)</f>
        <v>0</v>
      </c>
      <c r="W8" s="36">
        <f>VLOOKUP($A8,[22]HISTODEC23!$A$6:$AU$36,20,0)</f>
        <v>0</v>
      </c>
      <c r="X8" s="36" t="str">
        <f>VLOOKUP($A8,[22]HISTODEC23!$A$6:$AU$36,27,0)</f>
        <v>BANQUE</v>
      </c>
      <c r="Y8" s="36">
        <f>VLOOKUP($A8,[22]HISTODEC23!$A$6:$BM$36,33,0)</f>
        <v>0</v>
      </c>
      <c r="Z8" s="36">
        <f>VLOOKUP($A8,[22]HISTODEC23!$A$6:$BM$36,65,0)</f>
        <v>0</v>
      </c>
      <c r="AA8" s="36"/>
      <c r="AB8" s="36">
        <f>VLOOKUP($A8,[22]HISTODEC23!$A$6:$AU$36,43,0)</f>
        <v>0</v>
      </c>
      <c r="AC8" s="36">
        <f>VLOOKUP($A8,[22]HISTODEC23!$A$6:$AU$36,44,0)</f>
        <v>0</v>
      </c>
      <c r="AD8" s="36">
        <f>VLOOKUP($A8,[22]HISTODEC23!$A$6:$AU$36,47,0)</f>
        <v>0</v>
      </c>
      <c r="AE8" s="36">
        <f>VLOOKUP(A8,[22]HISTODEC23!$A$6:$BB$36,54,0)</f>
        <v>0</v>
      </c>
      <c r="AF8" s="36">
        <f>VLOOKUP($A8,[22]HISTODEC23!$A$6:$CA$36,60,0)</f>
        <v>0</v>
      </c>
      <c r="AG8" s="36">
        <f>VLOOKUP($A8,[22]HISTODEC23!$A$6:$CA$36,61,0)</f>
        <v>0</v>
      </c>
      <c r="AH8" s="36">
        <f>VLOOKUP($A8,[22]HISTODEC23!$A$6:$CA$36,62,0)</f>
        <v>0</v>
      </c>
      <c r="AI8" s="36">
        <f>VLOOKUP($A8,[22]HISTODEC23!$A$6:$CA$36,63,0)</f>
        <v>0</v>
      </c>
      <c r="AJ8" s="36">
        <f>VLOOKUP($A8,[22]HISTODEC23!$A$6:$CA$36,64,0)</f>
        <v>0</v>
      </c>
      <c r="AK8" s="36">
        <f>VLOOKUP($A8,[22]HISTODEC23!$A$6:$CA$36,65,0)</f>
        <v>0</v>
      </c>
      <c r="AL8" s="36">
        <f>VLOOKUP($A8,[20]DETAILFICHECASSATION!$A$6:$R$36,12,0)</f>
        <v>100000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>
        <f>VLOOKUP($A9,[23]FONDSCAISSE!$A$2:$G$33,4,0)</f>
        <v>700000</v>
      </c>
      <c r="D9" s="36">
        <f>VLOOKUP($A9,[20]DETAILFICHECASSATION!$A$6:$R$36,17,0)</f>
        <v>53357.826243040035</v>
      </c>
      <c r="E9" s="36"/>
      <c r="F9" s="36">
        <f t="shared" si="0"/>
        <v>753357.82624304004</v>
      </c>
      <c r="G9" s="5">
        <f t="shared" si="5"/>
        <v>753357.82624304004</v>
      </c>
      <c r="H9" s="36">
        <f t="shared" si="1"/>
        <v>40251.798161984778</v>
      </c>
      <c r="I9" s="6">
        <f t="shared" si="2"/>
        <v>793609.62440502481</v>
      </c>
      <c r="J9" s="36">
        <f>VLOOKUP($A9,[22]HISTODEC23!$A$6:$AQ$40,22,0)</f>
        <v>9000</v>
      </c>
      <c r="K9" s="36">
        <f>VLOOKUP($A9,[22]HISTODEC23!$A$6:$AU$36,45,0)</f>
        <v>40000</v>
      </c>
      <c r="L9" s="36">
        <f t="shared" si="3"/>
        <v>34000</v>
      </c>
      <c r="M9" s="36">
        <f t="shared" ref="M9:M36" si="6">IF(K9=0,0,1000)</f>
        <v>1000</v>
      </c>
      <c r="N9" s="36">
        <f t="shared" si="4"/>
        <v>1000</v>
      </c>
      <c r="O9" s="36">
        <f t="shared" ref="O9:O36" si="7">IF(K9=0,0,4000)</f>
        <v>4000</v>
      </c>
      <c r="P9" s="36">
        <f>VLOOKUP($A9,[22]HISTODEC23!$A$6:$AU$36,7,0)</f>
        <v>0</v>
      </c>
      <c r="Q9" s="36">
        <f>VLOOKUP($A9,[22]HISTODEC23!$A$6:$AU$36,23,0)</f>
        <v>0</v>
      </c>
      <c r="R9" s="36">
        <f>VLOOKUP($A9,[22]HISTODEC23!$A$6:$AU$36,46,0)</f>
        <v>0</v>
      </c>
      <c r="S9" s="36">
        <f>VLOOKUP($A9,[22]HISTODEC23!$A$6:$AU$36,26,0)</f>
        <v>1000000</v>
      </c>
      <c r="T9" s="36">
        <f>VLOOKUP($A9,[22]HISTODEC23!$A$6:$BG$36,58,0)</f>
        <v>120000</v>
      </c>
      <c r="U9" s="36">
        <f>VLOOKUP($A9,[22]HISTODEC23!$A$6:$AU$36,28,0)</f>
        <v>0</v>
      </c>
      <c r="V9" s="36">
        <f>VLOOKUP($A9,[22]HISTODEC23!$A$6:$AU$36,19,0)</f>
        <v>1000000</v>
      </c>
      <c r="W9" s="36" t="str">
        <f>VLOOKUP($A9,[22]HISTODEC23!$A$6:$AU$36,20,0)</f>
        <v>BANQUE</v>
      </c>
      <c r="X9" s="36" t="str">
        <f>VLOOKUP($A9,[22]HISTODEC23!$A$6:$AU$36,27,0)</f>
        <v>BANQUE</v>
      </c>
      <c r="Y9" s="36">
        <f>VLOOKUP($A9,[22]HISTODEC23!$A$6:$BM$36,33,0)</f>
        <v>0</v>
      </c>
      <c r="Z9" s="36">
        <f>VLOOKUP($A9,[22]HISTODEC23!$A$6:$BM$36,65,0)</f>
        <v>0</v>
      </c>
      <c r="AA9" s="36"/>
      <c r="AB9" s="36">
        <f>VLOOKUP($A9,[22]HISTODEC23!$A$6:$AU$36,43,0)</f>
        <v>0</v>
      </c>
      <c r="AC9" s="36">
        <f>VLOOKUP($A9,[22]HISTODEC23!$A$6:$AU$36,44,0)</f>
        <v>0</v>
      </c>
      <c r="AD9" s="36">
        <f>VLOOKUP($A9,[22]HISTODEC23!$A$6:$AU$36,47,0)</f>
        <v>0</v>
      </c>
      <c r="AE9" s="36">
        <f>VLOOKUP(A9,[22]HISTODEC23!$A$6:$BB$36,54,0)</f>
        <v>0</v>
      </c>
      <c r="AF9" s="36">
        <f>VLOOKUP($A9,[22]HISTODEC23!$A$6:$CA$36,60,0)</f>
        <v>0</v>
      </c>
      <c r="AG9" s="36">
        <f>VLOOKUP($A9,[22]HISTODEC23!$A$6:$CA$36,61,0)</f>
        <v>0</v>
      </c>
      <c r="AH9" s="36">
        <f>VLOOKUP($A9,[22]HISTODEC23!$A$6:$CA$36,62,0)</f>
        <v>0</v>
      </c>
      <c r="AI9" s="36">
        <f>VLOOKUP($A9,[22]HISTODEC23!$A$6:$CA$36,63,0)</f>
        <v>0</v>
      </c>
      <c r="AJ9" s="36">
        <f>VLOOKUP($A9,[22]HISTODEC23!$A$6:$CA$36,64,0)</f>
        <v>0</v>
      </c>
      <c r="AK9" s="36">
        <f>VLOOKUP($A9,[22]HISTODEC23!$A$6:$CA$36,65,0)</f>
        <v>0</v>
      </c>
      <c r="AL9" s="36">
        <f>VLOOKUP($A9,[20]DETAILFICHECASSATION!$A$6:$R$36,12,0)</f>
        <v>100000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>
        <f>VLOOKUP($A10,[23]FONDSCAISSE!$A$2:$G$33,4,0)</f>
        <v>700000</v>
      </c>
      <c r="D10" s="36">
        <f>VLOOKUP($A10,[20]DETAILFICHECASSATION!$A$6:$R$36,17,0)</f>
        <v>294.67929590542917</v>
      </c>
      <c r="E10" s="36"/>
      <c r="F10" s="36">
        <f t="shared" si="0"/>
        <v>700294.6792959054</v>
      </c>
      <c r="G10" s="5">
        <f t="shared" si="5"/>
        <v>700294.6792959054</v>
      </c>
      <c r="H10" s="36">
        <f t="shared" si="1"/>
        <v>37416.642003313973</v>
      </c>
      <c r="I10" s="6">
        <f t="shared" si="2"/>
        <v>737711.32129921939</v>
      </c>
      <c r="J10" s="36">
        <f>VLOOKUP($A10,[22]HISTODEC23!$A$6:$AQ$40,22,0)</f>
        <v>22000</v>
      </c>
      <c r="K10" s="36">
        <f>VLOOKUP($A10,[22]HISTODEC23!$A$6:$AU$36,45,0)</f>
        <v>15000</v>
      </c>
      <c r="L10" s="36">
        <f t="shared" si="3"/>
        <v>9000</v>
      </c>
      <c r="M10" s="36">
        <f t="shared" si="6"/>
        <v>1000</v>
      </c>
      <c r="N10" s="36">
        <f t="shared" si="4"/>
        <v>1000</v>
      </c>
      <c r="O10" s="36">
        <f t="shared" si="7"/>
        <v>4000</v>
      </c>
      <c r="P10" s="36">
        <f>VLOOKUP($A10,[22]HISTODEC23!$A$6:$AU$36,7,0)</f>
        <v>0</v>
      </c>
      <c r="Q10" s="36">
        <f>VLOOKUP($A10,[22]HISTODEC23!$A$6:$AU$36,23,0)</f>
        <v>0</v>
      </c>
      <c r="R10" s="36">
        <f>VLOOKUP($A10,[22]HISTODEC23!$A$6:$AU$36,46,0)</f>
        <v>0</v>
      </c>
      <c r="S10" s="36">
        <f>VLOOKUP($A10,[22]HISTODEC23!$A$6:$AU$36,26,0)</f>
        <v>1000000</v>
      </c>
      <c r="T10" s="36">
        <f>VLOOKUP($A10,[22]HISTODEC23!$A$6:$BG$36,58,0)</f>
        <v>120000</v>
      </c>
      <c r="U10" s="36">
        <f>VLOOKUP($A10,[22]HISTODEC23!$A$6:$AU$36,28,0)</f>
        <v>0</v>
      </c>
      <c r="V10" s="36">
        <f>VLOOKUP($A10,[22]HISTODEC23!$A$6:$AU$36,19,0)</f>
        <v>0</v>
      </c>
      <c r="W10" s="36">
        <f>VLOOKUP($A10,[22]HISTODEC23!$A$6:$AU$36,20,0)</f>
        <v>0</v>
      </c>
      <c r="X10" s="36" t="str">
        <f>VLOOKUP($A10,[22]HISTODEC23!$A$6:$AU$36,27,0)</f>
        <v>BANQUE</v>
      </c>
      <c r="Y10" s="36">
        <f>VLOOKUP($A10,[22]HISTODEC23!$A$6:$BM$36,33,0)</f>
        <v>0</v>
      </c>
      <c r="Z10" s="36">
        <f>VLOOKUP($A10,[22]HISTODEC23!$A$6:$BM$36,65,0)</f>
        <v>0</v>
      </c>
      <c r="AA10" s="36"/>
      <c r="AB10" s="36">
        <f>VLOOKUP($A10,[22]HISTODEC23!$A$6:$AU$36,43,0)</f>
        <v>0</v>
      </c>
      <c r="AC10" s="36">
        <f>VLOOKUP($A10,[22]HISTODEC23!$A$6:$AU$36,44,0)</f>
        <v>0</v>
      </c>
      <c r="AD10" s="36">
        <f>VLOOKUP($A10,[22]HISTODEC23!$A$6:$AU$36,47,0)</f>
        <v>0</v>
      </c>
      <c r="AE10" s="36">
        <f>VLOOKUP(A10,[22]HISTODEC23!$A$6:$BB$36,54,0)</f>
        <v>0</v>
      </c>
      <c r="AF10" s="36">
        <f>VLOOKUP($A10,[22]HISTODEC23!$A$6:$CA$36,60,0)</f>
        <v>0</v>
      </c>
      <c r="AG10" s="36">
        <f>VLOOKUP($A10,[22]HISTODEC23!$A$6:$CA$36,61,0)</f>
        <v>0</v>
      </c>
      <c r="AH10" s="36">
        <f>VLOOKUP($A10,[22]HISTODEC23!$A$6:$CA$36,62,0)</f>
        <v>0</v>
      </c>
      <c r="AI10" s="36">
        <f>VLOOKUP($A10,[22]HISTODEC23!$A$6:$CA$36,63,0)</f>
        <v>0</v>
      </c>
      <c r="AJ10" s="36">
        <f>VLOOKUP($A10,[22]HISTODEC23!$A$6:$CA$36,64,0)</f>
        <v>0</v>
      </c>
      <c r="AK10" s="36">
        <f>VLOOKUP($A10,[22]HISTODEC23!$A$6:$CA$36,65,0)</f>
        <v>0</v>
      </c>
      <c r="AL10" s="36">
        <f>VLOOKUP($A10,[20]DETAILFICHECASSATION!$A$6:$R$36,12,0)</f>
        <v>100000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>
        <f>VLOOKUP($A11,[23]FONDSCAISSE!$A$2:$G$33,4,0)</f>
        <v>700000</v>
      </c>
      <c r="D11" s="36">
        <f>VLOOKUP($A11,[20]DETAILFICHECASSATION!$A$6:$R$36,17,0)</f>
        <v>2196.7678974067676</v>
      </c>
      <c r="E11" s="36"/>
      <c r="F11" s="36">
        <f t="shared" si="0"/>
        <v>702196.76789740683</v>
      </c>
      <c r="G11" s="5">
        <f t="shared" si="5"/>
        <v>702196.76789740683</v>
      </c>
      <c r="H11" s="36">
        <f t="shared" si="1"/>
        <v>37518.270318314913</v>
      </c>
      <c r="I11" s="6">
        <f t="shared" si="2"/>
        <v>739715.03821572172</v>
      </c>
      <c r="J11" s="36">
        <f>VLOOKUP($A11,[22]HISTODEC23!$A$6:$AQ$40,22,0)</f>
        <v>0</v>
      </c>
      <c r="K11" s="36">
        <f>VLOOKUP($A11,[22]HISTODEC23!$A$6:$AU$36,45,0)</f>
        <v>15000</v>
      </c>
      <c r="L11" s="36">
        <f t="shared" si="3"/>
        <v>9000</v>
      </c>
      <c r="M11" s="36">
        <f t="shared" si="6"/>
        <v>1000</v>
      </c>
      <c r="N11" s="36">
        <f t="shared" si="4"/>
        <v>1000</v>
      </c>
      <c r="O11" s="36">
        <f t="shared" si="7"/>
        <v>4000</v>
      </c>
      <c r="P11" s="36">
        <f>VLOOKUP($A11,[22]HISTODEC23!$A$6:$AU$36,7,0)</f>
        <v>0</v>
      </c>
      <c r="Q11" s="36">
        <f>VLOOKUP($A11,[22]HISTODEC23!$A$6:$AU$36,23,0)</f>
        <v>0</v>
      </c>
      <c r="R11" s="36">
        <f>VLOOKUP($A11,[22]HISTODEC23!$A$6:$AU$36,46,0)</f>
        <v>0</v>
      </c>
      <c r="S11" s="36">
        <f>VLOOKUP($A11,[22]HISTODEC23!$A$6:$AU$36,26,0)</f>
        <v>1000000</v>
      </c>
      <c r="T11" s="36">
        <f>VLOOKUP($A11,[22]HISTODEC23!$A$6:$BG$36,58,0)</f>
        <v>20000</v>
      </c>
      <c r="U11" s="36">
        <f>VLOOKUP($A11,[22]HISTODEC23!$A$6:$AU$36,28,0)</f>
        <v>0</v>
      </c>
      <c r="V11" s="36">
        <f>VLOOKUP($A11,[22]HISTODEC23!$A$6:$AU$36,19,0)</f>
        <v>1000000</v>
      </c>
      <c r="W11" s="36" t="str">
        <f>VLOOKUP($A11,[22]HISTODEC23!$A$6:$AU$36,20,0)</f>
        <v>BANQUE</v>
      </c>
      <c r="X11" s="36" t="str">
        <f>VLOOKUP($A11,[22]HISTODEC23!$A$6:$AU$36,27,0)</f>
        <v>BANQUE</v>
      </c>
      <c r="Y11" s="36">
        <f>VLOOKUP($A11,[22]HISTODEC23!$A$6:$BM$36,33,0)</f>
        <v>0</v>
      </c>
      <c r="Z11" s="36">
        <f>VLOOKUP($A11,[22]HISTODEC23!$A$6:$BM$36,65,0)</f>
        <v>0</v>
      </c>
      <c r="AA11" s="36"/>
      <c r="AB11" s="36">
        <f>VLOOKUP($A11,[22]HISTODEC23!$A$6:$AU$36,43,0)</f>
        <v>0</v>
      </c>
      <c r="AC11" s="36">
        <f>VLOOKUP($A11,[22]HISTODEC23!$A$6:$AU$36,44,0)</f>
        <v>0</v>
      </c>
      <c r="AD11" s="36">
        <f>VLOOKUP($A11,[22]HISTODEC23!$A$6:$AU$36,47,0)</f>
        <v>0</v>
      </c>
      <c r="AE11" s="36">
        <f>VLOOKUP(A11,[22]HISTODEC23!$A$6:$BB$36,54,0)</f>
        <v>0</v>
      </c>
      <c r="AF11" s="36">
        <f>VLOOKUP($A11,[22]HISTODEC23!$A$6:$CA$36,60,0)</f>
        <v>0</v>
      </c>
      <c r="AG11" s="36">
        <f>VLOOKUP($A11,[22]HISTODEC23!$A$6:$CA$36,61,0)</f>
        <v>0</v>
      </c>
      <c r="AH11" s="36">
        <f>VLOOKUP($A11,[22]HISTODEC23!$A$6:$CA$36,62,0)</f>
        <v>0</v>
      </c>
      <c r="AI11" s="36">
        <f>VLOOKUP($A11,[22]HISTODEC23!$A$6:$CA$36,63,0)</f>
        <v>0</v>
      </c>
      <c r="AJ11" s="36">
        <f>VLOOKUP($A11,[22]HISTODEC23!$A$6:$CA$36,64,0)</f>
        <v>0</v>
      </c>
      <c r="AK11" s="36">
        <f>VLOOKUP($A11,[22]HISTODEC23!$A$6:$CA$36,65,0)</f>
        <v>0</v>
      </c>
      <c r="AL11" s="36">
        <f>VLOOKUP($A11,[20]DETAILFICHECASSATION!$A$6:$R$36,12,0)</f>
        <v>100000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>
        <f>VLOOKUP($A12,[23]FONDSCAISSE!$A$2:$G$33,4,0)</f>
        <v>700000</v>
      </c>
      <c r="D12" s="36">
        <f>VLOOKUP($A12,[20]DETAILFICHECASSATION!$A$6:$R$36,17,0)</f>
        <v>14513.277451620379</v>
      </c>
      <c r="E12" s="36"/>
      <c r="F12" s="36">
        <f t="shared" si="0"/>
        <v>714513.27745162044</v>
      </c>
      <c r="G12" s="5">
        <f t="shared" si="5"/>
        <v>714513.27745162044</v>
      </c>
      <c r="H12" s="36">
        <f t="shared" si="1"/>
        <v>38176.339617347352</v>
      </c>
      <c r="I12" s="6">
        <f t="shared" si="2"/>
        <v>752689.61706896778</v>
      </c>
      <c r="J12" s="36">
        <f>VLOOKUP($A12,[22]HISTODEC23!$A$6:$AQ$40,22,0)</f>
        <v>0</v>
      </c>
      <c r="K12" s="36">
        <f>VLOOKUP($A12,[22]HISTODEC23!$A$6:$AU$36,45,0)</f>
        <v>20800</v>
      </c>
      <c r="L12" s="36">
        <f>IF(K12=0,0,K12-(M12+N12+O12))</f>
        <v>14800</v>
      </c>
      <c r="M12" s="36">
        <f t="shared" si="6"/>
        <v>1000</v>
      </c>
      <c r="N12" s="36">
        <f t="shared" si="4"/>
        <v>1000</v>
      </c>
      <c r="O12" s="36">
        <f t="shared" si="7"/>
        <v>4000</v>
      </c>
      <c r="P12" s="36">
        <f>VLOOKUP($A12,[22]HISTODEC23!$A$6:$AU$36,7,0)</f>
        <v>0</v>
      </c>
      <c r="Q12" s="36">
        <f>VLOOKUP($A12,[22]HISTODEC23!$A$6:$AU$36,23,0)</f>
        <v>0</v>
      </c>
      <c r="R12" s="36">
        <f>VLOOKUP($A12,[22]HISTODEC23!$A$6:$AU$36,46,0)</f>
        <v>0</v>
      </c>
      <c r="S12" s="36">
        <f>VLOOKUP($A12,[22]HISTODEC23!$A$6:$AU$36,26,0)</f>
        <v>1000000</v>
      </c>
      <c r="T12" s="36">
        <f>VLOOKUP($A12,[22]HISTODEC23!$A$6:$BG$36,58,0)</f>
        <v>60000</v>
      </c>
      <c r="U12" s="36">
        <f>VLOOKUP($A12,[22]HISTODEC23!$A$6:$AU$36,28,0)</f>
        <v>0</v>
      </c>
      <c r="V12" s="36">
        <f>VLOOKUP($A12,[22]HISTODEC23!$A$6:$AU$36,19,0)</f>
        <v>719200</v>
      </c>
      <c r="W12" s="36" t="str">
        <f>VLOOKUP($A12,[22]HISTODEC23!$A$6:$AU$36,20,0)</f>
        <v>BANQUE</v>
      </c>
      <c r="X12" s="36" t="str">
        <f>VLOOKUP($A12,[22]HISTODEC23!$A$6:$AU$36,27,0)</f>
        <v>BANQUE</v>
      </c>
      <c r="Y12" s="36">
        <f>VLOOKUP($A12,[22]HISTODEC23!$A$6:$BM$36,33,0)</f>
        <v>0</v>
      </c>
      <c r="Z12" s="36">
        <f>VLOOKUP($A12,[22]HISTODEC23!$A$6:$BM$36,65,0)</f>
        <v>0</v>
      </c>
      <c r="AA12" s="36"/>
      <c r="AB12" s="36">
        <f>VLOOKUP($A12,[22]HISTODEC23!$A$6:$AU$36,43,0)</f>
        <v>0</v>
      </c>
      <c r="AC12" s="36">
        <f>VLOOKUP($A12,[22]HISTODEC23!$A$6:$AU$36,44,0)</f>
        <v>0</v>
      </c>
      <c r="AD12" s="36">
        <f>VLOOKUP($A12,[22]HISTODEC23!$A$6:$AU$36,47,0)</f>
        <v>0</v>
      </c>
      <c r="AE12" s="36">
        <f>VLOOKUP(A12,[22]HISTODEC23!$A$6:$BB$36,54,0)</f>
        <v>0</v>
      </c>
      <c r="AF12" s="36">
        <f>VLOOKUP($A12,[22]HISTODEC23!$A$6:$CA$36,60,0)</f>
        <v>0</v>
      </c>
      <c r="AG12" s="36">
        <f>VLOOKUP($A12,[22]HISTODEC23!$A$6:$CA$36,61,0)</f>
        <v>0</v>
      </c>
      <c r="AH12" s="36">
        <f>VLOOKUP($A12,[22]HISTODEC23!$A$6:$CA$36,62,0)</f>
        <v>0</v>
      </c>
      <c r="AI12" s="36">
        <f>VLOOKUP($A12,[22]HISTODEC23!$A$6:$CA$36,63,0)</f>
        <v>0</v>
      </c>
      <c r="AJ12" s="36">
        <f>VLOOKUP($A12,[22]HISTODEC23!$A$6:$CA$36,64,0)</f>
        <v>0</v>
      </c>
      <c r="AK12" s="36">
        <f>VLOOKUP($A12,[22]HISTODEC23!$A$6:$CA$36,65,0)</f>
        <v>0</v>
      </c>
      <c r="AL12" s="36">
        <f>VLOOKUP($A12,[20]DETAILFICHECASSATION!$A$6:$R$36,12,0)</f>
        <v>100000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>
        <f>VLOOKUP($A13,[23]FONDSCAISSE!$A$2:$G$33,4,0)</f>
        <v>700000</v>
      </c>
      <c r="D13" s="36">
        <f>VLOOKUP($A13,[20]DETAILFICHECASSATION!$A$6:$R$36,17,0)</f>
        <v>41.235805909789633</v>
      </c>
      <c r="E13" s="36"/>
      <c r="F13" s="36">
        <f t="shared" si="0"/>
        <v>700041.23580590985</v>
      </c>
      <c r="G13" s="5">
        <f t="shared" si="5"/>
        <v>700041.23580590985</v>
      </c>
      <c r="H13" s="36">
        <f t="shared" si="1"/>
        <v>37403.100554815799</v>
      </c>
      <c r="I13" s="6">
        <f t="shared" si="2"/>
        <v>737444.33636072569</v>
      </c>
      <c r="J13" s="36">
        <f>VLOOKUP($A13,[22]HISTODEC23!$A$6:$AQ$40,22,0)</f>
        <v>0</v>
      </c>
      <c r="K13" s="36">
        <f>VLOOKUP($A13,[22]HISTODEC23!$A$6:$AU$36,45,0)</f>
        <v>15000</v>
      </c>
      <c r="L13" s="36">
        <f t="shared" si="3"/>
        <v>9000</v>
      </c>
      <c r="M13" s="36">
        <f t="shared" si="6"/>
        <v>1000</v>
      </c>
      <c r="N13" s="36">
        <f t="shared" si="4"/>
        <v>1000</v>
      </c>
      <c r="O13" s="36">
        <f t="shared" si="7"/>
        <v>4000</v>
      </c>
      <c r="P13" s="36">
        <f>VLOOKUP($A13,[22]HISTODEC23!$A$6:$AU$36,7,0)</f>
        <v>0</v>
      </c>
      <c r="Q13" s="36">
        <f>VLOOKUP($A13,[22]HISTODEC23!$A$6:$AU$36,23,0)</f>
        <v>0</v>
      </c>
      <c r="R13" s="36">
        <f>VLOOKUP($A13,[22]HISTODEC23!$A$6:$AU$36,46,0)</f>
        <v>0</v>
      </c>
      <c r="S13" s="36">
        <f>VLOOKUP($A13,[22]HISTODEC23!$A$6:$AU$36,26,0)</f>
        <v>1000000</v>
      </c>
      <c r="T13" s="36">
        <f>VLOOKUP($A13,[22]HISTODEC23!$A$6:$BG$36,58,0)</f>
        <v>120000</v>
      </c>
      <c r="U13" s="36">
        <f>VLOOKUP($A13,[22]HISTODEC23!$A$6:$AU$36,28,0)</f>
        <v>0</v>
      </c>
      <c r="V13" s="36">
        <f>VLOOKUP($A13,[22]HISTODEC23!$A$6:$AU$36,19,0)</f>
        <v>1000000</v>
      </c>
      <c r="W13" s="36" t="str">
        <f>VLOOKUP($A13,[22]HISTODEC23!$A$6:$AU$36,20,0)</f>
        <v>BANQUE</v>
      </c>
      <c r="X13" s="36" t="str">
        <f>VLOOKUP($A13,[22]HISTODEC23!$A$6:$AU$36,27,0)</f>
        <v>BANQUE</v>
      </c>
      <c r="Y13" s="36">
        <f>VLOOKUP($A13,[22]HISTODEC23!$A$6:$BM$36,33,0)</f>
        <v>0</v>
      </c>
      <c r="Z13" s="36">
        <f>VLOOKUP($A13,[22]HISTODEC23!$A$6:$BM$36,65,0)</f>
        <v>0</v>
      </c>
      <c r="AA13" s="36"/>
      <c r="AB13" s="36">
        <f>VLOOKUP($A13,[22]HISTODEC23!$A$6:$AU$36,43,0)</f>
        <v>0</v>
      </c>
      <c r="AC13" s="36">
        <f>VLOOKUP($A13,[22]HISTODEC23!$A$6:$AU$36,44,0)</f>
        <v>0</v>
      </c>
      <c r="AD13" s="36">
        <f>VLOOKUP($A13,[22]HISTODEC23!$A$6:$AU$36,47,0)</f>
        <v>0</v>
      </c>
      <c r="AE13" s="36">
        <f>VLOOKUP(A13,[22]HISTODEC23!$A$6:$BB$36,54,0)</f>
        <v>0</v>
      </c>
      <c r="AF13" s="36">
        <f>VLOOKUP($A13,[22]HISTODEC23!$A$6:$CA$36,60,0)</f>
        <v>0</v>
      </c>
      <c r="AG13" s="36">
        <f>VLOOKUP($A13,[22]HISTODEC23!$A$6:$CA$36,61,0)</f>
        <v>0</v>
      </c>
      <c r="AH13" s="36">
        <f>VLOOKUP($A13,[22]HISTODEC23!$A$6:$CA$36,62,0)</f>
        <v>0</v>
      </c>
      <c r="AI13" s="36">
        <f>VLOOKUP($A13,[22]HISTODEC23!$A$6:$CA$36,63,0)</f>
        <v>0</v>
      </c>
      <c r="AJ13" s="36">
        <f>VLOOKUP($A13,[22]HISTODEC23!$A$6:$CA$36,64,0)</f>
        <v>0</v>
      </c>
      <c r="AK13" s="36">
        <f>VLOOKUP($A13,[22]HISTODEC23!$A$6:$CA$36,65,0)</f>
        <v>0</v>
      </c>
      <c r="AL13" s="36">
        <f>VLOOKUP($A13,[20]DETAILFICHECASSATION!$A$6:$R$36,12,0)</f>
        <v>100000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>
        <f>VLOOKUP($A14,[23]FONDSCAISSE!$A$2:$G$33,4,0)</f>
        <v>700000</v>
      </c>
      <c r="D14" s="36">
        <f>VLOOKUP($A14,[20]DETAILFICHECASSATION!$A$6:$R$36,17,0)</f>
        <v>518031.2910165739</v>
      </c>
      <c r="E14" s="36"/>
      <c r="F14" s="36">
        <f t="shared" si="0"/>
        <v>1218031.291016574</v>
      </c>
      <c r="G14" s="5">
        <f t="shared" si="5"/>
        <v>1218031.291016574</v>
      </c>
      <c r="H14" s="36">
        <f t="shared" si="1"/>
        <v>65079.233231678169</v>
      </c>
      <c r="I14" s="6">
        <f t="shared" si="2"/>
        <v>1283110.5242482522</v>
      </c>
      <c r="J14" s="36">
        <f>VLOOKUP($A14,[22]HISTODEC23!$A$6:$AQ$40,22,0)</f>
        <v>0</v>
      </c>
      <c r="K14" s="36">
        <f>VLOOKUP($A14,[22]HISTODEC23!$A$6:$AU$36,45,0)</f>
        <v>15000</v>
      </c>
      <c r="L14" s="36">
        <f t="shared" si="3"/>
        <v>9000</v>
      </c>
      <c r="M14" s="36">
        <f t="shared" si="6"/>
        <v>1000</v>
      </c>
      <c r="N14" s="36">
        <f t="shared" si="4"/>
        <v>1000</v>
      </c>
      <c r="O14" s="36">
        <f t="shared" si="7"/>
        <v>4000</v>
      </c>
      <c r="P14" s="36">
        <f>VLOOKUP($A14,[22]HISTODEC23!$A$6:$AU$36,7,0)</f>
        <v>0</v>
      </c>
      <c r="Q14" s="36">
        <f>VLOOKUP($A14,[22]HISTODEC23!$A$6:$AU$36,23,0)</f>
        <v>0</v>
      </c>
      <c r="R14" s="36">
        <f>VLOOKUP($A14,[22]HISTODEC23!$A$6:$AU$36,46,0)</f>
        <v>0</v>
      </c>
      <c r="S14" s="36">
        <f>VLOOKUP($A14,[22]HISTODEC23!$A$6:$AU$36,26,0)</f>
        <v>0</v>
      </c>
      <c r="T14" s="36">
        <f>VLOOKUP($A14,[22]HISTODEC23!$A$6:$BG$36,58,0)</f>
        <v>0</v>
      </c>
      <c r="U14" s="36">
        <f>VLOOKUP($A14,[22]HISTODEC23!$A$6:$AU$36,28,0)</f>
        <v>0</v>
      </c>
      <c r="V14" s="36">
        <f>VLOOKUP($A14,[22]HISTODEC23!$A$6:$AU$36,19,0)</f>
        <v>0</v>
      </c>
      <c r="W14" s="36">
        <f>VLOOKUP($A14,[22]HISTODEC23!$A$6:$AU$36,20,0)</f>
        <v>0</v>
      </c>
      <c r="X14" s="36">
        <f>VLOOKUP($A14,[22]HISTODEC23!$A$6:$AU$36,27,0)</f>
        <v>0</v>
      </c>
      <c r="Y14" s="36">
        <f>VLOOKUP($A14,[22]HISTODEC23!$A$6:$BM$36,33,0)</f>
        <v>0</v>
      </c>
      <c r="Z14" s="36">
        <f>VLOOKUP($A14,[22]HISTODEC23!$A$6:$BM$36,65,0)</f>
        <v>0</v>
      </c>
      <c r="AA14" s="36"/>
      <c r="AB14" s="36">
        <f>VLOOKUP($A14,[22]HISTODEC23!$A$6:$AU$36,43,0)</f>
        <v>0</v>
      </c>
      <c r="AC14" s="36">
        <f>VLOOKUP($A14,[22]HISTODEC23!$A$6:$AU$36,44,0)</f>
        <v>0</v>
      </c>
      <c r="AD14" s="36">
        <f>VLOOKUP($A14,[22]HISTODEC23!$A$6:$AU$36,47,0)</f>
        <v>0</v>
      </c>
      <c r="AE14" s="36">
        <f>VLOOKUP(A14,[22]HISTODEC23!$A$6:$BB$36,54,0)</f>
        <v>0</v>
      </c>
      <c r="AF14" s="36">
        <f>VLOOKUP($A14,[22]HISTODEC23!$A$6:$CA$36,60,0)</f>
        <v>0</v>
      </c>
      <c r="AG14" s="36">
        <f>VLOOKUP($A14,[22]HISTODEC23!$A$6:$CA$36,61,0)</f>
        <v>0</v>
      </c>
      <c r="AH14" s="36">
        <f>VLOOKUP($A14,[22]HISTODEC23!$A$6:$CA$36,62,0)</f>
        <v>0</v>
      </c>
      <c r="AI14" s="36">
        <f>VLOOKUP($A14,[22]HISTODEC23!$A$6:$CA$36,63,0)</f>
        <v>0</v>
      </c>
      <c r="AJ14" s="36">
        <f>VLOOKUP($A14,[22]HISTODEC23!$A$6:$CA$36,64,0)</f>
        <v>0</v>
      </c>
      <c r="AK14" s="36">
        <f>VLOOKUP($A14,[22]HISTODEC23!$A$6:$CA$36,65,0)</f>
        <v>0</v>
      </c>
      <c r="AL14" s="36">
        <f>VLOOKUP($A14,[20]DETAILFICHECASSATION!$A$6:$R$36,12,0)</f>
        <v>100000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>
        <f>VLOOKUP($A15,[23]FONDSCAISSE!$A$2:$G$33,4,0)</f>
        <v>700000</v>
      </c>
      <c r="D15" s="36">
        <f>VLOOKUP($A15,[20]DETAILFICHECASSATION!$A$6:$R$36,17,0)</f>
        <v>57899.603500921949</v>
      </c>
      <c r="E15" s="36"/>
      <c r="F15" s="36">
        <f t="shared" si="0"/>
        <v>757899.60350092198</v>
      </c>
      <c r="G15" s="5">
        <f t="shared" si="5"/>
        <v>757899.60350092198</v>
      </c>
      <c r="H15" s="36">
        <f t="shared" si="1"/>
        <v>40494.464654735828</v>
      </c>
      <c r="I15" s="6">
        <f t="shared" si="2"/>
        <v>798394.06815565785</v>
      </c>
      <c r="J15" s="36">
        <f>VLOOKUP($A15,[22]HISTODEC23!$A$6:$AQ$40,22,0)</f>
        <v>18000</v>
      </c>
      <c r="K15" s="36">
        <f>VLOOKUP($A15,[22]HISTODEC23!$A$6:$AU$36,45,0)</f>
        <v>15000</v>
      </c>
      <c r="L15" s="36">
        <f t="shared" si="3"/>
        <v>9000</v>
      </c>
      <c r="M15" s="36">
        <f t="shared" si="6"/>
        <v>1000</v>
      </c>
      <c r="N15" s="36">
        <f t="shared" si="4"/>
        <v>1000</v>
      </c>
      <c r="O15" s="36">
        <f t="shared" si="7"/>
        <v>4000</v>
      </c>
      <c r="P15" s="36">
        <f>VLOOKUP($A15,[22]HISTODEC23!$A$6:$AU$36,7,0)</f>
        <v>0</v>
      </c>
      <c r="Q15" s="36">
        <f>VLOOKUP($A15,[22]HISTODEC23!$A$6:$AU$36,23,0)</f>
        <v>0</v>
      </c>
      <c r="R15" s="36">
        <f>VLOOKUP($A15,[22]HISTODEC23!$A$6:$AU$36,46,0)</f>
        <v>0</v>
      </c>
      <c r="S15" s="36">
        <f>VLOOKUP($A15,[22]HISTODEC23!$A$6:$AU$36,26,0)</f>
        <v>0</v>
      </c>
      <c r="T15" s="36">
        <f>VLOOKUP($A15,[22]HISTODEC23!$A$6:$BG$36,58,0)</f>
        <v>0</v>
      </c>
      <c r="U15" s="36">
        <f>VLOOKUP($A15,[22]HISTODEC23!$A$6:$AU$36,28,0)</f>
        <v>0</v>
      </c>
      <c r="V15" s="36">
        <f>VLOOKUP($A15,[22]HISTODEC23!$A$6:$AU$36,19,0)</f>
        <v>0</v>
      </c>
      <c r="W15" s="36">
        <f>VLOOKUP($A15,[22]HISTODEC23!$A$6:$AU$36,20,0)</f>
        <v>0</v>
      </c>
      <c r="X15" s="36">
        <f>VLOOKUP($A15,[22]HISTODEC23!$A$6:$AU$36,27,0)</f>
        <v>0</v>
      </c>
      <c r="Y15" s="36">
        <f>VLOOKUP($A15,[22]HISTODEC23!$A$6:$BM$36,33,0)</f>
        <v>0</v>
      </c>
      <c r="Z15" s="36">
        <f>VLOOKUP($A15,[22]HISTODEC23!$A$6:$BM$36,65,0)</f>
        <v>0</v>
      </c>
      <c r="AA15" s="36"/>
      <c r="AB15" s="36">
        <f>VLOOKUP($A15,[22]HISTODEC23!$A$6:$AU$36,43,0)</f>
        <v>0</v>
      </c>
      <c r="AC15" s="36">
        <f>VLOOKUP($A15,[22]HISTODEC23!$A$6:$AU$36,44,0)</f>
        <v>0</v>
      </c>
      <c r="AD15" s="36">
        <f>VLOOKUP($A15,[22]HISTODEC23!$A$6:$AU$36,47,0)</f>
        <v>0</v>
      </c>
      <c r="AE15" s="36">
        <f>VLOOKUP(A15,[22]HISTODEC23!$A$6:$BB$36,54,0)</f>
        <v>0</v>
      </c>
      <c r="AF15" s="36">
        <f>VLOOKUP($A15,[22]HISTODEC23!$A$6:$CA$36,60,0)</f>
        <v>0</v>
      </c>
      <c r="AG15" s="36">
        <f>VLOOKUP($A15,[22]HISTODEC23!$A$6:$CA$36,61,0)</f>
        <v>0</v>
      </c>
      <c r="AH15" s="36">
        <f>VLOOKUP($A15,[22]HISTODEC23!$A$6:$CA$36,62,0)</f>
        <v>0</v>
      </c>
      <c r="AI15" s="36">
        <f>VLOOKUP($A15,[22]HISTODEC23!$A$6:$CA$36,63,0)</f>
        <v>0</v>
      </c>
      <c r="AJ15" s="36">
        <f>VLOOKUP($A15,[22]HISTODEC23!$A$6:$CA$36,64,0)</f>
        <v>0</v>
      </c>
      <c r="AK15" s="36">
        <f>VLOOKUP($A15,[22]HISTODEC23!$A$6:$CA$36,65,0)</f>
        <v>0</v>
      </c>
      <c r="AL15" s="36">
        <f>VLOOKUP($A15,[20]DETAILFICHECASSATION!$A$6:$R$36,12,0)</f>
        <v>100000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>
        <f>VLOOKUP($A16,[23]FONDSCAISSE!$A$2:$G$33,4,0)</f>
        <v>700000</v>
      </c>
      <c r="D16" s="36">
        <f>VLOOKUP($A16,[20]DETAILFICHECASSATION!$A$6:$R$36,17,0)</f>
        <v>29661.208104101592</v>
      </c>
      <c r="E16" s="36"/>
      <c r="F16" s="36">
        <f t="shared" si="0"/>
        <v>729661.20810410159</v>
      </c>
      <c r="G16" s="5">
        <f t="shared" si="5"/>
        <v>729661.20810410159</v>
      </c>
      <c r="H16" s="36">
        <f t="shared" si="1"/>
        <v>38985.691330378751</v>
      </c>
      <c r="I16" s="6">
        <f t="shared" si="2"/>
        <v>768646.89943448035</v>
      </c>
      <c r="J16" s="36">
        <f>VLOOKUP($A16,[22]HISTODEC23!$A$6:$AQ$40,22,0)</f>
        <v>12000</v>
      </c>
      <c r="K16" s="36">
        <f>VLOOKUP($A16,[22]HISTODEC23!$A$6:$AU$36,45,0)</f>
        <v>50000</v>
      </c>
      <c r="L16" s="36">
        <f t="shared" si="3"/>
        <v>44000</v>
      </c>
      <c r="M16" s="36">
        <f t="shared" si="6"/>
        <v>1000</v>
      </c>
      <c r="N16" s="36">
        <f t="shared" si="4"/>
        <v>1000</v>
      </c>
      <c r="O16" s="36">
        <f t="shared" si="7"/>
        <v>4000</v>
      </c>
      <c r="P16" s="36">
        <f>VLOOKUP($A16,[22]HISTODEC23!$A$6:$AU$36,7,0)</f>
        <v>0</v>
      </c>
      <c r="Q16" s="36">
        <f>VLOOKUP($A16,[22]HISTODEC23!$A$6:$AU$36,23,0)</f>
        <v>0</v>
      </c>
      <c r="R16" s="36">
        <f>VLOOKUP($A16,[22]HISTODEC23!$A$6:$AU$36,46,0)</f>
        <v>0</v>
      </c>
      <c r="S16" s="36">
        <f>VLOOKUP($A16,[22]HISTODEC23!$A$6:$AU$36,26,0)-125000</f>
        <v>238500</v>
      </c>
      <c r="T16" s="36">
        <f>VLOOKUP($A16,[22]HISTODEC23!$A$6:$BG$36,58,0)</f>
        <v>0</v>
      </c>
      <c r="U16" s="36">
        <f>VLOOKUP($A16,[22]HISTODEC23!$A$6:$AU$36,28,0)</f>
        <v>0</v>
      </c>
      <c r="V16" s="36">
        <f>VLOOKUP($A16,[22]HISTODEC23!$A$6:$AU$36,19,0)-125000</f>
        <v>238500</v>
      </c>
      <c r="W16" s="36" t="str">
        <f>VLOOKUP($A16,[22]HISTODEC23!$A$6:$AU$36,20,0)</f>
        <v>BANQUE</v>
      </c>
      <c r="X16" s="36">
        <f>VLOOKUP($A16,[22]HISTODEC23!$A$6:$AU$36,27,0)</f>
        <v>0</v>
      </c>
      <c r="Y16" s="36">
        <f>VLOOKUP($A16,[22]HISTODEC23!$A$6:$BM$36,33,0)</f>
        <v>0</v>
      </c>
      <c r="Z16" s="36">
        <f>VLOOKUP($A16,[22]HISTODEC23!$A$6:$BM$36,65,0)</f>
        <v>0</v>
      </c>
      <c r="AA16" s="36"/>
      <c r="AB16" s="36">
        <f>VLOOKUP($A16,[22]HISTODEC23!$A$6:$AU$36,43,0)</f>
        <v>0</v>
      </c>
      <c r="AC16" s="36">
        <f>VLOOKUP($A16,[22]HISTODEC23!$A$6:$AU$36,44,0)</f>
        <v>0</v>
      </c>
      <c r="AD16" s="36">
        <f>VLOOKUP($A16,[22]HISTODEC23!$A$6:$AU$36,47,0)</f>
        <v>0</v>
      </c>
      <c r="AE16" s="36">
        <f>VLOOKUP(A16,[22]HISTODEC23!$A$6:$BB$36,54,0)</f>
        <v>0</v>
      </c>
      <c r="AF16" s="36">
        <f>VLOOKUP($A16,[22]HISTODEC23!$A$6:$CA$36,60,0)</f>
        <v>0</v>
      </c>
      <c r="AG16" s="36">
        <f>VLOOKUP($A16,[22]HISTODEC23!$A$6:$CA$36,61,0)</f>
        <v>0</v>
      </c>
      <c r="AH16" s="36">
        <f>VLOOKUP($A16,[22]HISTODEC23!$A$6:$CA$36,62,0)</f>
        <v>0</v>
      </c>
      <c r="AI16" s="36">
        <f>VLOOKUP($A16,[22]HISTODEC23!$A$6:$CA$36,63,0)</f>
        <v>0</v>
      </c>
      <c r="AJ16" s="36">
        <f>VLOOKUP($A16,[22]HISTODEC23!$A$6:$CA$36,64,0)</f>
        <v>0</v>
      </c>
      <c r="AK16" s="36">
        <f>VLOOKUP($A16,[22]HISTODEC23!$A$6:$CA$36,65,0)</f>
        <v>0</v>
      </c>
      <c r="AL16" s="36">
        <f>VLOOKUP($A16,[20]DETAILFICHECASSATION!$A$6:$R$36,12,0)</f>
        <v>100000</v>
      </c>
    </row>
    <row r="17" spans="1:38" x14ac:dyDescent="0.35">
      <c r="A17" s="1" t="s">
        <v>33</v>
      </c>
      <c r="B17" s="1" t="str">
        <f>VLOOKUP(A17,[19]LISTADHERENT!A$5:H$60,3,0)</f>
        <v>KOUAMOU MOISE</v>
      </c>
      <c r="C17" s="36">
        <f>VLOOKUP($A17,[23]FONDSCAISSE!$A$2:$G$33,4,0)</f>
        <v>700000</v>
      </c>
      <c r="D17" s="36">
        <f>VLOOKUP($A17,[20]DETAILFICHECASSATION!$A$6:$R$36,17,0)</f>
        <v>9267.5051528789336</v>
      </c>
      <c r="E17" s="36"/>
      <c r="F17" s="36">
        <f t="shared" si="0"/>
        <v>709267.50515287893</v>
      </c>
      <c r="G17" s="5">
        <f t="shared" si="5"/>
        <v>709267.50515287893</v>
      </c>
      <c r="H17" s="36">
        <f t="shared" si="1"/>
        <v>37896.05877281737</v>
      </c>
      <c r="I17" s="6">
        <f t="shared" si="2"/>
        <v>747163.5639256963</v>
      </c>
      <c r="J17" s="36">
        <f>VLOOKUP($A17,[22]HISTODEC23!$A$6:$AQ$40,22,0)</f>
        <v>9000</v>
      </c>
      <c r="K17" s="36">
        <f>VLOOKUP($A17,[22]HISTODEC23!$A$6:$AU$36,45,0)</f>
        <v>15000</v>
      </c>
      <c r="L17" s="36">
        <f t="shared" si="3"/>
        <v>9000</v>
      </c>
      <c r="M17" s="36">
        <f t="shared" si="6"/>
        <v>1000</v>
      </c>
      <c r="N17" s="36">
        <f t="shared" si="4"/>
        <v>1000</v>
      </c>
      <c r="O17" s="36">
        <f t="shared" si="7"/>
        <v>4000</v>
      </c>
      <c r="P17" s="36">
        <f>VLOOKUP($A17,[22]HISTODEC23!$A$6:$AU$36,7,0)</f>
        <v>0</v>
      </c>
      <c r="Q17" s="36">
        <f>VLOOKUP($A17,[22]HISTODEC23!$A$6:$AU$36,23,0)</f>
        <v>0</v>
      </c>
      <c r="R17" s="36">
        <f>VLOOKUP($A17,[22]HISTODEC23!$A$6:$AU$36,46,0)</f>
        <v>0</v>
      </c>
      <c r="S17" s="36">
        <f>VLOOKUP($A17,[22]HISTODEC23!$A$6:$AU$36,26,0)</f>
        <v>0</v>
      </c>
      <c r="T17" s="36">
        <f>VLOOKUP($A17,[22]HISTODEC23!$A$6:$BG$36,58,0)</f>
        <v>0</v>
      </c>
      <c r="U17" s="36">
        <f>VLOOKUP($A17,[22]HISTODEC23!$A$6:$AU$36,28,0)</f>
        <v>0</v>
      </c>
      <c r="V17" s="36">
        <f>VLOOKUP($A17,[22]HISTODEC23!$A$6:$AU$36,19,0)</f>
        <v>1000000</v>
      </c>
      <c r="W17" s="36" t="str">
        <f>VLOOKUP($A17,[22]HISTODEC23!$A$6:$AU$36,20,0)</f>
        <v>BANQUE</v>
      </c>
      <c r="X17" s="36">
        <f>VLOOKUP($A17,[22]HISTODEC23!$A$6:$AU$36,27,0)</f>
        <v>0</v>
      </c>
      <c r="Y17" s="36">
        <f>VLOOKUP($A17,[22]HISTODEC23!$A$6:$BM$36,33,0)</f>
        <v>0</v>
      </c>
      <c r="Z17" s="36">
        <f>VLOOKUP($A17,[22]HISTODEC23!$A$6:$BM$36,65,0)</f>
        <v>0</v>
      </c>
      <c r="AA17" s="36"/>
      <c r="AB17" s="36">
        <f>VLOOKUP($A17,[22]HISTODEC23!$A$6:$AU$36,43,0)</f>
        <v>0</v>
      </c>
      <c r="AC17" s="36">
        <f>VLOOKUP($A17,[22]HISTODEC23!$A$6:$AU$36,44,0)</f>
        <v>0</v>
      </c>
      <c r="AD17" s="36">
        <f>VLOOKUP($A17,[22]HISTODEC23!$A$6:$AU$36,47,0)</f>
        <v>0</v>
      </c>
      <c r="AE17" s="36">
        <f>VLOOKUP(A17,[22]HISTODEC23!$A$6:$BB$36,54,0)</f>
        <v>0</v>
      </c>
      <c r="AF17" s="36">
        <f>VLOOKUP($A17,[22]HISTODEC23!$A$6:$CA$36,60,0)</f>
        <v>0</v>
      </c>
      <c r="AG17" s="36">
        <f>VLOOKUP($A17,[22]HISTODEC23!$A$6:$CA$36,61,0)</f>
        <v>0</v>
      </c>
      <c r="AH17" s="36">
        <f>VLOOKUP($A17,[22]HISTODEC23!$A$6:$CA$36,62,0)</f>
        <v>0</v>
      </c>
      <c r="AI17" s="36">
        <f>VLOOKUP($A17,[22]HISTODEC23!$A$6:$CA$36,63,0)</f>
        <v>0</v>
      </c>
      <c r="AJ17" s="36">
        <f>VLOOKUP($A17,[22]HISTODEC23!$A$6:$CA$36,64,0)</f>
        <v>0</v>
      </c>
      <c r="AK17" s="36">
        <f>VLOOKUP($A17,[22]HISTODEC23!$A$6:$CA$36,65,0)</f>
        <v>0</v>
      </c>
      <c r="AL17" s="36">
        <f>VLOOKUP($A17,[20]DETAILFICHECASSATION!$A$6:$R$36,12,0)</f>
        <v>100000</v>
      </c>
    </row>
    <row r="18" spans="1:38" x14ac:dyDescent="0.35">
      <c r="A18" s="1" t="s">
        <v>35</v>
      </c>
      <c r="B18" s="1" t="str">
        <f>VLOOKUP(A18,[19]LISTADHERENT!A$5:H$60,3,0)</f>
        <v>KOUATCHO MESSACK</v>
      </c>
      <c r="C18" s="36">
        <f>VLOOKUP($A18,[23]FONDSCAISSE!$A$2:$G$33,4,0)</f>
        <v>700000</v>
      </c>
      <c r="D18" s="36">
        <f>VLOOKUP($A18,[20]DETAILFICHECASSATION!$A$6:$R$36,17,0)</f>
        <v>24428.628065245139</v>
      </c>
      <c r="E18" s="36"/>
      <c r="F18" s="36">
        <f t="shared" si="0"/>
        <v>724428.62806524511</v>
      </c>
      <c r="G18" s="5">
        <f t="shared" si="5"/>
        <v>724428.62806524511</v>
      </c>
      <c r="H18" s="36">
        <f t="shared" si="1"/>
        <v>38706.115346359526</v>
      </c>
      <c r="I18" s="6">
        <f t="shared" si="2"/>
        <v>763134.74341160466</v>
      </c>
      <c r="J18" s="36">
        <f>VLOOKUP($A18,[22]HISTODEC23!$A$6:$AQ$40,22,0)</f>
        <v>3000</v>
      </c>
      <c r="K18" s="36">
        <f>VLOOKUP($A18,[22]HISTODEC23!$A$6:$AU$36,45,0)</f>
        <v>15000</v>
      </c>
      <c r="L18" s="36">
        <f t="shared" si="3"/>
        <v>9000</v>
      </c>
      <c r="M18" s="36">
        <f t="shared" si="6"/>
        <v>1000</v>
      </c>
      <c r="N18" s="36">
        <f t="shared" si="4"/>
        <v>1000</v>
      </c>
      <c r="O18" s="36">
        <f t="shared" si="7"/>
        <v>4000</v>
      </c>
      <c r="P18" s="36">
        <f>VLOOKUP($A18,[22]HISTODEC23!$A$6:$AU$36,7,0)</f>
        <v>0</v>
      </c>
      <c r="Q18" s="36">
        <f>VLOOKUP($A18,[22]HISTODEC23!$A$6:$AU$36,23,0)</f>
        <v>0</v>
      </c>
      <c r="R18" s="36">
        <f>VLOOKUP($A18,[22]HISTODEC23!$A$6:$AU$36,46,0)</f>
        <v>0</v>
      </c>
      <c r="S18" s="36">
        <f>VLOOKUP($A18,[22]HISTODEC23!$A$6:$AU$36,26,0)</f>
        <v>1000000</v>
      </c>
      <c r="T18" s="36">
        <f>VLOOKUP($A18,[22]HISTODEC23!$A$6:$BG$36,58,0)</f>
        <v>50000</v>
      </c>
      <c r="U18" s="36">
        <f>VLOOKUP($A18,[22]HISTODEC23!$A$6:$AU$36,28,0)</f>
        <v>0</v>
      </c>
      <c r="V18" s="36">
        <f>VLOOKUP($A18,[22]HISTODEC23!$A$6:$AU$36,19,0)</f>
        <v>1000000</v>
      </c>
      <c r="W18" s="36" t="str">
        <f>VLOOKUP($A18,[22]HISTODEC23!$A$6:$AU$36,20,0)</f>
        <v>BANQUE</v>
      </c>
      <c r="X18" s="36" t="str">
        <f>VLOOKUP($A18,[22]HISTODEC23!$A$6:$AU$36,27,0)</f>
        <v>BANQUE</v>
      </c>
      <c r="Y18" s="36">
        <f>VLOOKUP($A18,[22]HISTODEC23!$A$6:$BM$36,33,0)</f>
        <v>0</v>
      </c>
      <c r="Z18" s="36">
        <f>VLOOKUP($A18,[22]HISTODEC23!$A$6:$BM$36,65,0)</f>
        <v>0</v>
      </c>
      <c r="AA18" s="36"/>
      <c r="AB18" s="36">
        <f>VLOOKUP($A18,[22]HISTODEC23!$A$6:$AU$36,43,0)</f>
        <v>0</v>
      </c>
      <c r="AC18" s="36">
        <f>VLOOKUP($A18,[22]HISTODEC23!$A$6:$AU$36,44,0)</f>
        <v>0</v>
      </c>
      <c r="AD18" s="36">
        <f>VLOOKUP($A18,[22]HISTODEC23!$A$6:$AU$36,47,0)</f>
        <v>0</v>
      </c>
      <c r="AE18" s="36">
        <f>VLOOKUP(A18,[22]HISTODEC23!$A$6:$BB$36,54,0)</f>
        <v>0</v>
      </c>
      <c r="AF18" s="36">
        <f>VLOOKUP($A18,[22]HISTODEC23!$A$6:$CA$36,60,0)</f>
        <v>0</v>
      </c>
      <c r="AG18" s="36">
        <f>VLOOKUP($A18,[22]HISTODEC23!$A$6:$CA$36,61,0)</f>
        <v>0</v>
      </c>
      <c r="AH18" s="36">
        <f>VLOOKUP($A18,[22]HISTODEC23!$A$6:$CA$36,62,0)</f>
        <v>0</v>
      </c>
      <c r="AI18" s="36">
        <f>VLOOKUP($A18,[22]HISTODEC23!$A$6:$CA$36,63,0)</f>
        <v>0</v>
      </c>
      <c r="AJ18" s="36">
        <f>VLOOKUP($A18,[22]HISTODEC23!$A$6:$CA$36,64,0)</f>
        <v>0</v>
      </c>
      <c r="AK18" s="36">
        <f>VLOOKUP($A18,[22]HISTODEC23!$A$6:$CA$36,65,0)</f>
        <v>0</v>
      </c>
      <c r="AL18" s="36">
        <f>VLOOKUP($A18,[20]DETAILFICHECASSATION!$A$6:$R$36,12,0)</f>
        <v>100000</v>
      </c>
    </row>
    <row r="19" spans="1:38" x14ac:dyDescent="0.35">
      <c r="A19" s="1" t="s">
        <v>36</v>
      </c>
      <c r="B19" s="1" t="str">
        <f>VLOOKUP(A19,[19]LISTADHERENT!A$5:H$60,3,0)</f>
        <v>LOWE JEAN</v>
      </c>
      <c r="C19" s="36"/>
      <c r="D19" s="36">
        <v>676217</v>
      </c>
      <c r="E19" s="36"/>
      <c r="F19" s="36">
        <f t="shared" si="0"/>
        <v>676217</v>
      </c>
      <c r="G19" s="5">
        <f t="shared" si="5"/>
        <v>0</v>
      </c>
      <c r="H19" s="36">
        <f t="shared" si="1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</row>
    <row r="20" spans="1:38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/>
      <c r="F20" s="36">
        <f t="shared" si="0"/>
        <v>0</v>
      </c>
      <c r="G20" s="5">
        <f t="shared" si="5"/>
        <v>0</v>
      </c>
      <c r="H20" s="36">
        <f t="shared" si="1"/>
        <v>0</v>
      </c>
      <c r="I20" s="6">
        <f t="shared" si="2"/>
        <v>0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x14ac:dyDescent="0.35">
      <c r="A21" s="1" t="s">
        <v>75</v>
      </c>
      <c r="B21" s="1" t="str">
        <f>VLOOKUP(A21,[19]LISTADHERENT!A$5:H$60,3,0)</f>
        <v>MBOGNING TUGMA GUY</v>
      </c>
      <c r="C21" s="36">
        <f>VLOOKUP($A21,[23]FONDSCAISSE!$A$2:$G$33,4,0)</f>
        <v>700000</v>
      </c>
      <c r="D21" s="36">
        <f>VLOOKUP($A21,[20]DETAILFICHECASSATION!$A$6:$R$36,17,0)</f>
        <v>31709.397241182596</v>
      </c>
      <c r="E21" s="36"/>
      <c r="F21" s="36">
        <f t="shared" si="0"/>
        <v>731709.39724118263</v>
      </c>
      <c r="G21" s="5">
        <f t="shared" si="5"/>
        <v>731709.39724118263</v>
      </c>
      <c r="H21" s="36">
        <f t="shared" si="1"/>
        <v>39095.1257755673</v>
      </c>
      <c r="I21" s="6">
        <f t="shared" si="2"/>
        <v>770804.52301674988</v>
      </c>
      <c r="J21" s="36">
        <f>VLOOKUP($A21,[22]HISTODEC23!$A$6:$AQ$40,22,0)</f>
        <v>0</v>
      </c>
      <c r="K21" s="36">
        <f>VLOOKUP($A21,[22]HISTODEC23!$A$6:$AU$36,45,0)</f>
        <v>15000</v>
      </c>
      <c r="L21" s="36">
        <f t="shared" si="3"/>
        <v>9000</v>
      </c>
      <c r="M21" s="36">
        <f t="shared" si="6"/>
        <v>1000</v>
      </c>
      <c r="N21" s="36">
        <f t="shared" si="4"/>
        <v>1000</v>
      </c>
      <c r="O21" s="36">
        <f t="shared" si="7"/>
        <v>4000</v>
      </c>
      <c r="P21" s="36">
        <f>VLOOKUP($A21,[22]HISTODEC23!$A$6:$AU$36,7,0)</f>
        <v>0</v>
      </c>
      <c r="Q21" s="36">
        <f>VLOOKUP($A21,[22]HISTODEC23!$A$6:$AU$36,23,0)</f>
        <v>0</v>
      </c>
      <c r="R21" s="36">
        <f>VLOOKUP($A21,[22]HISTODEC23!$A$6:$AU$36,46,0)</f>
        <v>0</v>
      </c>
      <c r="S21" s="36">
        <f>VLOOKUP($A21,[22]HISTODEC23!$A$6:$AU$36,26,0)</f>
        <v>1000000</v>
      </c>
      <c r="T21" s="36">
        <f>VLOOKUP($A21,[22]HISTODEC23!$A$6:$BG$36,58,0)</f>
        <v>60000</v>
      </c>
      <c r="U21" s="36">
        <f>VLOOKUP($A21,[22]HISTODEC23!$A$6:$AU$36,28,0)</f>
        <v>0</v>
      </c>
      <c r="V21" s="36">
        <f>VLOOKUP($A21,[22]HISTODEC23!$A$6:$AU$36,19,0)</f>
        <v>1000000</v>
      </c>
      <c r="W21" s="36" t="str">
        <f>VLOOKUP($A21,[22]HISTODEC23!$A$6:$AU$36,20,0)</f>
        <v>BANQUE</v>
      </c>
      <c r="X21" s="36" t="str">
        <f>VLOOKUP($A21,[22]HISTODEC23!$A$6:$AU$36,27,0)</f>
        <v>BANQUE</v>
      </c>
      <c r="Y21" s="36">
        <f>VLOOKUP($A21,[22]HISTODEC23!$A$6:$BM$36,33,0)</f>
        <v>0</v>
      </c>
      <c r="Z21" s="36">
        <f>VLOOKUP($A21,[22]HISTODEC23!$A$6:$BM$36,65,0)</f>
        <v>0</v>
      </c>
      <c r="AA21" s="36"/>
      <c r="AB21" s="36">
        <f>VLOOKUP($A21,[22]HISTODEC23!$A$6:$AU$36,43,0)</f>
        <v>0</v>
      </c>
      <c r="AC21" s="36">
        <f>VLOOKUP($A21,[22]HISTODEC23!$A$6:$AU$36,44,0)</f>
        <v>0</v>
      </c>
      <c r="AD21" s="36">
        <f>VLOOKUP($A21,[22]HISTODEC23!$A$6:$AU$36,47,0)</f>
        <v>0</v>
      </c>
      <c r="AE21" s="36">
        <f>VLOOKUP(A21,[22]HISTODEC23!$A$6:$BB$36,54,0)</f>
        <v>0</v>
      </c>
      <c r="AF21" s="36">
        <f>VLOOKUP($A21,[22]HISTODEC23!$A$6:$CA$36,60,0)</f>
        <v>0</v>
      </c>
      <c r="AG21" s="36">
        <f>VLOOKUP($A21,[22]HISTODEC23!$A$6:$CA$36,61,0)</f>
        <v>0</v>
      </c>
      <c r="AH21" s="36">
        <f>VLOOKUP($A21,[22]HISTODEC23!$A$6:$CA$36,62,0)</f>
        <v>0</v>
      </c>
      <c r="AI21" s="36">
        <f>VLOOKUP($A21,[22]HISTODEC23!$A$6:$CA$36,63,0)</f>
        <v>0</v>
      </c>
      <c r="AJ21" s="36">
        <f>VLOOKUP($A21,[22]HISTODEC23!$A$6:$CA$36,64,0)</f>
        <v>0</v>
      </c>
      <c r="AK21" s="36">
        <f>VLOOKUP($A21,[22]HISTODEC23!$A$6:$CA$36,65,0)</f>
        <v>0</v>
      </c>
      <c r="AL21" s="36">
        <f>VLOOKUP($A21,[20]DETAILFICHECASSATION!$A$6:$R$36,12,0)</f>
        <v>100000</v>
      </c>
    </row>
    <row r="22" spans="1:38" x14ac:dyDescent="0.35">
      <c r="A22" s="1" t="s">
        <v>50</v>
      </c>
      <c r="B22" s="1" t="str">
        <f>VLOOKUP(A22,[19]LISTADHERENT!A$5:H$60,3,0)</f>
        <v>NANGUEN MARTIN</v>
      </c>
      <c r="C22" s="36">
        <f>VLOOKUP($A22,[23]FONDSCAISSE!$A$2:$G$33,4,0)</f>
        <v>700000</v>
      </c>
      <c r="D22" s="36">
        <f>VLOOKUP($A22,[20]DETAILFICHECASSATION!$A$6:$R$36,17,0)</f>
        <v>1150.3620808817795</v>
      </c>
      <c r="E22" s="36"/>
      <c r="F22" s="36">
        <f t="shared" si="0"/>
        <v>701150.36208088184</v>
      </c>
      <c r="G22" s="5">
        <f t="shared" si="5"/>
        <v>701150.36208088184</v>
      </c>
      <c r="H22" s="36">
        <f t="shared" si="1"/>
        <v>37462.361009013192</v>
      </c>
      <c r="I22" s="6">
        <f t="shared" si="2"/>
        <v>738612.72308989498</v>
      </c>
      <c r="J22" s="36">
        <f>VLOOKUP($A22,[22]HISTODEC23!$A$6:$AQ$40,22,0)</f>
        <v>0</v>
      </c>
      <c r="K22" s="36">
        <f>VLOOKUP($A22,[22]HISTODEC23!$A$6:$AU$36,45,0)</f>
        <v>15000</v>
      </c>
      <c r="L22" s="36">
        <f t="shared" si="3"/>
        <v>9000</v>
      </c>
      <c r="M22" s="36">
        <f t="shared" si="6"/>
        <v>1000</v>
      </c>
      <c r="N22" s="36">
        <f t="shared" si="4"/>
        <v>1000</v>
      </c>
      <c r="O22" s="36">
        <f t="shared" si="7"/>
        <v>4000</v>
      </c>
      <c r="P22" s="36">
        <f>VLOOKUP($A22,[22]HISTODEC23!$A$6:$AU$36,7,0)</f>
        <v>0</v>
      </c>
      <c r="Q22" s="36">
        <f>VLOOKUP($A22,[22]HISTODEC23!$A$6:$AU$36,23,0)</f>
        <v>0</v>
      </c>
      <c r="R22" s="36">
        <f>VLOOKUP($A22,[22]HISTODEC23!$A$6:$AU$36,46,0)</f>
        <v>0</v>
      </c>
      <c r="S22" s="36">
        <f>VLOOKUP($A22,[22]HISTODEC23!$A$6:$AU$36,26,0)</f>
        <v>300000</v>
      </c>
      <c r="T22" s="36">
        <f>VLOOKUP($A22,[22]HISTODEC23!$A$6:$BG$36,58,0)</f>
        <v>18000</v>
      </c>
      <c r="U22" s="36">
        <f>VLOOKUP($A22,[22]HISTODEC23!$A$6:$AU$36,28,0)</f>
        <v>0</v>
      </c>
      <c r="V22" s="36">
        <f>VLOOKUP($A22,[22]HISTODEC23!$A$6:$AU$36,19,0)</f>
        <v>500000</v>
      </c>
      <c r="W22" s="36" t="str">
        <f>VLOOKUP($A22,[22]HISTODEC23!$A$6:$AU$36,20,0)</f>
        <v>BANQUE</v>
      </c>
      <c r="X22" s="36" t="str">
        <f>VLOOKUP($A22,[22]HISTODEC23!$A$6:$AU$36,27,0)</f>
        <v>BANQUE</v>
      </c>
      <c r="Y22" s="36">
        <f>VLOOKUP($A22,[22]HISTODEC23!$A$6:$BM$36,33,0)</f>
        <v>0</v>
      </c>
      <c r="Z22" s="36">
        <f>VLOOKUP($A22,[22]HISTODEC23!$A$6:$BM$36,65,0)</f>
        <v>0</v>
      </c>
      <c r="AA22" s="36"/>
      <c r="AB22" s="36">
        <f>VLOOKUP($A22,[22]HISTODEC23!$A$6:$AU$36,43,0)</f>
        <v>0</v>
      </c>
      <c r="AC22" s="36">
        <f>VLOOKUP($A22,[22]HISTODEC23!$A$6:$AU$36,44,0)</f>
        <v>0</v>
      </c>
      <c r="AD22" s="36">
        <f>VLOOKUP($A22,[22]HISTODEC23!$A$6:$AU$36,47,0)</f>
        <v>0</v>
      </c>
      <c r="AE22" s="36">
        <f>VLOOKUP(A22,[22]HISTODEC23!$A$6:$BB$36,54,0)</f>
        <v>0</v>
      </c>
      <c r="AF22" s="36">
        <f>VLOOKUP($A22,[22]HISTODEC23!$A$6:$CA$36,60,0)</f>
        <v>0</v>
      </c>
      <c r="AG22" s="36">
        <f>VLOOKUP($A22,[22]HISTODEC23!$A$6:$CA$36,61,0)</f>
        <v>0</v>
      </c>
      <c r="AH22" s="36">
        <f>VLOOKUP($A22,[22]HISTODEC23!$A$6:$CA$36,62,0)</f>
        <v>0</v>
      </c>
      <c r="AI22" s="36">
        <f>VLOOKUP($A22,[22]HISTODEC23!$A$6:$CA$36,63,0)</f>
        <v>0</v>
      </c>
      <c r="AJ22" s="36">
        <f>VLOOKUP($A22,[22]HISTODEC23!$A$6:$CA$36,64,0)</f>
        <v>0</v>
      </c>
      <c r="AK22" s="36">
        <f>VLOOKUP($A22,[22]HISTODEC23!$A$6:$CA$36,65,0)</f>
        <v>0</v>
      </c>
      <c r="AL22" s="36">
        <f>VLOOKUP($A22,[20]DETAILFICHECASSATION!$A$6:$R$36,12,0)</f>
        <v>100000</v>
      </c>
    </row>
    <row r="23" spans="1:38" x14ac:dyDescent="0.35">
      <c r="A23" s="1" t="s">
        <v>37</v>
      </c>
      <c r="B23" s="1" t="str">
        <f>VLOOKUP(A23,[19]LISTADHERENT!A$5:H$60,3,0)</f>
        <v>NANKAM APPOLINAIRE</v>
      </c>
      <c r="C23" s="36">
        <f>VLOOKUP($A23,[23]FONDSCAISSE!$A$2:$G$33,4,0)</f>
        <v>700000</v>
      </c>
      <c r="D23" s="36">
        <f>VLOOKUP($A23,[20]DETAILFICHECASSATION!$A$6:$R$36,17,0)</f>
        <v>100402.23439018801</v>
      </c>
      <c r="E23" s="36"/>
      <c r="F23" s="36">
        <f t="shared" si="0"/>
        <v>800402.23439018801</v>
      </c>
      <c r="G23" s="5">
        <f t="shared" si="5"/>
        <v>800402.23439018801</v>
      </c>
      <c r="H23" s="36">
        <f t="shared" si="1"/>
        <v>42765.373989334228</v>
      </c>
      <c r="I23" s="6">
        <f t="shared" si="2"/>
        <v>843167.60837952222</v>
      </c>
      <c r="J23" s="36">
        <f>VLOOKUP($A23,[22]HISTODEC23!$A$6:$AQ$40,22,0)</f>
        <v>20000</v>
      </c>
      <c r="K23" s="36">
        <f>VLOOKUP($A23,[22]HISTODEC23!$A$6:$AU$36,45,0)</f>
        <v>15000</v>
      </c>
      <c r="L23" s="36">
        <f t="shared" si="3"/>
        <v>9000</v>
      </c>
      <c r="M23" s="36">
        <f t="shared" si="6"/>
        <v>1000</v>
      </c>
      <c r="N23" s="36">
        <f t="shared" si="4"/>
        <v>1000</v>
      </c>
      <c r="O23" s="36">
        <f t="shared" si="7"/>
        <v>4000</v>
      </c>
      <c r="P23" s="36">
        <f>VLOOKUP($A23,[22]HISTODEC23!$A$6:$AU$36,7,0)</f>
        <v>0</v>
      </c>
      <c r="Q23" s="36">
        <f>VLOOKUP($A23,[22]HISTODEC23!$A$6:$AU$36,23,0)</f>
        <v>0</v>
      </c>
      <c r="R23" s="36">
        <f>VLOOKUP($A23,[22]HISTODEC23!$A$6:$AU$36,46,0)</f>
        <v>0</v>
      </c>
      <c r="S23" s="36">
        <f>VLOOKUP($A23,[22]HISTODEC23!$A$6:$AU$36,26,0)</f>
        <v>1000000</v>
      </c>
      <c r="T23" s="36">
        <f>VLOOKUP($A23,[22]HISTODEC23!$A$6:$BG$36,58,0)</f>
        <v>120000</v>
      </c>
      <c r="U23" s="36">
        <f>VLOOKUP($A23,[22]HISTODEC23!$A$6:$AU$36,28,0)</f>
        <v>0</v>
      </c>
      <c r="V23" s="36">
        <f>VLOOKUP($A23,[22]HISTODEC23!$A$6:$AU$36,19,0)</f>
        <v>107500</v>
      </c>
      <c r="W23" s="36" t="str">
        <f>VLOOKUP($A23,[22]HISTODEC23!$A$6:$AU$36,20,0)</f>
        <v>BANQUE</v>
      </c>
      <c r="X23" s="36" t="str">
        <f>VLOOKUP($A23,[22]HISTODEC23!$A$6:$AU$36,27,0)</f>
        <v>BANQUE</v>
      </c>
      <c r="Y23" s="36">
        <f>VLOOKUP($A23,[22]HISTODEC23!$A$6:$BM$36,33,0)</f>
        <v>0</v>
      </c>
      <c r="Z23" s="36">
        <f>VLOOKUP($A23,[22]HISTODEC23!$A$6:$BM$36,65,0)</f>
        <v>0</v>
      </c>
      <c r="AA23" s="36"/>
      <c r="AB23" s="36">
        <f>VLOOKUP($A23,[22]HISTODEC23!$A$6:$AU$36,43,0)</f>
        <v>0</v>
      </c>
      <c r="AC23" s="36">
        <f>VLOOKUP($A23,[22]HISTODEC23!$A$6:$AU$36,44,0)</f>
        <v>0</v>
      </c>
      <c r="AD23" s="36">
        <f>VLOOKUP($A23,[22]HISTODEC23!$A$6:$AU$36,47,0)</f>
        <v>0</v>
      </c>
      <c r="AE23" s="36">
        <f>VLOOKUP(A23,[22]HISTODEC23!$A$6:$BB$36,54,0)</f>
        <v>0</v>
      </c>
      <c r="AF23" s="36">
        <f>VLOOKUP($A23,[22]HISTODEC23!$A$6:$CA$36,60,0)</f>
        <v>0</v>
      </c>
      <c r="AG23" s="36">
        <f>VLOOKUP($A23,[22]HISTODEC23!$A$6:$CA$36,61,0)</f>
        <v>0</v>
      </c>
      <c r="AH23" s="36">
        <f>VLOOKUP($A23,[22]HISTODEC23!$A$6:$CA$36,62,0)</f>
        <v>0</v>
      </c>
      <c r="AI23" s="36">
        <f>VLOOKUP($A23,[22]HISTODEC23!$A$6:$CA$36,63,0)</f>
        <v>0</v>
      </c>
      <c r="AJ23" s="36">
        <f>VLOOKUP($A23,[22]HISTODEC23!$A$6:$CA$36,64,0)</f>
        <v>0</v>
      </c>
      <c r="AK23" s="36">
        <f>VLOOKUP($A23,[22]HISTODEC23!$A$6:$CA$36,65,0)</f>
        <v>0</v>
      </c>
      <c r="AL23" s="36">
        <f>VLOOKUP($A23,[20]DETAILFICHECASSATION!$A$6:$R$36,12,0)</f>
        <v>100000</v>
      </c>
    </row>
    <row r="24" spans="1:38" x14ac:dyDescent="0.35">
      <c r="A24" s="1" t="s">
        <v>38</v>
      </c>
      <c r="B24" s="1" t="str">
        <f>VLOOKUP(A24,[19]LISTADHERENT!A$5:H$60,3,0)</f>
        <v>NDJOMO ETIENNE</v>
      </c>
      <c r="C24" s="36">
        <f>VLOOKUP($A24,[23]FONDSCAISSE!$A$2:$G$33,4,0)</f>
        <v>700000</v>
      </c>
      <c r="D24" s="36">
        <f>VLOOKUP($A24,[20]DETAILFICHECASSATION!$A$6:$R$36,17,0)</f>
        <v>224970.61781197961</v>
      </c>
      <c r="E24" s="36"/>
      <c r="F24" s="36">
        <f t="shared" si="0"/>
        <v>924970.61781197961</v>
      </c>
      <c r="G24" s="5">
        <f t="shared" si="5"/>
        <v>924970.61781197961</v>
      </c>
      <c r="H24" s="36">
        <f t="shared" si="1"/>
        <v>49421.044445249943</v>
      </c>
      <c r="I24" s="6">
        <f t="shared" si="2"/>
        <v>974391.66225722956</v>
      </c>
      <c r="J24" s="36">
        <f>VLOOKUP($A24,[22]HISTODEC23!$A$6:$AQ$40,22,0)</f>
        <v>0</v>
      </c>
      <c r="K24" s="36">
        <f>VLOOKUP($A24,[22]HISTODEC23!$A$6:$AU$36,45,0)</f>
        <v>25000</v>
      </c>
      <c r="L24" s="36">
        <f t="shared" si="3"/>
        <v>19000</v>
      </c>
      <c r="M24" s="36">
        <f t="shared" si="6"/>
        <v>1000</v>
      </c>
      <c r="N24" s="36">
        <f t="shared" si="4"/>
        <v>1000</v>
      </c>
      <c r="O24" s="36">
        <f t="shared" si="7"/>
        <v>4000</v>
      </c>
      <c r="P24" s="36">
        <f>VLOOKUP($A24,[22]HISTODEC23!$A$6:$AU$36,7,0)</f>
        <v>0</v>
      </c>
      <c r="Q24" s="36">
        <f>VLOOKUP($A24,[22]HISTODEC23!$A$6:$AU$36,23,0)</f>
        <v>0</v>
      </c>
      <c r="R24" s="36">
        <f>VLOOKUP($A24,[22]HISTODEC23!$A$6:$AU$36,46,0)</f>
        <v>0</v>
      </c>
      <c r="S24" s="36">
        <f>VLOOKUP($A24,[22]HISTODEC23!$A$6:$AU$36,26,0)</f>
        <v>500000</v>
      </c>
      <c r="T24" s="36">
        <f>VLOOKUP($A24,[22]HISTODEC23!$A$6:$BG$36,58,0)</f>
        <v>30000</v>
      </c>
      <c r="U24" s="36">
        <f>VLOOKUP($A24,[22]HISTODEC23!$A$6:$AU$36,28,0)</f>
        <v>0</v>
      </c>
      <c r="V24" s="36">
        <f>VLOOKUP($A24,[22]HISTODEC23!$A$6:$AU$36,19,0)</f>
        <v>600000</v>
      </c>
      <c r="W24" s="36" t="str">
        <f>VLOOKUP($A24,[22]HISTODEC23!$A$6:$AU$36,20,0)</f>
        <v>BANQUE</v>
      </c>
      <c r="X24" s="36" t="str">
        <f>VLOOKUP($A24,[22]HISTODEC23!$A$6:$AU$36,27,0)</f>
        <v>BANQUE</v>
      </c>
      <c r="Y24" s="36">
        <f>VLOOKUP($A24,[22]HISTODEC23!$A$6:$BM$36,33,0)</f>
        <v>0</v>
      </c>
      <c r="Z24" s="36">
        <f>VLOOKUP($A24,[22]HISTODEC23!$A$6:$BM$36,65,0)</f>
        <v>0</v>
      </c>
      <c r="AA24" s="36"/>
      <c r="AB24" s="36">
        <f>VLOOKUP($A24,[22]HISTODEC23!$A$6:$AU$36,43,0)</f>
        <v>0</v>
      </c>
      <c r="AC24" s="36">
        <f>VLOOKUP($A24,[22]HISTODEC23!$A$6:$AU$36,44,0)</f>
        <v>0</v>
      </c>
      <c r="AD24" s="36">
        <f>VLOOKUP($A24,[22]HISTODEC23!$A$6:$AU$36,47,0)</f>
        <v>0</v>
      </c>
      <c r="AE24" s="36">
        <f>VLOOKUP(A24,[22]HISTODEC23!$A$6:$BB$36,54,0)</f>
        <v>0</v>
      </c>
      <c r="AF24" s="36">
        <f>VLOOKUP($A24,[22]HISTODEC23!$A$6:$CA$36,60,0)</f>
        <v>0</v>
      </c>
      <c r="AG24" s="36">
        <f>VLOOKUP($A24,[22]HISTODEC23!$A$6:$CA$36,61,0)</f>
        <v>0</v>
      </c>
      <c r="AH24" s="36">
        <f>VLOOKUP($A24,[22]HISTODEC23!$A$6:$CA$36,62,0)</f>
        <v>0</v>
      </c>
      <c r="AI24" s="36">
        <f>VLOOKUP($A24,[22]HISTODEC23!$A$6:$CA$36,63,0)</f>
        <v>0</v>
      </c>
      <c r="AJ24" s="36">
        <f>VLOOKUP($A24,[22]HISTODEC23!$A$6:$CA$36,64,0)</f>
        <v>0</v>
      </c>
      <c r="AK24" s="36">
        <f>VLOOKUP($A24,[22]HISTODEC23!$A$6:$CA$36,65,0)</f>
        <v>0</v>
      </c>
      <c r="AL24" s="36">
        <f>VLOOKUP($A24,[20]DETAILFICHECASSATION!$A$6:$R$36,12,0)</f>
        <v>100000</v>
      </c>
    </row>
    <row r="25" spans="1:38" x14ac:dyDescent="0.35">
      <c r="A25" s="1" t="s">
        <v>39</v>
      </c>
      <c r="B25" s="1" t="str">
        <f>VLOOKUP(A25,[19]LISTADHERENT!A$5:H$60,3,0)</f>
        <v>NGONDIEP CLAUDE</v>
      </c>
      <c r="C25" s="36">
        <f>VLOOKUP($A25,[23]FONDSCAISSE!$A$2:$G$33,4,0)</f>
        <v>700000</v>
      </c>
      <c r="D25" s="36">
        <f>VLOOKUP($A25,[20]DETAILFICHECASSATION!$A$6:$R$36,17,0)</f>
        <v>57632.732271146844</v>
      </c>
      <c r="E25" s="36"/>
      <c r="F25" s="36">
        <f t="shared" si="0"/>
        <v>757632.73227114684</v>
      </c>
      <c r="G25" s="5">
        <f t="shared" si="5"/>
        <v>757632.73227114684</v>
      </c>
      <c r="H25" s="36">
        <f t="shared" si="1"/>
        <v>40480.205764070663</v>
      </c>
      <c r="I25" s="6">
        <f t="shared" si="2"/>
        <v>798112.93803521746</v>
      </c>
      <c r="J25" s="36">
        <f>VLOOKUP($A25,[22]HISTODEC23!$A$6:$AQ$40,22,0)</f>
        <v>15000</v>
      </c>
      <c r="K25" s="36">
        <f>VLOOKUP($A25,[22]HISTODEC23!$A$6:$AU$36,45,0)</f>
        <v>15000</v>
      </c>
      <c r="L25" s="36">
        <f t="shared" si="3"/>
        <v>9000</v>
      </c>
      <c r="M25" s="36">
        <f t="shared" si="6"/>
        <v>1000</v>
      </c>
      <c r="N25" s="36">
        <f t="shared" si="4"/>
        <v>1000</v>
      </c>
      <c r="O25" s="36">
        <f t="shared" si="7"/>
        <v>4000</v>
      </c>
      <c r="P25" s="36">
        <f>VLOOKUP($A25,[22]HISTODEC23!$A$6:$AU$36,7,0)</f>
        <v>0</v>
      </c>
      <c r="Q25" s="36">
        <f>VLOOKUP($A25,[22]HISTODEC23!$A$6:$AU$36,23,0)</f>
        <v>0</v>
      </c>
      <c r="R25" s="36">
        <f>VLOOKUP($A25,[22]HISTODEC23!$A$6:$AU$36,46,0)</f>
        <v>0</v>
      </c>
      <c r="S25" s="36">
        <f>VLOOKUP($A25,[22]HISTODEC23!$A$6:$AU$36,26,0)</f>
        <v>1000000</v>
      </c>
      <c r="T25" s="36">
        <f>VLOOKUP($A25,[22]HISTODEC23!$A$6:$BG$36,58,0)</f>
        <v>120000</v>
      </c>
      <c r="U25" s="36">
        <f>VLOOKUP($A25,[22]HISTODEC23!$A$6:$AU$36,28,0)</f>
        <v>0</v>
      </c>
      <c r="V25" s="36">
        <f>VLOOKUP($A25,[22]HISTODEC23!$A$6:$AU$36,19,0)</f>
        <v>1000000</v>
      </c>
      <c r="W25" s="36" t="str">
        <f>VLOOKUP($A25,[22]HISTODEC23!$A$6:$AU$36,20,0)</f>
        <v>BANQUE</v>
      </c>
      <c r="X25" s="36" t="str">
        <f>VLOOKUP($A25,[22]HISTODEC23!$A$6:$AU$36,27,0)</f>
        <v>BANQUE</v>
      </c>
      <c r="Y25" s="36">
        <f>VLOOKUP($A25,[22]HISTODEC23!$A$6:$BM$36,33,0)</f>
        <v>0</v>
      </c>
      <c r="Z25" s="36">
        <f>VLOOKUP($A25,[22]HISTODEC23!$A$6:$BM$36,65,0)</f>
        <v>0</v>
      </c>
      <c r="AA25" s="36"/>
      <c r="AB25" s="36">
        <f>VLOOKUP($A25,[22]HISTODEC23!$A$6:$AU$36,43,0)</f>
        <v>0</v>
      </c>
      <c r="AC25" s="36">
        <f>VLOOKUP($A25,[22]HISTODEC23!$A$6:$AU$36,44,0)</f>
        <v>0</v>
      </c>
      <c r="AD25" s="36">
        <f>VLOOKUP($A25,[22]HISTODEC23!$A$6:$AU$36,47,0)</f>
        <v>0</v>
      </c>
      <c r="AE25" s="36">
        <f>VLOOKUP(A25,[22]HISTODEC23!$A$6:$BB$36,54,0)</f>
        <v>0</v>
      </c>
      <c r="AF25" s="36">
        <f>VLOOKUP($A25,[22]HISTODEC23!$A$6:$CA$36,60,0)</f>
        <v>0</v>
      </c>
      <c r="AG25" s="36">
        <f>VLOOKUP($A25,[22]HISTODEC23!$A$6:$CA$36,61,0)</f>
        <v>0</v>
      </c>
      <c r="AH25" s="36">
        <f>VLOOKUP($A25,[22]HISTODEC23!$A$6:$CA$36,62,0)</f>
        <v>0</v>
      </c>
      <c r="AI25" s="36">
        <f>VLOOKUP($A25,[22]HISTODEC23!$A$6:$CA$36,63,0)</f>
        <v>0</v>
      </c>
      <c r="AJ25" s="36">
        <f>VLOOKUP($A25,[22]HISTODEC23!$A$6:$CA$36,64,0)</f>
        <v>0</v>
      </c>
      <c r="AK25" s="36">
        <f>VLOOKUP($A25,[22]HISTODEC23!$A$6:$CA$36,65,0)</f>
        <v>0</v>
      </c>
      <c r="AL25" s="36">
        <f>VLOOKUP($A25,[20]DETAILFICHECASSATION!$A$6:$R$36,12,0)</f>
        <v>100000</v>
      </c>
    </row>
    <row r="26" spans="1:38" x14ac:dyDescent="0.35">
      <c r="A26" s="1" t="s">
        <v>41</v>
      </c>
      <c r="B26" s="1" t="str">
        <f>VLOOKUP(A26,[19]LISTADHERENT!A$5:H$60,3,0)</f>
        <v>NGUIEMEGNI MATHIEU BLAISE</v>
      </c>
      <c r="C26" s="36">
        <f>VLOOKUP($A26,[23]FONDSCAISSE!$A$2:$G$33,4,0)</f>
        <v>700000</v>
      </c>
      <c r="D26" s="36">
        <f>VLOOKUP($A26,[20]DETAILFICHECASSATION!$A$6:$R$36,17,0)</f>
        <v>20382.784231808502</v>
      </c>
      <c r="E26" s="36"/>
      <c r="F26" s="36">
        <f t="shared" si="0"/>
        <v>720382.7842318085</v>
      </c>
      <c r="G26" s="5">
        <f t="shared" si="5"/>
        <v>720382.7842318085</v>
      </c>
      <c r="H26" s="36">
        <f t="shared" si="1"/>
        <v>38489.946503738567</v>
      </c>
      <c r="I26" s="6">
        <f t="shared" si="2"/>
        <v>758872.73073554703</v>
      </c>
      <c r="J26" s="36">
        <f>VLOOKUP($A26,[22]HISTODEC23!$A$6:$AQ$40,22,0)</f>
        <v>15000</v>
      </c>
      <c r="K26" s="36">
        <f>VLOOKUP($A26,[22]HISTODEC23!$A$6:$AU$36,45,0)</f>
        <v>123000</v>
      </c>
      <c r="L26" s="36">
        <f t="shared" si="3"/>
        <v>117000</v>
      </c>
      <c r="M26" s="36">
        <f t="shared" si="6"/>
        <v>1000</v>
      </c>
      <c r="N26" s="36">
        <f t="shared" si="4"/>
        <v>1000</v>
      </c>
      <c r="O26" s="36">
        <f t="shared" si="7"/>
        <v>4000</v>
      </c>
      <c r="P26" s="36">
        <f>VLOOKUP($A26,[22]HISTODEC23!$A$6:$AU$36,7,0)</f>
        <v>0</v>
      </c>
      <c r="Q26" s="36">
        <f>VLOOKUP($A26,[22]HISTODEC23!$A$6:$AU$36,23,0)</f>
        <v>0</v>
      </c>
      <c r="R26" s="36">
        <f>VLOOKUP($A26,[22]HISTODEC23!$A$6:$AU$36,46,0)</f>
        <v>0</v>
      </c>
      <c r="S26" s="36">
        <f>VLOOKUP($A26,[22]HISTODEC23!$A$6:$AU$36,26,0)</f>
        <v>1000000</v>
      </c>
      <c r="T26" s="36">
        <f>VLOOKUP($A26,[22]HISTODEC23!$A$6:$BG$36,58,0)</f>
        <v>120000</v>
      </c>
      <c r="U26" s="36">
        <f>VLOOKUP($A26,[22]HISTODEC23!$A$6:$AU$36,28,0)</f>
        <v>0</v>
      </c>
      <c r="V26" s="36">
        <f>VLOOKUP($A26,[22]HISTODEC23!$A$6:$AU$36,19,0)</f>
        <v>1000000</v>
      </c>
      <c r="W26" s="36" t="str">
        <f>VLOOKUP($A26,[22]HISTODEC23!$A$6:$AU$36,20,0)</f>
        <v>BANQUE</v>
      </c>
      <c r="X26" s="36" t="str">
        <f>VLOOKUP($A26,[22]HISTODEC23!$A$6:$AU$36,27,0)</f>
        <v>BANQUE</v>
      </c>
      <c r="Y26" s="36">
        <f>VLOOKUP($A26,[22]HISTODEC23!$A$6:$BM$36,33,0)</f>
        <v>0</v>
      </c>
      <c r="Z26" s="36">
        <f>VLOOKUP($A26,[22]HISTODEC23!$A$6:$BM$36,65,0)</f>
        <v>0</v>
      </c>
      <c r="AA26" s="36"/>
      <c r="AB26" s="36">
        <f>VLOOKUP($A26,[22]HISTODEC23!$A$6:$AU$36,43,0)</f>
        <v>0</v>
      </c>
      <c r="AC26" s="36">
        <f>VLOOKUP($A26,[22]HISTODEC23!$A$6:$AU$36,44,0)</f>
        <v>0</v>
      </c>
      <c r="AD26" s="36">
        <f>VLOOKUP($A26,[22]HISTODEC23!$A$6:$AU$36,47,0)</f>
        <v>0</v>
      </c>
      <c r="AE26" s="36">
        <f>VLOOKUP(A26,[22]HISTODEC23!$A$6:$BB$36,54,0)</f>
        <v>0</v>
      </c>
      <c r="AF26" s="36">
        <f>VLOOKUP($A26,[22]HISTODEC23!$A$6:$CA$36,60,0)</f>
        <v>0</v>
      </c>
      <c r="AG26" s="36">
        <f>VLOOKUP($A26,[22]HISTODEC23!$A$6:$CA$36,61,0)</f>
        <v>0</v>
      </c>
      <c r="AH26" s="36">
        <f>VLOOKUP($A26,[22]HISTODEC23!$A$6:$CA$36,62,0)</f>
        <v>0</v>
      </c>
      <c r="AI26" s="36">
        <f>VLOOKUP($A26,[22]HISTODEC23!$A$6:$CA$36,63,0)</f>
        <v>0</v>
      </c>
      <c r="AJ26" s="36">
        <f>VLOOKUP($A26,[22]HISTODEC23!$A$6:$CA$36,64,0)</f>
        <v>0</v>
      </c>
      <c r="AK26" s="36">
        <f>VLOOKUP($A26,[22]HISTODEC23!$A$6:$CA$36,65,0)</f>
        <v>0</v>
      </c>
      <c r="AL26" s="36">
        <f>VLOOKUP($A26,[20]DETAILFICHECASSATION!$A$6:$R$36,12,0)</f>
        <v>100000</v>
      </c>
    </row>
    <row r="27" spans="1:38" x14ac:dyDescent="0.35">
      <c r="A27" s="1" t="s">
        <v>43</v>
      </c>
      <c r="B27" s="1" t="str">
        <f>VLOOKUP(A27,[19]LISTADHERENT!A$5:H$60,3,0)</f>
        <v>NKAMGANG JUSTIN DEJOLIE</v>
      </c>
      <c r="C27" s="36">
        <f>VLOOKUP($A27,[23]FONDSCAISSE!$A$2:$G$33,4,0)</f>
        <v>700000</v>
      </c>
      <c r="D27" s="36">
        <f>VLOOKUP($A27,[20]DETAILFICHECASSATION!$A$6:$R$36,17,0)</f>
        <v>19031.484583758342</v>
      </c>
      <c r="E27" s="36"/>
      <c r="F27" s="36">
        <f t="shared" si="0"/>
        <v>719031.48458375828</v>
      </c>
      <c r="G27" s="5">
        <f t="shared" si="5"/>
        <v>719031.48458375828</v>
      </c>
      <c r="H27" s="36">
        <f t="shared" si="1"/>
        <v>38417.746761736904</v>
      </c>
      <c r="I27" s="6">
        <f t="shared" si="2"/>
        <v>757449.23134549521</v>
      </c>
      <c r="J27" s="36">
        <f>VLOOKUP($A27,[22]HISTODEC23!$A$6:$AQ$40,22,0)</f>
        <v>0</v>
      </c>
      <c r="K27" s="36">
        <f>VLOOKUP($A27,[22]HISTODEC23!$A$6:$AU$36,45,0)</f>
        <v>15000</v>
      </c>
      <c r="L27" s="36">
        <f t="shared" si="3"/>
        <v>9000</v>
      </c>
      <c r="M27" s="36">
        <f t="shared" si="6"/>
        <v>1000</v>
      </c>
      <c r="N27" s="36">
        <f t="shared" si="4"/>
        <v>1000</v>
      </c>
      <c r="O27" s="36">
        <f t="shared" si="7"/>
        <v>4000</v>
      </c>
      <c r="P27" s="36">
        <f>VLOOKUP($A27,[22]HISTODEC23!$A$6:$AU$36,7,0)</f>
        <v>0</v>
      </c>
      <c r="Q27" s="36">
        <f>VLOOKUP($A27,[22]HISTODEC23!$A$6:$AU$36,23,0)</f>
        <v>0</v>
      </c>
      <c r="R27" s="36">
        <f>VLOOKUP($A27,[22]HISTODEC23!$A$6:$AU$36,46,0)</f>
        <v>0</v>
      </c>
      <c r="S27" s="36">
        <f>VLOOKUP($A27,[22]HISTODEC23!$A$6:$AU$36,26,0)</f>
        <v>1000000</v>
      </c>
      <c r="T27" s="36">
        <f>VLOOKUP($A27,[22]HISTODEC23!$A$6:$BG$36,58,0)</f>
        <v>30000</v>
      </c>
      <c r="U27" s="36">
        <f>VLOOKUP($A27,[22]HISTODEC23!$A$6:$AU$36,28,0)</f>
        <v>0</v>
      </c>
      <c r="V27" s="36">
        <f>VLOOKUP($A27,[22]HISTODEC23!$A$6:$AU$36,19,0)</f>
        <v>1000000</v>
      </c>
      <c r="W27" s="36" t="str">
        <f>VLOOKUP($A27,[22]HISTODEC23!$A$6:$AU$36,20,0)</f>
        <v>BANQUE</v>
      </c>
      <c r="X27" s="36" t="str">
        <f>VLOOKUP($A27,[22]HISTODEC23!$A$6:$AU$36,27,0)</f>
        <v>BANQUE</v>
      </c>
      <c r="Y27" s="36">
        <f>VLOOKUP($A27,[22]HISTODEC23!$A$6:$BM$36,33,0)</f>
        <v>0</v>
      </c>
      <c r="Z27" s="36">
        <f>VLOOKUP($A27,[22]HISTODEC23!$A$6:$BM$36,65,0)</f>
        <v>0</v>
      </c>
      <c r="AA27" s="36"/>
      <c r="AB27" s="36">
        <f>VLOOKUP($A27,[22]HISTODEC23!$A$6:$AU$36,43,0)</f>
        <v>0</v>
      </c>
      <c r="AC27" s="36">
        <f>VLOOKUP($A27,[22]HISTODEC23!$A$6:$AU$36,44,0)</f>
        <v>0</v>
      </c>
      <c r="AD27" s="36">
        <f>VLOOKUP($A27,[22]HISTODEC23!$A$6:$AU$36,47,0)</f>
        <v>0</v>
      </c>
      <c r="AE27" s="36">
        <f>VLOOKUP(A27,[22]HISTODEC23!$A$6:$BB$36,54,0)</f>
        <v>0</v>
      </c>
      <c r="AF27" s="36">
        <f>VLOOKUP($A27,[22]HISTODEC23!$A$6:$CA$36,60,0)</f>
        <v>0</v>
      </c>
      <c r="AG27" s="36">
        <f>VLOOKUP($A27,[22]HISTODEC23!$A$6:$CA$36,61,0)</f>
        <v>0</v>
      </c>
      <c r="AH27" s="36">
        <f>VLOOKUP($A27,[22]HISTODEC23!$A$6:$CA$36,62,0)</f>
        <v>0</v>
      </c>
      <c r="AI27" s="36">
        <f>VLOOKUP($A27,[22]HISTODEC23!$A$6:$CA$36,63,0)</f>
        <v>0</v>
      </c>
      <c r="AJ27" s="36">
        <f>VLOOKUP($A27,[22]HISTODEC23!$A$6:$CA$36,64,0)</f>
        <v>0</v>
      </c>
      <c r="AK27" s="36">
        <f>VLOOKUP($A27,[22]HISTODEC23!$A$6:$CA$36,65,0)</f>
        <v>0</v>
      </c>
      <c r="AL27" s="36">
        <f>VLOOKUP($A27,[20]DETAILFICHECASSATION!$A$6:$R$36,12,0)</f>
        <v>100000</v>
      </c>
    </row>
    <row r="28" spans="1:38" x14ac:dyDescent="0.35">
      <c r="A28" s="1" t="s">
        <v>172</v>
      </c>
      <c r="B28" s="1" t="str">
        <f>VLOOKUP(A28,[19]LISTADHERENT!A$5:H$60,3,0)</f>
        <v>NOUBE ETIENNE</v>
      </c>
      <c r="C28" s="36"/>
      <c r="D28" s="36">
        <v>666019</v>
      </c>
      <c r="E28" s="36"/>
      <c r="F28" s="36">
        <f t="shared" si="0"/>
        <v>666019</v>
      </c>
      <c r="G28" s="5">
        <f t="shared" si="5"/>
        <v>0</v>
      </c>
      <c r="H28" s="36">
        <f t="shared" si="1"/>
        <v>0</v>
      </c>
      <c r="I28" s="6">
        <f t="shared" si="2"/>
        <v>666019</v>
      </c>
      <c r="J28" s="36">
        <f>VLOOKUP($A28,[22]HISTODEC23!$A$6:$AQ$40,22,0)</f>
        <v>0</v>
      </c>
      <c r="K28" s="36">
        <f>VLOOKUP($A28,[22]HISTODEC23!$A$6:$AU$36,45,0)</f>
        <v>25000</v>
      </c>
      <c r="L28" s="36">
        <f t="shared" si="3"/>
        <v>19000</v>
      </c>
      <c r="M28" s="36">
        <f t="shared" si="6"/>
        <v>1000</v>
      </c>
      <c r="N28" s="36">
        <f t="shared" si="4"/>
        <v>1000</v>
      </c>
      <c r="O28" s="36">
        <f t="shared" si="7"/>
        <v>4000</v>
      </c>
      <c r="P28" s="36">
        <f>VLOOKUP($A28,[22]HISTODEC23!$A$6:$AU$36,7,0)</f>
        <v>0</v>
      </c>
      <c r="Q28" s="36">
        <f>VLOOKUP($A28,[22]HISTODEC23!$A$6:$AU$36,23,0)</f>
        <v>0</v>
      </c>
      <c r="R28" s="36">
        <f>VLOOKUP($A28,[22]HISTODEC23!$A$6:$AU$36,46,0)</f>
        <v>0</v>
      </c>
      <c r="S28" s="36">
        <f>VLOOKUP($A28,[22]HISTODEC23!$A$6:$AU$36,26,0)</f>
        <v>0</v>
      </c>
      <c r="T28" s="36">
        <f>VLOOKUP($A28,[22]HISTODEC23!$A$6:$BG$36,58,0)</f>
        <v>0</v>
      </c>
      <c r="U28" s="36">
        <f>VLOOKUP($A28,[22]HISTODEC23!$A$6:$AU$36,28,0)</f>
        <v>0</v>
      </c>
      <c r="V28" s="36">
        <f>VLOOKUP($A28,[22]HISTODEC23!$A$6:$AU$36,19,0)</f>
        <v>0</v>
      </c>
      <c r="W28" s="36">
        <f>VLOOKUP($A28,[22]HISTODEC23!$A$6:$AU$36,20,0)</f>
        <v>0</v>
      </c>
      <c r="X28" s="36">
        <f>VLOOKUP($A28,[22]HISTODEC23!$A$6:$AU$36,27,0)</f>
        <v>0</v>
      </c>
      <c r="Y28" s="36">
        <f>VLOOKUP($A28,[22]HISTODEC23!$A$6:$BM$36,33,0)</f>
        <v>0</v>
      </c>
      <c r="Z28" s="36">
        <f>VLOOKUP($A28,[22]HISTODEC23!$A$6:$BM$36,65,0)</f>
        <v>0</v>
      </c>
      <c r="AA28" s="36"/>
      <c r="AB28" s="36">
        <f>VLOOKUP($A28,[22]HISTODEC23!$A$6:$AU$36,43,0)</f>
        <v>0</v>
      </c>
      <c r="AC28" s="36">
        <f>VLOOKUP($A28,[22]HISTODEC23!$A$6:$AU$36,44,0)</f>
        <v>0</v>
      </c>
      <c r="AD28" s="36">
        <f>VLOOKUP($A28,[22]HISTODEC23!$A$6:$AU$36,47,0)</f>
        <v>0</v>
      </c>
      <c r="AE28" s="36">
        <f>VLOOKUP(A28,[22]HISTODEC23!$A$6:$BB$36,54,0)</f>
        <v>0</v>
      </c>
      <c r="AF28" s="36">
        <f>VLOOKUP($A28,[22]HISTODEC23!$A$6:$CA$36,60,0)</f>
        <v>0</v>
      </c>
      <c r="AG28" s="36">
        <f>VLOOKUP($A28,[22]HISTODEC23!$A$6:$CA$36,61,0)</f>
        <v>0</v>
      </c>
      <c r="AH28" s="36">
        <f>VLOOKUP($A28,[22]HISTODEC23!$A$6:$CA$36,62,0)</f>
        <v>0</v>
      </c>
      <c r="AI28" s="36">
        <f>VLOOKUP($A28,[22]HISTODEC23!$A$6:$CA$36,63,0)</f>
        <v>0</v>
      </c>
      <c r="AJ28" s="36">
        <f>VLOOKUP($A28,[22]HISTODEC23!$A$6:$CA$36,64,0)</f>
        <v>0</v>
      </c>
      <c r="AK28" s="36">
        <f>VLOOKUP($A28,[22]HISTODEC23!$A$6:$CA$36,65,0)</f>
        <v>0</v>
      </c>
      <c r="AL28" s="36">
        <f>VLOOKUP($A28,[20]DETAILFICHECASSATION!$A$6:$R$36,12,0)</f>
        <v>700000</v>
      </c>
    </row>
    <row r="29" spans="1:38" x14ac:dyDescent="0.35">
      <c r="A29" s="1" t="s">
        <v>45</v>
      </c>
      <c r="B29" s="1" t="str">
        <f>VLOOKUP(A29,[19]LISTADHERENT!A$5:H$60,3,0)</f>
        <v>PATEGO NJOSSU GUSTAVE</v>
      </c>
      <c r="C29" s="36">
        <f>VLOOKUP($A29,[23]FONDSCAISSE!$A$2:$G$33,4,0)</f>
        <v>700000</v>
      </c>
      <c r="D29" s="36">
        <f>VLOOKUP($A29,[20]DETAILFICHECASSATION!$A$6:$R$36,17,0)</f>
        <v>43697.666300758487</v>
      </c>
      <c r="E29" s="36"/>
      <c r="F29" s="36">
        <f t="shared" si="0"/>
        <v>743697.66630075849</v>
      </c>
      <c r="G29" s="5">
        <f t="shared" si="5"/>
        <v>743697.66630075849</v>
      </c>
      <c r="H29" s="36">
        <f t="shared" si="1"/>
        <v>39735.657233113925</v>
      </c>
      <c r="I29" s="6">
        <f t="shared" si="2"/>
        <v>783433.32353387238</v>
      </c>
      <c r="J29" s="36">
        <f>VLOOKUP($A29,[22]HISTODEC23!$A$6:$AQ$40,22,0)</f>
        <v>0</v>
      </c>
      <c r="K29" s="36">
        <f>VLOOKUP($A29,[22]HISTODEC23!$A$6:$AU$36,45,0)</f>
        <v>15000</v>
      </c>
      <c r="L29" s="36">
        <f t="shared" si="3"/>
        <v>9000</v>
      </c>
      <c r="M29" s="36">
        <f t="shared" si="6"/>
        <v>1000</v>
      </c>
      <c r="N29" s="36">
        <f t="shared" si="4"/>
        <v>1000</v>
      </c>
      <c r="O29" s="36">
        <f t="shared" si="7"/>
        <v>4000</v>
      </c>
      <c r="P29" s="36">
        <f>VLOOKUP($A29,[22]HISTODEC23!$A$6:$AU$36,7,0)</f>
        <v>0</v>
      </c>
      <c r="Q29" s="36">
        <f>VLOOKUP($A29,[22]HISTODEC23!$A$6:$AU$36,23,0)</f>
        <v>0</v>
      </c>
      <c r="R29" s="36">
        <f>VLOOKUP($A29,[22]HISTODEC23!$A$6:$AU$36,46,0)</f>
        <v>0</v>
      </c>
      <c r="S29" s="36">
        <f>VLOOKUP($A29,[22]HISTODEC23!$A$6:$AU$36,26,0)</f>
        <v>0</v>
      </c>
      <c r="T29" s="36">
        <f>VLOOKUP($A29,[22]HISTODEC23!$A$6:$BG$36,58,0)</f>
        <v>0</v>
      </c>
      <c r="U29" s="36">
        <f>VLOOKUP($A29,[22]HISTODEC23!$A$6:$AU$36,28,0)</f>
        <v>0</v>
      </c>
      <c r="V29" s="36">
        <f>VLOOKUP($A29,[22]HISTODEC23!$A$6:$AU$36,19,0)</f>
        <v>0</v>
      </c>
      <c r="W29" s="36">
        <f>VLOOKUP($A29,[22]HISTODEC23!$A$6:$AU$36,20,0)</f>
        <v>0</v>
      </c>
      <c r="X29" s="36">
        <f>VLOOKUP($A29,[22]HISTODEC23!$A$6:$AU$36,27,0)</f>
        <v>0</v>
      </c>
      <c r="Y29" s="36">
        <f>VLOOKUP($A29,[22]HISTODEC23!$A$6:$BM$36,33,0)</f>
        <v>0</v>
      </c>
      <c r="Z29" s="36">
        <f>VLOOKUP($A29,[22]HISTODEC23!$A$6:$BM$36,65,0)</f>
        <v>0</v>
      </c>
      <c r="AA29" s="36"/>
      <c r="AB29" s="36">
        <f>VLOOKUP($A29,[22]HISTODEC23!$A$6:$AU$36,43,0)</f>
        <v>0</v>
      </c>
      <c r="AC29" s="36">
        <f>VLOOKUP($A29,[22]HISTODEC23!$A$6:$AU$36,44,0)</f>
        <v>0</v>
      </c>
      <c r="AD29" s="36">
        <f>VLOOKUP($A29,[22]HISTODEC23!$A$6:$AU$36,47,0)</f>
        <v>0</v>
      </c>
      <c r="AE29" s="36">
        <f>VLOOKUP(A29,[22]HISTODEC23!$A$6:$BB$36,54,0)</f>
        <v>0</v>
      </c>
      <c r="AF29" s="36">
        <f>VLOOKUP($A29,[22]HISTODEC23!$A$6:$CA$36,60,0)</f>
        <v>0</v>
      </c>
      <c r="AG29" s="36">
        <f>VLOOKUP($A29,[22]HISTODEC23!$A$6:$CA$36,61,0)</f>
        <v>0</v>
      </c>
      <c r="AH29" s="36">
        <f>VLOOKUP($A29,[22]HISTODEC23!$A$6:$CA$36,62,0)</f>
        <v>0</v>
      </c>
      <c r="AI29" s="36">
        <f>VLOOKUP($A29,[22]HISTODEC23!$A$6:$CA$36,63,0)</f>
        <v>0</v>
      </c>
      <c r="AJ29" s="36">
        <f>VLOOKUP($A29,[22]HISTODEC23!$A$6:$CA$36,64,0)</f>
        <v>0</v>
      </c>
      <c r="AK29" s="36">
        <f>VLOOKUP($A29,[22]HISTODEC23!$A$6:$CA$36,65,0)</f>
        <v>0</v>
      </c>
      <c r="AL29" s="36">
        <f>VLOOKUP($A29,[20]DETAILFICHECASSATION!$A$6:$R$36,12,0)</f>
        <v>100000</v>
      </c>
    </row>
    <row r="30" spans="1:38" x14ac:dyDescent="0.35">
      <c r="A30" s="1" t="s">
        <v>312</v>
      </c>
      <c r="B30" s="1" t="str">
        <f>VLOOKUP(A30,[19]LISTADHERENT!A$5:H$60,3,0)</f>
        <v>SEUMO POLYCARPE</v>
      </c>
      <c r="C30" s="36">
        <f>VLOOKUP($A30,[23]FONDSCAISSE!$A$2:$G$33,4,0)</f>
        <v>0</v>
      </c>
      <c r="D30" s="36">
        <f>VLOOKUP($A30,[20]DETAILFICHECASSATION!$A$6:$R$36,17,0)</f>
        <v>245500</v>
      </c>
      <c r="E30" s="36"/>
      <c r="F30" s="36">
        <f t="shared" si="0"/>
        <v>245500</v>
      </c>
      <c r="G30" s="5">
        <f t="shared" si="5"/>
        <v>0</v>
      </c>
      <c r="H30" s="36">
        <f t="shared" si="1"/>
        <v>0</v>
      </c>
      <c r="I30" s="6">
        <f t="shared" si="2"/>
        <v>245500</v>
      </c>
      <c r="J30" s="36">
        <f>VLOOKUP($A30,[22]HISTODEC23!$A$6:$AQ$40,22,0)</f>
        <v>0</v>
      </c>
      <c r="K30" s="36">
        <f>VLOOKUP($A30,[22]HISTODEC23!$A$6:$AU$36,45,0)</f>
        <v>15000</v>
      </c>
      <c r="L30" s="36">
        <f t="shared" si="3"/>
        <v>9000</v>
      </c>
      <c r="M30" s="36">
        <f t="shared" si="6"/>
        <v>1000</v>
      </c>
      <c r="N30" s="36">
        <f t="shared" si="4"/>
        <v>1000</v>
      </c>
      <c r="O30" s="36">
        <f t="shared" si="7"/>
        <v>4000</v>
      </c>
      <c r="P30" s="36">
        <f>VLOOKUP($A30,[22]HISTODEC23!$A$6:$AU$36,7,0)</f>
        <v>0</v>
      </c>
      <c r="Q30" s="36">
        <f>VLOOKUP($A30,[22]HISTODEC23!$A$6:$AU$36,23,0)</f>
        <v>0</v>
      </c>
      <c r="R30" s="36">
        <f>VLOOKUP($A30,[22]HISTODEC23!$A$6:$AU$36,46,0)</f>
        <v>0</v>
      </c>
      <c r="S30" s="36">
        <f>VLOOKUP($A30,[22]HISTODEC23!$A$6:$AU$36,26,0)</f>
        <v>0</v>
      </c>
      <c r="T30" s="36">
        <f>VLOOKUP($A30,[22]HISTODEC23!$A$6:$BG$36,58,0)</f>
        <v>0</v>
      </c>
      <c r="U30" s="36">
        <f>VLOOKUP($A30,[22]HISTODEC23!$A$6:$AU$36,28,0)</f>
        <v>0</v>
      </c>
      <c r="V30" s="36">
        <f>VLOOKUP($A30,[22]HISTODEC23!$A$6:$AU$36,19,0)</f>
        <v>0</v>
      </c>
      <c r="W30" s="36">
        <f>VLOOKUP($A30,[22]HISTODEC23!$A$6:$AU$36,20,0)</f>
        <v>0</v>
      </c>
      <c r="X30" s="36">
        <f>VLOOKUP($A30,[22]HISTODEC23!$A$6:$AU$36,27,0)</f>
        <v>0</v>
      </c>
      <c r="Y30" s="36">
        <f>VLOOKUP($A30,[22]HISTODEC23!$A$6:$BM$36,33,0)</f>
        <v>0</v>
      </c>
      <c r="Z30" s="36">
        <f>VLOOKUP($A30,[22]HISTODEC23!$A$6:$BM$36,65,0)</f>
        <v>0</v>
      </c>
      <c r="AA30" s="36"/>
      <c r="AB30" s="36">
        <f>VLOOKUP($A30,[22]HISTODEC23!$A$6:$AU$36,43,0)</f>
        <v>0</v>
      </c>
      <c r="AC30" s="36">
        <f>VLOOKUP($A30,[22]HISTODEC23!$A$6:$AU$36,44,0)</f>
        <v>0</v>
      </c>
      <c r="AD30" s="36">
        <f>VLOOKUP($A30,[22]HISTODEC23!$A$6:$AU$36,47,0)</f>
        <v>0</v>
      </c>
      <c r="AE30" s="36">
        <f>VLOOKUP(A30,[22]HISTODEC23!$A$6:$BB$36,54,0)</f>
        <v>0</v>
      </c>
      <c r="AF30" s="36">
        <f>VLOOKUP($A30,[22]HISTODEC23!$A$6:$CA$36,60,0)</f>
        <v>0</v>
      </c>
      <c r="AG30" s="36">
        <f>VLOOKUP($A30,[22]HISTODEC23!$A$6:$CA$36,61,0)</f>
        <v>0</v>
      </c>
      <c r="AH30" s="36">
        <f>VLOOKUP($A30,[22]HISTODEC23!$A$6:$CA$36,62,0)</f>
        <v>0</v>
      </c>
      <c r="AI30" s="36">
        <f>VLOOKUP($A30,[22]HISTODEC23!$A$6:$CA$36,63,0)</f>
        <v>0</v>
      </c>
      <c r="AJ30" s="36">
        <f>VLOOKUP($A30,[22]HISTODEC23!$A$6:$CA$36,64,0)</f>
        <v>0</v>
      </c>
      <c r="AK30" s="36">
        <f>VLOOKUP($A30,[22]HISTODEC23!$A$6:$CA$36,65,0)</f>
        <v>0</v>
      </c>
      <c r="AL30" s="36" t="e">
        <f>VLOOKUP($A30,[20]DETAILFICHECASSATION!$A$6:$R$36,12,0)</f>
        <v>#REF!</v>
      </c>
    </row>
    <row r="31" spans="1:38" x14ac:dyDescent="0.35">
      <c r="A31" s="1" t="s">
        <v>81</v>
      </c>
      <c r="B31" s="1" t="str">
        <f>VLOOKUP(A31,[19]LISTADHERENT!A$5:H$60,3,0)</f>
        <v>SIME BRICE</v>
      </c>
      <c r="C31" s="36">
        <f>VLOOKUP($A31,[23]FONDSCAISSE!$A$2:$G$33,4,0)</f>
        <v>700000</v>
      </c>
      <c r="D31" s="36">
        <f>VLOOKUP($A31,[20]DETAILFICHECASSATION!$A$6:$R$36,17,0)</f>
        <v>104364.15055016428</v>
      </c>
      <c r="E31" s="36"/>
      <c r="F31" s="36">
        <f t="shared" si="0"/>
        <v>804364.15055016428</v>
      </c>
      <c r="G31" s="5">
        <f t="shared" si="5"/>
        <v>804364.15055016428</v>
      </c>
      <c r="H31" s="36">
        <f t="shared" si="1"/>
        <v>42977.058588671782</v>
      </c>
      <c r="I31" s="6">
        <f t="shared" si="2"/>
        <v>847341.20913883601</v>
      </c>
      <c r="J31" s="36">
        <f>VLOOKUP($A31,[22]HISTODEC23!$A$6:$AQ$40,22,0)</f>
        <v>34000</v>
      </c>
      <c r="K31" s="36">
        <f>VLOOKUP($A31,[22]HISTODEC23!$A$6:$AU$36,45,0)</f>
        <v>15000</v>
      </c>
      <c r="L31" s="36">
        <f t="shared" si="3"/>
        <v>9000</v>
      </c>
      <c r="M31" s="36">
        <f t="shared" si="6"/>
        <v>1000</v>
      </c>
      <c r="N31" s="36">
        <f t="shared" si="4"/>
        <v>1000</v>
      </c>
      <c r="O31" s="36">
        <f t="shared" si="7"/>
        <v>4000</v>
      </c>
      <c r="P31" s="36">
        <f>VLOOKUP($A31,[22]HISTODEC23!$A$6:$AU$36,7,0)</f>
        <v>0</v>
      </c>
      <c r="Q31" s="36">
        <f>VLOOKUP($A31,[22]HISTODEC23!$A$6:$AU$36,23,0)</f>
        <v>0</v>
      </c>
      <c r="R31" s="36">
        <f>VLOOKUP($A31,[22]HISTODEC23!$A$6:$AU$36,46,0)</f>
        <v>0</v>
      </c>
      <c r="S31" s="36">
        <f>VLOOKUP($A31,[22]HISTODEC23!$A$6:$AU$36,26,0)</f>
        <v>1000000</v>
      </c>
      <c r="T31" s="36">
        <f>VLOOKUP($A31,[22]HISTODEC23!$A$6:$BG$36,58,0)</f>
        <v>60000</v>
      </c>
      <c r="U31" s="36">
        <f>VLOOKUP($A31,[22]HISTODEC23!$A$6:$AU$36,28,0)</f>
        <v>0</v>
      </c>
      <c r="V31" s="36">
        <f>VLOOKUP($A31,[22]HISTODEC23!$A$6:$AU$36,19,0)</f>
        <v>0</v>
      </c>
      <c r="W31" s="36">
        <f>VLOOKUP($A31,[22]HISTODEC23!$A$6:$AU$36,20,0)</f>
        <v>0</v>
      </c>
      <c r="X31" s="36" t="str">
        <f>VLOOKUP($A31,[22]HISTODEC23!$A$6:$AU$36,27,0)</f>
        <v>BANQUE</v>
      </c>
      <c r="Y31" s="36">
        <f>VLOOKUP($A31,[22]HISTODEC23!$A$6:$BM$36,33,0)</f>
        <v>0</v>
      </c>
      <c r="Z31" s="36">
        <f>VLOOKUP($A31,[22]HISTODEC23!$A$6:$BM$36,65,0)</f>
        <v>0</v>
      </c>
      <c r="AA31" s="36"/>
      <c r="AB31" s="36">
        <f>VLOOKUP($A31,[22]HISTODEC23!$A$6:$AU$36,43,0)</f>
        <v>0</v>
      </c>
      <c r="AC31" s="36">
        <f>VLOOKUP($A31,[22]HISTODEC23!$A$6:$AU$36,44,0)</f>
        <v>0</v>
      </c>
      <c r="AD31" s="36">
        <f>VLOOKUP($A31,[22]HISTODEC23!$A$6:$AU$36,47,0)</f>
        <v>0</v>
      </c>
      <c r="AE31" s="36">
        <f>VLOOKUP(A31,[22]HISTODEC23!$A$6:$BB$36,54,0)</f>
        <v>0</v>
      </c>
      <c r="AF31" s="36">
        <f>VLOOKUP($A31,[22]HISTODEC23!$A$6:$CA$36,60,0)</f>
        <v>0</v>
      </c>
      <c r="AG31" s="36">
        <f>VLOOKUP($A31,[22]HISTODEC23!$A$6:$CA$36,61,0)</f>
        <v>0</v>
      </c>
      <c r="AH31" s="36">
        <f>VLOOKUP($A31,[22]HISTODEC23!$A$6:$CA$36,62,0)</f>
        <v>0</v>
      </c>
      <c r="AI31" s="36">
        <f>VLOOKUP($A31,[22]HISTODEC23!$A$6:$CA$36,63,0)</f>
        <v>0</v>
      </c>
      <c r="AJ31" s="36">
        <f>VLOOKUP($A31,[22]HISTODEC23!$A$6:$CA$36,64,0)</f>
        <v>0</v>
      </c>
      <c r="AK31" s="36">
        <f>VLOOKUP($A31,[22]HISTODEC23!$A$6:$CA$36,65,0)</f>
        <v>0</v>
      </c>
      <c r="AL31" s="36">
        <f>VLOOKUP($A31,[20]DETAILFICHECASSATION!$A$6:$R$36,12,0)</f>
        <v>100000</v>
      </c>
    </row>
    <row r="32" spans="1:38" x14ac:dyDescent="0.35">
      <c r="A32" s="1" t="s">
        <v>49</v>
      </c>
      <c r="B32" s="1" t="str">
        <f>VLOOKUP(A32,[19]LISTADHERENT!A$5:H$60,3,0)</f>
        <v>SIMO PIERRE</v>
      </c>
      <c r="C32" s="36">
        <f>VLOOKUP($A32,[23]FONDSCAISSE!$A$2:$G$33,4,0)</f>
        <v>700000</v>
      </c>
      <c r="D32" s="36">
        <f>VLOOKUP($A32,[20]DETAILFICHECASSATION!$A$6:$R$36,17,0)</f>
        <v>686.61218299972825</v>
      </c>
      <c r="E32" s="36"/>
      <c r="F32" s="36">
        <f t="shared" si="0"/>
        <v>700686.61218299973</v>
      </c>
      <c r="G32" s="5">
        <f t="shared" si="5"/>
        <v>700686.61218299973</v>
      </c>
      <c r="H32" s="36">
        <f t="shared" si="1"/>
        <v>37437.58291998705</v>
      </c>
      <c r="I32" s="6">
        <f t="shared" si="2"/>
        <v>738124.19510298676</v>
      </c>
      <c r="J32" s="36">
        <f>VLOOKUP($A32,[22]HISTODEC23!$A$6:$AQ$40,22,0)</f>
        <v>0</v>
      </c>
      <c r="K32" s="36">
        <f>VLOOKUP($A32,[22]HISTODEC23!$A$6:$AU$36,45,0)</f>
        <v>15000</v>
      </c>
      <c r="L32" s="36">
        <f t="shared" si="3"/>
        <v>9000</v>
      </c>
      <c r="M32" s="36">
        <f t="shared" si="6"/>
        <v>1000</v>
      </c>
      <c r="N32" s="36">
        <f t="shared" si="4"/>
        <v>1000</v>
      </c>
      <c r="O32" s="36">
        <f t="shared" si="7"/>
        <v>4000</v>
      </c>
      <c r="P32" s="36">
        <f>VLOOKUP($A32,[22]HISTODEC23!$A$6:$AU$36,7,0)</f>
        <v>0</v>
      </c>
      <c r="Q32" s="36">
        <f>VLOOKUP($A32,[22]HISTODEC23!$A$6:$AU$36,23,0)</f>
        <v>0</v>
      </c>
      <c r="R32" s="36">
        <f>VLOOKUP($A32,[22]HISTODEC23!$A$6:$AU$36,46,0)</f>
        <v>0</v>
      </c>
      <c r="S32" s="36">
        <f>VLOOKUP($A32,[22]HISTODEC23!$A$6:$AU$36,26,0)</f>
        <v>250000</v>
      </c>
      <c r="T32" s="36">
        <f>VLOOKUP($A32,[22]HISTODEC23!$A$6:$BG$36,58,0)</f>
        <v>15000</v>
      </c>
      <c r="U32" s="36">
        <f>VLOOKUP($A32,[22]HISTODEC23!$A$6:$AU$36,28,0)</f>
        <v>0</v>
      </c>
      <c r="V32" s="36">
        <f>VLOOKUP($A32,[22]HISTODEC23!$A$6:$AU$36,19,0)</f>
        <v>1000000</v>
      </c>
      <c r="W32" s="36" t="str">
        <f>VLOOKUP($A32,[22]HISTODEC23!$A$6:$AU$36,20,0)</f>
        <v>BANQUE</v>
      </c>
      <c r="X32" s="36" t="str">
        <f>VLOOKUP($A32,[22]HISTODEC23!$A$6:$AU$36,27,0)</f>
        <v>BANQUE</v>
      </c>
      <c r="Y32" s="36">
        <f>VLOOKUP($A32,[22]HISTODEC23!$A$6:$BM$36,33,0)</f>
        <v>0</v>
      </c>
      <c r="Z32" s="36">
        <f>VLOOKUP($A32,[22]HISTODEC23!$A$6:$BM$36,65,0)</f>
        <v>0</v>
      </c>
      <c r="AA32" s="36"/>
      <c r="AB32" s="36">
        <f>VLOOKUP($A32,[22]HISTODEC23!$A$6:$AU$36,43,0)</f>
        <v>0</v>
      </c>
      <c r="AC32" s="36">
        <f>VLOOKUP($A32,[22]HISTODEC23!$A$6:$AU$36,44,0)</f>
        <v>0</v>
      </c>
      <c r="AD32" s="36">
        <f>VLOOKUP($A32,[22]HISTODEC23!$A$6:$AU$36,47,0)</f>
        <v>0</v>
      </c>
      <c r="AE32" s="36">
        <f>VLOOKUP(A32,[22]HISTODEC23!$A$6:$BB$36,54,0)</f>
        <v>0</v>
      </c>
      <c r="AF32" s="36">
        <f>VLOOKUP($A32,[22]HISTODEC23!$A$6:$CA$36,60,0)</f>
        <v>0</v>
      </c>
      <c r="AG32" s="36">
        <f>VLOOKUP($A32,[22]HISTODEC23!$A$6:$CA$36,61,0)</f>
        <v>0</v>
      </c>
      <c r="AH32" s="36">
        <f>VLOOKUP($A32,[22]HISTODEC23!$A$6:$CA$36,62,0)</f>
        <v>0</v>
      </c>
      <c r="AI32" s="36">
        <f>VLOOKUP($A32,[22]HISTODEC23!$A$6:$CA$36,63,0)</f>
        <v>0</v>
      </c>
      <c r="AJ32" s="36">
        <f>VLOOKUP($A32,[22]HISTODEC23!$A$6:$CA$36,64,0)</f>
        <v>0</v>
      </c>
      <c r="AK32" s="36">
        <f>VLOOKUP($A32,[22]HISTODEC23!$A$6:$CA$36,65,0)</f>
        <v>0</v>
      </c>
      <c r="AL32" s="36">
        <f>VLOOKUP($A32,[20]DETAILFICHECASSATION!$A$6:$R$36,12,0)</f>
        <v>100000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>
        <f>VLOOKUP($A33,[23]FONDSCAISSE!$A$2:$G$33,4,0)</f>
        <v>700000</v>
      </c>
      <c r="D33" s="36">
        <f>VLOOKUP($A33,[20]DETAILFICHECASSATION!$A$6:$R$36,17,0)</f>
        <v>975.80620651689242</v>
      </c>
      <c r="E33" s="36"/>
      <c r="F33" s="36">
        <f t="shared" si="0"/>
        <v>700975.80620651692</v>
      </c>
      <c r="G33" s="5">
        <f t="shared" si="5"/>
        <v>700975.80620651692</v>
      </c>
      <c r="H33" s="36">
        <f t="shared" si="1"/>
        <v>37453.034514247796</v>
      </c>
      <c r="I33" s="6">
        <f t="shared" si="2"/>
        <v>738428.84072076471</v>
      </c>
      <c r="J33" s="36">
        <f>VLOOKUP($A33,[22]HISTODEC23!$A$6:$AQ$40,22,0)</f>
        <v>0</v>
      </c>
      <c r="K33" s="36">
        <f>VLOOKUP($A33,[22]HISTODEC23!$A$6:$AU$36,45,0)</f>
        <v>15000</v>
      </c>
      <c r="L33" s="36">
        <f>18000+10000</f>
        <v>28000</v>
      </c>
      <c r="M33" s="36">
        <f>IF(K33=0,0,1000)+1000</f>
        <v>2000</v>
      </c>
      <c r="N33" s="36">
        <f>IF(K33=0,0,1000)+1000</f>
        <v>2000</v>
      </c>
      <c r="O33" s="36">
        <f>IF(K33=0,0,4000)+4000</f>
        <v>8000</v>
      </c>
      <c r="P33" s="36">
        <f>VLOOKUP($A33,[22]HISTODEC23!$A$6:$AU$36,7,0)</f>
        <v>0</v>
      </c>
      <c r="Q33" s="36">
        <f>VLOOKUP($A33,[22]HISTODEC23!$A$6:$AU$36,23,0)</f>
        <v>0</v>
      </c>
      <c r="R33" s="36">
        <f>VLOOKUP($A33,[22]HISTODEC23!$A$6:$AU$36,46,0)</f>
        <v>0</v>
      </c>
      <c r="S33" s="36">
        <f>VLOOKUP($A33,[22]HISTODEC23!$A$6:$AU$36,26,0)</f>
        <v>0</v>
      </c>
      <c r="T33" s="36">
        <f>VLOOKUP($A33,[22]HISTODEC23!$A$6:$BG$36,58,0)</f>
        <v>0</v>
      </c>
      <c r="U33" s="36">
        <f>VLOOKUP($A33,[22]HISTODEC23!$A$6:$AU$36,28,0)</f>
        <v>0</v>
      </c>
      <c r="V33" s="36">
        <f>VLOOKUP($A33,[22]HISTODEC23!$A$6:$AU$36,19,0)</f>
        <v>200000</v>
      </c>
      <c r="W33" s="36" t="str">
        <f>VLOOKUP($A33,[22]HISTODEC23!$A$6:$AU$36,20,0)</f>
        <v>BANQUE</v>
      </c>
      <c r="X33" s="36">
        <f>VLOOKUP($A33,[22]HISTODEC23!$A$6:$AU$36,27,0)</f>
        <v>0</v>
      </c>
      <c r="Y33" s="36">
        <f>VLOOKUP($A33,[22]HISTODEC23!$A$6:$BM$36,33,0)</f>
        <v>0</v>
      </c>
      <c r="Z33" s="36">
        <f>VLOOKUP($A33,[22]HISTODEC23!$A$6:$BM$36,65,0)</f>
        <v>0</v>
      </c>
      <c r="AA33" s="36"/>
      <c r="AB33" s="36">
        <f>VLOOKUP($A33,[22]HISTODEC23!$A$6:$AU$36,43,0)</f>
        <v>0</v>
      </c>
      <c r="AC33" s="36">
        <f>VLOOKUP($A33,[22]HISTODEC23!$A$6:$AU$36,44,0)</f>
        <v>0</v>
      </c>
      <c r="AD33" s="36">
        <f>VLOOKUP($A33,[22]HISTODEC23!$A$6:$AU$36,47,0)</f>
        <v>0</v>
      </c>
      <c r="AE33" s="36">
        <f>VLOOKUP(A33,[22]HISTODEC23!$A$6:$BB$36,54,0)</f>
        <v>0</v>
      </c>
      <c r="AF33" s="36">
        <f>VLOOKUP($A33,[22]HISTODEC23!$A$6:$CA$36,60,0)</f>
        <v>0</v>
      </c>
      <c r="AG33" s="36">
        <f>VLOOKUP($A33,[22]HISTODEC23!$A$6:$CA$36,61,0)</f>
        <v>0</v>
      </c>
      <c r="AH33" s="36">
        <f>VLOOKUP($A33,[22]HISTODEC23!$A$6:$CA$36,62,0)</f>
        <v>0</v>
      </c>
      <c r="AI33" s="36">
        <f>VLOOKUP($A33,[22]HISTODEC23!$A$6:$CA$36,63,0)</f>
        <v>0</v>
      </c>
      <c r="AJ33" s="36">
        <f>VLOOKUP($A33,[22]HISTODEC23!$A$6:$CA$36,64,0)</f>
        <v>0</v>
      </c>
      <c r="AK33" s="36">
        <f>VLOOKUP($A33,[22]HISTODEC23!$A$6:$CA$36,65,0)</f>
        <v>0</v>
      </c>
      <c r="AL33" s="36">
        <f>VLOOKUP($A33,[20]DETAILFICHECASSATION!$A$6:$R$36,12,0)</f>
        <v>100000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>
        <f>VLOOKUP($A34,[23]FONDSCAISSE!$A$2:$G$33,4,0)</f>
        <v>0</v>
      </c>
      <c r="D34" s="36"/>
      <c r="E34" s="36"/>
      <c r="F34" s="36">
        <f t="shared" si="0"/>
        <v>0</v>
      </c>
      <c r="G34" s="5">
        <f t="shared" si="5"/>
        <v>0</v>
      </c>
      <c r="H34" s="36">
        <f t="shared" si="1"/>
        <v>0</v>
      </c>
      <c r="I34" s="6">
        <f t="shared" si="2"/>
        <v>0</v>
      </c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>
        <f>VLOOKUP($A35,[23]FONDSCAISSE!$A$2:$G$33,4,0)</f>
        <v>0</v>
      </c>
      <c r="D35" s="36">
        <f>VLOOKUP($A35,[20]DETAILFICHECASSATION!$A$6:$R$36,17,0)</f>
        <v>103000</v>
      </c>
      <c r="E35" s="36"/>
      <c r="F35" s="36">
        <f t="shared" si="0"/>
        <v>103000</v>
      </c>
      <c r="G35" s="5">
        <f t="shared" si="5"/>
        <v>0</v>
      </c>
      <c r="H35" s="36">
        <f t="shared" si="1"/>
        <v>0</v>
      </c>
      <c r="I35" s="6">
        <f t="shared" si="2"/>
        <v>103000</v>
      </c>
      <c r="J35" s="36">
        <f>VLOOKUP($A35,[22]HISTODEC23!$A$6:$AQ$40,22,0)</f>
        <v>0</v>
      </c>
      <c r="K35" s="36">
        <f>VLOOKUP($A35,[22]HISTODEC23!$A$6:$AU$36,45,0)</f>
        <v>25000</v>
      </c>
      <c r="L35" s="36">
        <f t="shared" si="3"/>
        <v>19000</v>
      </c>
      <c r="M35" s="36">
        <f t="shared" si="6"/>
        <v>1000</v>
      </c>
      <c r="N35" s="36">
        <f t="shared" si="4"/>
        <v>1000</v>
      </c>
      <c r="O35" s="36">
        <f t="shared" si="7"/>
        <v>4000</v>
      </c>
      <c r="P35" s="36">
        <f>VLOOKUP($A35,[22]HISTODEC23!$A$6:$AU$36,7,0)</f>
        <v>0</v>
      </c>
      <c r="Q35" s="36">
        <f>VLOOKUP($A35,[22]HISTODEC23!$A$6:$AU$36,23,0)</f>
        <v>0</v>
      </c>
      <c r="R35" s="36">
        <f>VLOOKUP($A35,[22]HISTODEC23!$A$6:$AU$36,46,0)</f>
        <v>0</v>
      </c>
      <c r="S35" s="36">
        <f>VLOOKUP($A35,[22]HISTODEC23!$A$6:$AU$36,26,0)</f>
        <v>0</v>
      </c>
      <c r="T35" s="36">
        <f>VLOOKUP($A35,[22]HISTODEC23!$A$6:$BG$36,58,0)</f>
        <v>0</v>
      </c>
      <c r="U35" s="36">
        <f>VLOOKUP($A35,[22]HISTODEC23!$A$6:$AU$36,28,0)</f>
        <v>0</v>
      </c>
      <c r="V35" s="36">
        <f>VLOOKUP($A35,[22]HISTODEC23!$A$6:$AU$36,19,0)</f>
        <v>0</v>
      </c>
      <c r="W35" s="36">
        <f>VLOOKUP($A35,[22]HISTODEC23!$A$6:$AU$36,20,0)</f>
        <v>0</v>
      </c>
      <c r="X35" s="36">
        <f>VLOOKUP($A35,[22]HISTODEC23!$A$6:$AU$36,27,0)</f>
        <v>0</v>
      </c>
      <c r="Y35" s="36">
        <f>VLOOKUP($A35,[22]HISTODEC23!$A$6:$BM$36,33,0)</f>
        <v>0</v>
      </c>
      <c r="Z35" s="36">
        <f>VLOOKUP($A35,[22]HISTODEC23!$A$6:$BM$36,65,0)</f>
        <v>0</v>
      </c>
      <c r="AA35" s="36"/>
      <c r="AB35" s="36">
        <f>VLOOKUP($A35,[22]HISTODEC23!$A$6:$AU$36,43,0)</f>
        <v>0</v>
      </c>
      <c r="AC35" s="36">
        <f>VLOOKUP($A35,[22]HISTODEC23!$A$6:$AU$36,44,0)</f>
        <v>0</v>
      </c>
      <c r="AD35" s="36">
        <f>VLOOKUP($A35,[22]HISTODEC23!$A$6:$AU$36,47,0)</f>
        <v>0</v>
      </c>
      <c r="AE35" s="36">
        <f>VLOOKUP(A35,[22]HISTODEC23!$A$6:$BB$36,54,0)</f>
        <v>70000</v>
      </c>
      <c r="AF35" s="36">
        <f>VLOOKUP($A35,[22]HISTODEC23!$A$6:$CA$36,60,0)</f>
        <v>0</v>
      </c>
      <c r="AG35" s="36">
        <f>VLOOKUP($A35,[22]HISTODEC23!$A$6:$CA$36,61,0)</f>
        <v>0</v>
      </c>
      <c r="AH35" s="36">
        <f>VLOOKUP($A35,[22]HISTODEC23!$A$6:$CA$36,62,0)</f>
        <v>0</v>
      </c>
      <c r="AI35" s="36">
        <f>VLOOKUP($A35,[22]HISTODEC23!$A$6:$CA$36,63,0)</f>
        <v>0</v>
      </c>
      <c r="AJ35" s="36">
        <f>VLOOKUP($A35,[22]HISTODEC23!$A$6:$CA$36,64,0)</f>
        <v>0</v>
      </c>
      <c r="AK35" s="36">
        <f>VLOOKUP($A35,[22]HISTODEC23!$A$6:$CA$36,65,0)</f>
        <v>0</v>
      </c>
      <c r="AL35" s="36" t="e">
        <f>VLOOKUP($A35,[20]DETAILFICHECASSATION!$A$6:$R$36,12,0)</f>
        <v>#REF!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>
        <v>698024</v>
      </c>
      <c r="E36" s="36"/>
      <c r="F36" s="36">
        <f t="shared" si="0"/>
        <v>698024</v>
      </c>
      <c r="G36" s="5">
        <f t="shared" si="5"/>
        <v>698024</v>
      </c>
      <c r="H36" s="36">
        <f t="shared" si="1"/>
        <v>37295.319941571834</v>
      </c>
      <c r="I36" s="6">
        <f t="shared" si="2"/>
        <v>735319.3199415718</v>
      </c>
      <c r="J36" s="36">
        <f>VLOOKUP($A36,[22]HISTODEC23!$A$6:$AQ$40,22,0)</f>
        <v>0</v>
      </c>
      <c r="K36" s="36">
        <f>VLOOKUP($A36,[22]HISTODEC23!$A$6:$AU$36,45,0)</f>
        <v>15000</v>
      </c>
      <c r="L36" s="36">
        <f t="shared" si="3"/>
        <v>9000</v>
      </c>
      <c r="M36" s="36">
        <f t="shared" si="6"/>
        <v>1000</v>
      </c>
      <c r="N36" s="36">
        <f t="shared" si="4"/>
        <v>1000</v>
      </c>
      <c r="O36" s="36">
        <f t="shared" si="7"/>
        <v>4000</v>
      </c>
      <c r="P36" s="36">
        <f>VLOOKUP($A36,[22]HISTODEC23!$A$6:$AU$36,7,0)</f>
        <v>0</v>
      </c>
      <c r="Q36" s="36">
        <f>VLOOKUP($A36,[22]HISTODEC23!$A$6:$AU$36,23,0)</f>
        <v>0</v>
      </c>
      <c r="R36" s="36">
        <f>VLOOKUP($A36,[22]HISTODEC23!$A$6:$AU$36,46,0)</f>
        <v>0</v>
      </c>
      <c r="S36" s="36">
        <f>VLOOKUP($A36,[22]HISTODEC23!$A$6:$AU$36,26,0)</f>
        <v>700000</v>
      </c>
      <c r="T36" s="36">
        <f>VLOOKUP($A36,[22]HISTODEC23!$A$6:$BG$36,58,0)</f>
        <v>84000</v>
      </c>
      <c r="U36" s="36">
        <f>VLOOKUP($A36,[22]HISTODEC23!$A$6:$AU$36,28,0)</f>
        <v>0</v>
      </c>
      <c r="V36" s="36">
        <f>VLOOKUP($A36,[22]HISTODEC23!$A$6:$AU$36,19,0)</f>
        <v>0</v>
      </c>
      <c r="W36" s="36">
        <f>VLOOKUP($A36,[22]HISTODEC23!$A$6:$AU$36,20,0)</f>
        <v>0</v>
      </c>
      <c r="X36" s="36" t="str">
        <f>VLOOKUP($A36,[22]HISTODEC23!$A$6:$AU$36,27,0)</f>
        <v>BANQUE</v>
      </c>
      <c r="Y36" s="36">
        <f>VLOOKUP($A36,[22]HISTODEC23!$A$6:$BM$36,33,0)</f>
        <v>0</v>
      </c>
      <c r="Z36" s="36">
        <f>VLOOKUP($A36,[22]HISTODEC23!$A$6:$BM$36,65,0)</f>
        <v>0</v>
      </c>
      <c r="AA36" s="36"/>
      <c r="AB36" s="36">
        <f>VLOOKUP($A36,[22]HISTODEC23!$A$6:$AU$36,43,0)</f>
        <v>0</v>
      </c>
      <c r="AC36" s="36">
        <f>VLOOKUP($A36,[22]HISTODEC23!$A$6:$AU$36,44,0)</f>
        <v>0</v>
      </c>
      <c r="AD36" s="36">
        <f>VLOOKUP($A36,[22]HISTODEC23!$A$6:$AU$36,47,0)</f>
        <v>0</v>
      </c>
      <c r="AE36" s="36">
        <f>VLOOKUP(A36,[22]HISTODEC23!$A$6:$BB$36,54,0)</f>
        <v>0</v>
      </c>
      <c r="AF36" s="36">
        <f>VLOOKUP($A36,[22]HISTODEC23!$A$6:$CA$36,60,0)</f>
        <v>0</v>
      </c>
      <c r="AG36" s="36">
        <f>VLOOKUP($A36,[22]HISTODEC23!$A$6:$CA$36,61,0)</f>
        <v>0</v>
      </c>
      <c r="AH36" s="36">
        <f>VLOOKUP($A36,[22]HISTODEC23!$A$6:$CA$36,62,0)</f>
        <v>0</v>
      </c>
      <c r="AI36" s="36">
        <f>VLOOKUP($A36,[22]HISTODEC23!$A$6:$CA$36,63,0)</f>
        <v>0</v>
      </c>
      <c r="AJ36" s="36">
        <f>VLOOKUP($A36,[22]HISTODEC23!$A$6:$CA$36,64,0)</f>
        <v>0</v>
      </c>
      <c r="AK36" s="36">
        <f>VLOOKUP($A36,[22]HISTODEC23!$A$6:$CA$36,65,0)</f>
        <v>0</v>
      </c>
      <c r="AL36" s="36">
        <f>VLOOKUP($A36,[20]DETAILFICHECASSATION!$A$6:$R$36,12,0)</f>
        <v>700000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>
        <f>VLOOKUP($A37,[23]FONDSCAISSE!$A$2:$G$33,4,0)</f>
        <v>700000</v>
      </c>
      <c r="D37" s="36">
        <f>VLOOKUP($A37,[20]DETAILFICHECASSATION!$A$6:$R$36,17,0)</f>
        <v>1003326.8477058813</v>
      </c>
      <c r="E37" s="36"/>
      <c r="F37" s="36">
        <f t="shared" si="0"/>
        <v>1703326.8477058813</v>
      </c>
      <c r="G37" s="5">
        <f t="shared" si="5"/>
        <v>1703326.8477058813</v>
      </c>
      <c r="H37" s="36">
        <f t="shared" si="1"/>
        <v>91008.503647811318</v>
      </c>
      <c r="I37" s="6">
        <f t="shared" si="2"/>
        <v>1794335.3513536926</v>
      </c>
      <c r="J37" s="36">
        <f>VLOOKUP($A37,[22]HISTODEC23!$A$6:$AQ$40,22,0)</f>
        <v>0</v>
      </c>
      <c r="K37" s="36">
        <f>VLOOKUP($A37,[22]HISTODEC23!$A$6:$AU$36,45,0)</f>
        <v>15000</v>
      </c>
      <c r="L37" s="36">
        <f t="shared" ref="L37:L39" si="8">IF(K37=0,0,K37-(M37+N37+O37))</f>
        <v>9000</v>
      </c>
      <c r="M37" s="36">
        <f t="shared" ref="M37:M39" si="9">IF(K37=0,0,1000)</f>
        <v>1000</v>
      </c>
      <c r="N37" s="36">
        <f t="shared" ref="N37:N39" si="10">IF(K37=0,0,1000)</f>
        <v>1000</v>
      </c>
      <c r="O37" s="36">
        <f t="shared" ref="O37:O39" si="11">IF(K37=0,0,4000)</f>
        <v>4000</v>
      </c>
      <c r="P37" s="36">
        <f>VLOOKUP($A37,[22]HISTODEC23!$A$6:$AU$36,7,0)</f>
        <v>0</v>
      </c>
      <c r="Q37" s="36">
        <f>VLOOKUP($A37,[22]HISTODEC23!$A$6:$AU$36,23,0)</f>
        <v>0</v>
      </c>
      <c r="R37" s="36">
        <f>VLOOKUP($A37,[22]HISTODEC23!$A$6:$AU$36,46,0)</f>
        <v>0</v>
      </c>
      <c r="S37" s="36">
        <f>VLOOKUP($A37,[22]HISTODEC23!$A$6:$AU$36,26,0)</f>
        <v>0</v>
      </c>
      <c r="T37" s="36">
        <f>VLOOKUP($A37,[22]HISTODEC23!$A$6:$BG$36,58,0)</f>
        <v>0</v>
      </c>
      <c r="U37" s="36">
        <f>VLOOKUP($A37,[22]HISTODEC23!$A$6:$AU$36,28,0)</f>
        <v>0</v>
      </c>
      <c r="V37" s="36">
        <f>VLOOKUP($A37,[22]HISTODEC23!$A$6:$AU$36,19,0)</f>
        <v>227500</v>
      </c>
      <c r="W37" s="36" t="str">
        <f>VLOOKUP($A37,[22]HISTODEC23!$A$6:$AU$36,20,0)</f>
        <v>BANQUE</v>
      </c>
      <c r="X37" s="36">
        <f>VLOOKUP($A37,[22]HISTODEC23!$A$6:$AU$36,27,0)</f>
        <v>0</v>
      </c>
      <c r="Y37" s="36">
        <f>VLOOKUP($A37,[22]HISTODEC23!$A$6:$BM$36,33,0)</f>
        <v>0</v>
      </c>
      <c r="Z37" s="36">
        <f>VLOOKUP($A37,[22]HISTODEC23!$A$6:$BM$36,65,0)</f>
        <v>0</v>
      </c>
      <c r="AA37" s="36"/>
      <c r="AB37" s="36">
        <f>VLOOKUP($A37,[22]HISTODEC23!$A$6:$AU$36,43,0)</f>
        <v>0</v>
      </c>
      <c r="AC37" s="36">
        <f>VLOOKUP($A37,[22]HISTODEC23!$A$6:$AU$36,44,0)</f>
        <v>0</v>
      </c>
      <c r="AD37" s="36">
        <f>VLOOKUP($A37,[22]HISTODEC23!$A$6:$AU$36,47,0)</f>
        <v>0</v>
      </c>
      <c r="AE37" s="36">
        <f>VLOOKUP(A37,[22]HISTODEC23!$A$6:$BB$36,54,0)</f>
        <v>70000</v>
      </c>
      <c r="AF37" s="36">
        <f>VLOOKUP($A37,[22]HISTODEC23!$A$6:$CA$36,60,0)</f>
        <v>0</v>
      </c>
      <c r="AG37" s="36">
        <f>VLOOKUP($A37,[22]HISTODEC23!$A$6:$CA$36,61,0)</f>
        <v>0</v>
      </c>
      <c r="AH37" s="36">
        <f>VLOOKUP($A37,[22]HISTODEC23!$A$6:$CA$36,62,0)</f>
        <v>0</v>
      </c>
      <c r="AI37" s="36">
        <f>VLOOKUP($A37,[22]HISTODEC23!$A$6:$CA$36,63,0)</f>
        <v>0</v>
      </c>
      <c r="AJ37" s="36">
        <f>VLOOKUP($A37,[22]HISTODEC23!$A$6:$CA$36,64,0)</f>
        <v>0</v>
      </c>
      <c r="AK37" s="36">
        <f>VLOOKUP($A37,[22]HISTODEC23!$A$6:$CA$36,65,0)</f>
        <v>0</v>
      </c>
      <c r="AL37" s="36">
        <f>VLOOKUP($A37,[20]DETAILFICHECASSATION!$A$6:$R$36,12,0)</f>
        <v>100000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/>
      <c r="F38" s="36">
        <f t="shared" si="0"/>
        <v>0</v>
      </c>
      <c r="G38" s="5">
        <f t="shared" si="5"/>
        <v>0</v>
      </c>
      <c r="H38" s="36">
        <f t="shared" si="1"/>
        <v>0</v>
      </c>
      <c r="I38" s="6">
        <f t="shared" si="2"/>
        <v>0</v>
      </c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>
        <f>VLOOKUP($A39,[23]FONDSCAISSE!$A$2:$G$33,4,0)</f>
        <v>700000</v>
      </c>
      <c r="D39" s="36">
        <f>VLOOKUP($A39,[20]DETAILFICHECASSATION!$A$6:$R$36,17,0)</f>
        <v>1157834.9698456018</v>
      </c>
      <c r="E39" s="36"/>
      <c r="F39" s="36">
        <f t="shared" si="0"/>
        <v>1857834.9698456018</v>
      </c>
      <c r="G39" s="5">
        <f t="shared" si="5"/>
        <v>1857834.9698456018</v>
      </c>
      <c r="H39" s="36">
        <f t="shared" si="1"/>
        <v>99263.849952196746</v>
      </c>
      <c r="I39" s="6">
        <f t="shared" si="2"/>
        <v>1957098.8197977985</v>
      </c>
      <c r="J39" s="36">
        <f>VLOOKUP($A39,[22]HISTODEC23!$A$6:$AQ$40,22,0)</f>
        <v>11000</v>
      </c>
      <c r="K39" s="36">
        <f>VLOOKUP($A39,[22]HISTODEC23!$A$6:$AU$36,45,0)</f>
        <v>15000</v>
      </c>
      <c r="L39" s="36">
        <f t="shared" si="8"/>
        <v>9000</v>
      </c>
      <c r="M39" s="36">
        <f t="shared" si="9"/>
        <v>1000</v>
      </c>
      <c r="N39" s="36">
        <f t="shared" si="10"/>
        <v>1000</v>
      </c>
      <c r="O39" s="36">
        <f t="shared" si="11"/>
        <v>4000</v>
      </c>
      <c r="P39" s="36">
        <f>VLOOKUP($A39,[22]HISTODEC23!$A$6:$AU$36,7,0)</f>
        <v>0</v>
      </c>
      <c r="Q39" s="36">
        <f>VLOOKUP($A39,[22]HISTODEC23!$A$6:$AU$36,23,0)</f>
        <v>0</v>
      </c>
      <c r="R39" s="36">
        <f>VLOOKUP($A39,[22]HISTODEC23!$A$6:$AU$36,46,0)</f>
        <v>0</v>
      </c>
      <c r="S39" s="36">
        <f>VLOOKUP($A39,[22]HISTODEC23!$A$6:$AU$36,26,0)</f>
        <v>0</v>
      </c>
      <c r="T39" s="36">
        <f>VLOOKUP($A39,[22]HISTODEC23!$A$6:$BG$36,58,0)</f>
        <v>0</v>
      </c>
      <c r="U39" s="36">
        <f>VLOOKUP($A39,[22]HISTODEC23!$A$6:$AU$36,28,0)</f>
        <v>0</v>
      </c>
      <c r="V39" s="36">
        <f>VLOOKUP($A39,[22]HISTODEC23!$A$6:$AU$36,19,0)</f>
        <v>0</v>
      </c>
      <c r="W39" s="36">
        <f>VLOOKUP($A39,[22]HISTODEC23!$A$6:$AU$36,20,0)</f>
        <v>0</v>
      </c>
      <c r="X39" s="36">
        <f>VLOOKUP($A39,[22]HISTODEC23!$A$6:$AU$36,27,0)</f>
        <v>0</v>
      </c>
      <c r="Y39" s="36">
        <f>VLOOKUP($A39,[22]HISTODEC23!$A$6:$BM$36,33,0)</f>
        <v>0</v>
      </c>
      <c r="Z39" s="36">
        <f>VLOOKUP($A39,[22]HISTODEC23!$A$6:$BM$36,65,0)</f>
        <v>0</v>
      </c>
      <c r="AA39" s="36"/>
      <c r="AB39" s="36">
        <f>VLOOKUP($A39,[22]HISTODEC23!$A$6:$AU$36,43,0)</f>
        <v>0</v>
      </c>
      <c r="AC39" s="36">
        <f>VLOOKUP($A39,[22]HISTODEC23!$A$6:$AU$36,44,0)</f>
        <v>0</v>
      </c>
      <c r="AD39" s="36">
        <f>VLOOKUP($A39,[22]HISTODEC23!$A$6:$AU$36,47,0)</f>
        <v>0</v>
      </c>
      <c r="AE39" s="36">
        <f>VLOOKUP(A39,[22]HISTODEC23!$A$6:$BB$36,54,0)</f>
        <v>0</v>
      </c>
      <c r="AF39" s="36">
        <f>VLOOKUP($A39,[22]HISTODEC23!$A$6:$CA$36,60,0)</f>
        <v>0</v>
      </c>
      <c r="AG39" s="36">
        <f>VLOOKUP($A39,[22]HISTODEC23!$A$6:$CA$36,61,0)</f>
        <v>0</v>
      </c>
      <c r="AH39" s="36">
        <f>VLOOKUP($A39,[22]HISTODEC23!$A$6:$CA$36,62,0)</f>
        <v>0</v>
      </c>
      <c r="AI39" s="36">
        <f>VLOOKUP($A39,[22]HISTODEC23!$A$6:$CA$36,63,0)</f>
        <v>0</v>
      </c>
      <c r="AJ39" s="36">
        <f>VLOOKUP($A39,[22]HISTODEC23!$A$6:$CA$36,64,0)</f>
        <v>0</v>
      </c>
      <c r="AK39" s="36">
        <f>VLOOKUP($A39,[22]HISTODEC23!$A$6:$CA$36,65,0)</f>
        <v>0</v>
      </c>
      <c r="AL39" s="36">
        <f>VLOOKUP($A39,[20]DETAILFICHECASSATION!$A$6:$R$36,12,0)</f>
        <v>100000</v>
      </c>
    </row>
    <row r="40" spans="1:38" x14ac:dyDescent="0.35">
      <c r="A40" s="15"/>
      <c r="B40" s="1"/>
      <c r="C40" s="1"/>
      <c r="D40" s="1"/>
      <c r="E40" s="1"/>
      <c r="F40" s="1"/>
      <c r="G40" s="1"/>
      <c r="H40" s="36"/>
      <c r="I40" s="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10"/>
      <c r="W40" s="2"/>
    </row>
    <row r="41" spans="1:38" ht="17.5" x14ac:dyDescent="0.35">
      <c r="A41" s="1" t="s">
        <v>57</v>
      </c>
      <c r="B41" s="1"/>
      <c r="C41" s="9">
        <f t="shared" ref="C41:AL41" si="12">SUM(C6:C40)</f>
        <v>16800000</v>
      </c>
      <c r="D41" s="9">
        <f t="shared" si="12"/>
        <v>7429656.0731219184</v>
      </c>
      <c r="E41" s="9">
        <f t="shared" si="12"/>
        <v>0</v>
      </c>
      <c r="F41" s="9">
        <f t="shared" si="12"/>
        <v>24229656.073121917</v>
      </c>
      <c r="G41" s="9">
        <f t="shared" si="12"/>
        <v>21860438.073121917</v>
      </c>
      <c r="H41" s="36">
        <f t="shared" si="12"/>
        <v>1167999.9999999998</v>
      </c>
      <c r="I41" s="153">
        <f t="shared" si="12"/>
        <v>25397656.073121928</v>
      </c>
      <c r="J41" s="9">
        <f t="shared" si="12"/>
        <v>187000</v>
      </c>
      <c r="K41" s="9">
        <f t="shared" si="12"/>
        <v>638800</v>
      </c>
      <c r="L41" s="9">
        <f t="shared" si="12"/>
        <v>483800</v>
      </c>
      <c r="M41" s="9">
        <f t="shared" si="12"/>
        <v>30000</v>
      </c>
      <c r="N41" s="9">
        <f t="shared" si="12"/>
        <v>30000</v>
      </c>
      <c r="O41" s="9">
        <f t="shared" si="12"/>
        <v>120000</v>
      </c>
      <c r="P41" s="9">
        <f t="shared" si="12"/>
        <v>0</v>
      </c>
      <c r="Q41" s="9">
        <f t="shared" si="12"/>
        <v>0</v>
      </c>
      <c r="R41" s="9">
        <f t="shared" si="12"/>
        <v>0</v>
      </c>
      <c r="S41" s="9">
        <f t="shared" si="12"/>
        <v>15088500</v>
      </c>
      <c r="T41" s="9">
        <f t="shared" si="12"/>
        <v>1168000</v>
      </c>
      <c r="U41" s="9">
        <f t="shared" si="12"/>
        <v>0</v>
      </c>
      <c r="V41" s="9">
        <f t="shared" si="12"/>
        <v>13192700</v>
      </c>
      <c r="W41" s="9">
        <f t="shared" si="12"/>
        <v>0</v>
      </c>
      <c r="X41" s="9">
        <f t="shared" si="12"/>
        <v>0</v>
      </c>
      <c r="Y41" s="9">
        <f t="shared" si="12"/>
        <v>0</v>
      </c>
      <c r="Z41" s="9">
        <f t="shared" si="12"/>
        <v>0</v>
      </c>
      <c r="AA41" s="9">
        <f t="shared" si="12"/>
        <v>0</v>
      </c>
      <c r="AB41" s="9">
        <f t="shared" si="12"/>
        <v>0</v>
      </c>
      <c r="AC41" s="9">
        <f t="shared" si="12"/>
        <v>0</v>
      </c>
      <c r="AD41" s="9">
        <f t="shared" si="12"/>
        <v>0</v>
      </c>
      <c r="AE41" s="9">
        <f t="shared" si="12"/>
        <v>140000</v>
      </c>
      <c r="AF41" s="9">
        <f t="shared" si="12"/>
        <v>6000</v>
      </c>
      <c r="AG41" s="9">
        <f t="shared" si="12"/>
        <v>0</v>
      </c>
      <c r="AH41" s="9">
        <f t="shared" si="12"/>
        <v>0</v>
      </c>
      <c r="AI41" s="9">
        <f t="shared" si="12"/>
        <v>0</v>
      </c>
      <c r="AJ41" s="9">
        <f t="shared" si="12"/>
        <v>0</v>
      </c>
      <c r="AK41" s="9">
        <f t="shared" si="12"/>
        <v>0</v>
      </c>
      <c r="AL41" s="9" t="e">
        <f t="shared" si="12"/>
        <v>#REF!</v>
      </c>
    </row>
    <row r="44" spans="1:38" x14ac:dyDescent="0.35">
      <c r="G44" s="2"/>
      <c r="H44" s="2"/>
      <c r="I44" s="2"/>
    </row>
  </sheetData>
  <autoFilter ref="A5:V36" xr:uid="{00000000-0009-0000-0000-000005000000}">
    <sortState ref="A5:L48">
      <sortCondition ref="B5:B48"/>
    </sortState>
  </autoFilter>
  <mergeCells count="2">
    <mergeCell ref="AL1:AM1"/>
    <mergeCell ref="K4:P4"/>
  </mergeCells>
  <dataValidations disablePrompts="1" count="1">
    <dataValidation type="list" allowBlank="1" showInputMessage="1" showErrorMessage="1" sqref="V40" xr:uid="{00000000-0002-0000-05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BF1C3-7BA5-4F08-8808-604B5C60E9B1}">
  <dimension ref="A1:AM47"/>
  <sheetViews>
    <sheetView workbookViewId="0">
      <pane xSplit="2" ySplit="5" topLeftCell="C33" activePane="bottomRight" state="frozen"/>
      <selection activeCell="J47" sqref="J47"/>
      <selection pane="topRight" activeCell="J47" sqref="J47"/>
      <selection pane="bottomLeft" activeCell="J47" sqref="J47"/>
      <selection pane="bottomRight" activeCell="A37" sqref="A37:XFD3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9" width="18.26953125" customWidth="1"/>
    <col min="10" max="10" width="15" bestFit="1" customWidth="1"/>
    <col min="11" max="11" width="17.54296875" style="177" bestFit="1" customWidth="1"/>
    <col min="12" max="12" width="17.54296875" style="17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1"/>
      <c r="I2" s="152">
        <f>IF(E2&gt;=700000,($T$44/$G$44*H2),0)</f>
        <v>0</v>
      </c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59"/>
      <c r="I4" s="16"/>
      <c r="J4" s="176"/>
      <c r="K4" s="189">
        <v>45643</v>
      </c>
      <c r="L4" s="189"/>
      <c r="M4" s="189"/>
      <c r="N4" s="189"/>
      <c r="O4" s="189"/>
      <c r="P4" s="189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325</v>
      </c>
      <c r="AM5" s="83" t="s">
        <v>335</v>
      </c>
    </row>
    <row r="6" spans="1:39" x14ac:dyDescent="0.35">
      <c r="A6" s="1" t="s">
        <v>16</v>
      </c>
      <c r="B6" s="1" t="str">
        <f>VLOOKUP(A6,[24]LISTADHERENT!A$5:H$50,3,0)</f>
        <v>ASELBY</v>
      </c>
      <c r="D6" s="36">
        <f>VLOOKUP($A6,[25]FONDSCAISSE!$A$2:$H$43,6,0)</f>
        <v>1023134</v>
      </c>
      <c r="E6" s="36">
        <f>VLOOKUP($A6,[26]HISTOJANV25!$A$6:$BR$42,48,0)</f>
        <v>0</v>
      </c>
      <c r="F6" s="36">
        <f t="shared" ref="F6:F7" si="0">C6+D6-E6</f>
        <v>1023134</v>
      </c>
      <c r="G6" s="5">
        <f>IF(F6&gt;=700000,(C6+D6-E6),0)</f>
        <v>1023134</v>
      </c>
      <c r="H6" s="36">
        <f>VLOOKUP(A6,[27]MVTDEC24!$A$6:$AM$42,8,0)</f>
        <v>49185.181654784057</v>
      </c>
      <c r="I6" s="6">
        <f>(F6+H6)</f>
        <v>1072319.1816547841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>
        <f>VLOOKUP($A6,[22]HISTODEC23!$A$6:$CA$36,60,0)</f>
        <v>6000</v>
      </c>
      <c r="AG6" s="36">
        <f>VLOOKUP($A6,[22]HISTODEC23!$A$6:$CA$36,61,0)</f>
        <v>0</v>
      </c>
      <c r="AH6" s="36">
        <f>VLOOKUP($A6,[22]HISTODEC23!$A$6:$CA$36,62,0)</f>
        <v>0</v>
      </c>
      <c r="AI6" s="36">
        <f>VLOOKUP($A6,[22]HISTODEC23!$A$6:$CA$36,63,0)</f>
        <v>0</v>
      </c>
      <c r="AJ6" s="36">
        <f>VLOOKUP($A6,[22]HISTODEC23!$A$6:$CA$36,64,0)</f>
        <v>0</v>
      </c>
      <c r="AK6" s="36">
        <f>VLOOKUP($A6,[22]HISTODEC23!$A$6:$CA$36,65,0)</f>
        <v>0</v>
      </c>
      <c r="AL6" s="36"/>
    </row>
    <row r="7" spans="1:39" x14ac:dyDescent="0.35">
      <c r="A7" s="1" t="s">
        <v>17</v>
      </c>
      <c r="B7" s="1" t="str">
        <f>VLOOKUP(A7,[24]LISTADHERENT!A$5:H$50,3,0)</f>
        <v>BAKOP ACHILLE</v>
      </c>
      <c r="C7" s="36">
        <f>VLOOKUP($A7,[25]FONDSCAISSE!$A$2:$H$43,4,0)</f>
        <v>800000</v>
      </c>
      <c r="D7" s="36">
        <f>VLOOKUP($A7,[25]FONDSCAISSE!$A$2:$H$43,6,0)</f>
        <v>18598</v>
      </c>
      <c r="E7" s="36">
        <f>VLOOKUP($A7,[26]HISTOJANV25!$A$6:$BR$42,48,0)</f>
        <v>0</v>
      </c>
      <c r="F7" s="36">
        <f t="shared" si="0"/>
        <v>818598</v>
      </c>
      <c r="G7" s="5">
        <f t="shared" ref="G7:G42" si="1">IF(F7&gt;=700000,(C7+D7-E7),0)</f>
        <v>818598</v>
      </c>
      <c r="H7" s="36">
        <f>VLOOKUP(A7,[27]MVTDEC24!$A$6:$AM$42,8,0)</f>
        <v>39352.510357629522</v>
      </c>
      <c r="I7" s="6">
        <f t="shared" ref="I7:I42" si="2">(F7+H7)</f>
        <v>857950.51035762951</v>
      </c>
      <c r="J7" s="36">
        <f>VLOOKUP($A7,[28]HISTODEC24!$A$6:$AQ$40,22,0)</f>
        <v>0</v>
      </c>
      <c r="K7" s="36">
        <f>VLOOKUP($A7,[22]HISTODEC23!$A$6:$AU$40,45,0)</f>
        <v>15000</v>
      </c>
      <c r="L7" s="36">
        <f t="shared" ref="L7:L42" si="3">IF(K7=0,0,K7-(M7+N7+O7))</f>
        <v>9000</v>
      </c>
      <c r="M7" s="36">
        <f>IF(K7=0,0,1000)</f>
        <v>1000</v>
      </c>
      <c r="N7" s="36">
        <f t="shared" ref="N7:N42" si="4">IF(K7=0,0,1000)</f>
        <v>1000</v>
      </c>
      <c r="O7" s="36">
        <f>IF(K7=0,0,4000)</f>
        <v>4000</v>
      </c>
      <c r="P7" s="36">
        <f>VLOOKUP($A7,[22]HISTODEC23!$A$6:$AU$36,7,0)</f>
        <v>0</v>
      </c>
      <c r="Q7" s="36">
        <f>VLOOKUP($A7,[22]HISTODEC23!$A$6:$AU$36,23,0)</f>
        <v>0</v>
      </c>
      <c r="R7" s="36">
        <f>VLOOKUP($A7,[22]HISTODEC23!$A$6:$AU$36,46,0)</f>
        <v>0</v>
      </c>
      <c r="S7" s="36">
        <f>VLOOKUP($A7,[28]HISTODEC24!$A$6:$AU$40,26,0)</f>
        <v>0</v>
      </c>
      <c r="T7" s="36"/>
      <c r="U7" s="36">
        <f>VLOOKUP($A7,[22]HISTODEC23!$A$6:$AU$36,28,0)</f>
        <v>0</v>
      </c>
      <c r="V7" s="36">
        <f>VLOOKUP($A7,[22]HISTODEC23!$A$6:$AU$36,19,0)</f>
        <v>600000</v>
      </c>
      <c r="W7" s="36" t="str">
        <f>VLOOKUP($A7,[22]HISTODEC23!$A$6:$AU$36,20,0)</f>
        <v>BANQUE</v>
      </c>
      <c r="X7" s="36" t="str">
        <f>VLOOKUP($A7,[22]HISTODEC23!$A$6:$AU$36,27,0)</f>
        <v>BANQUE</v>
      </c>
      <c r="Y7" s="36">
        <f>VLOOKUP($A7,[22]HISTODEC23!$A$6:$BM$36,33,0)</f>
        <v>0</v>
      </c>
      <c r="Z7" s="36">
        <f>VLOOKUP($A7,[22]HISTODEC23!$A$6:$BM$36,65,0)</f>
        <v>0</v>
      </c>
      <c r="AA7" s="36"/>
      <c r="AB7" s="36">
        <f>VLOOKUP($A7,[22]HISTODEC23!$A$6:$AU$36,43,0)</f>
        <v>0</v>
      </c>
      <c r="AC7" s="36">
        <f>VLOOKUP($A7,[22]HISTODEC23!$A$6:$AU$36,44,0)</f>
        <v>0</v>
      </c>
      <c r="AD7" s="36">
        <f>VLOOKUP($A7,[22]HISTODEC23!$A$6:$AU$36,47,0)</f>
        <v>0</v>
      </c>
      <c r="AE7" s="36">
        <f>VLOOKUP(A7,[22]HISTODEC23!$A$6:$BB$36,54,0)</f>
        <v>0</v>
      </c>
      <c r="AF7" s="36">
        <f>VLOOKUP($A7,[22]HISTODEC23!$A$6:$CA$36,60,0)</f>
        <v>0</v>
      </c>
      <c r="AG7" s="36">
        <f>VLOOKUP($A7,[22]HISTODEC23!$A$6:$CA$36,61,0)</f>
        <v>0</v>
      </c>
      <c r="AH7" s="36">
        <f>VLOOKUP($A7,[22]HISTODEC23!$A$6:$CA$36,62,0)</f>
        <v>0</v>
      </c>
      <c r="AI7" s="36">
        <f>VLOOKUP($A7,[22]HISTODEC23!$A$6:$CA$36,63,0)</f>
        <v>0</v>
      </c>
      <c r="AJ7" s="36">
        <f>VLOOKUP($A7,[22]HISTODEC23!$A$6:$CA$36,64,0)</f>
        <v>0</v>
      </c>
      <c r="AK7" s="36">
        <f>VLOOKUP($A7,[22]HISTODEC23!$A$6:$CA$36,65,0)</f>
        <v>0</v>
      </c>
      <c r="AL7" s="36">
        <f>VLOOKUP($A7,[20]DETAILFICHECASSATION!$A$6:$R$36,12,0)</f>
        <v>700000</v>
      </c>
    </row>
    <row r="8" spans="1:39" x14ac:dyDescent="0.35">
      <c r="A8" s="1" t="s">
        <v>19</v>
      </c>
      <c r="B8" s="1" t="str">
        <f>VLOOKUP(A8,[24]LISTADHERENT!A$5:H$50,3,0)</f>
        <v>BOUTCHOUANG WILLIAM</v>
      </c>
      <c r="C8" s="36">
        <f>VLOOKUP($A8,[25]FONDSCAISSE!$A$2:$H$43,4,0)</f>
        <v>800000</v>
      </c>
      <c r="D8" s="36">
        <f>VLOOKUP($A8,[25]FONDSCAISSE!$A$2:$H$43,6,0)</f>
        <v>132669</v>
      </c>
      <c r="E8" s="36">
        <f>VLOOKUP($A8,[26]HISTOJANV25!$A$6:$BR$42,48,0)</f>
        <v>0</v>
      </c>
      <c r="F8" s="36">
        <f t="shared" ref="F8:F42" si="5">C8+D8-E8</f>
        <v>932669</v>
      </c>
      <c r="G8" s="5">
        <f t="shared" si="1"/>
        <v>932669</v>
      </c>
      <c r="H8" s="36">
        <f>VLOOKUP(A8,[27]MVTDEC24!$A$6:$AM$42,8,0)</f>
        <v>44836.252327442729</v>
      </c>
      <c r="I8" s="6">
        <f t="shared" si="2"/>
        <v>977505.25232744275</v>
      </c>
      <c r="J8" s="36">
        <f>VLOOKUP($A8,[28]HISTODEC24!$A$6:$AQ$40,22,0)</f>
        <v>0</v>
      </c>
      <c r="K8" s="36">
        <f>VLOOKUP($A8,[22]HISTODEC23!$A$6:$AU$40,45,0)</f>
        <v>15000</v>
      </c>
      <c r="L8" s="36">
        <f t="shared" si="3"/>
        <v>9000</v>
      </c>
      <c r="M8" s="36">
        <f t="shared" ref="M8:M42" si="6">IF(K8=0,0,1000)</f>
        <v>1000</v>
      </c>
      <c r="N8" s="36">
        <f t="shared" si="4"/>
        <v>1000</v>
      </c>
      <c r="O8" s="36">
        <f>IF(K8=0,0,4000)</f>
        <v>4000</v>
      </c>
      <c r="P8" s="36">
        <f>VLOOKUP($A8,[22]HISTODEC23!$A$6:$AU$36,7,0)</f>
        <v>0</v>
      </c>
      <c r="Q8" s="36">
        <f>VLOOKUP($A8,[22]HISTODEC23!$A$6:$AU$36,23,0)</f>
        <v>0</v>
      </c>
      <c r="R8" s="36">
        <f>VLOOKUP($A8,[22]HISTODEC23!$A$6:$AU$36,46,0)</f>
        <v>0</v>
      </c>
      <c r="S8" s="36">
        <f>VLOOKUP($A8,[26]HISTODEC24!$A$6:$AU$41,26,0)</f>
        <v>500000</v>
      </c>
      <c r="T8" s="36">
        <f>VLOOKUP($A8,[26]HISTODEC24!$A$6:$BG$41,58,0)</f>
        <v>15000</v>
      </c>
      <c r="U8" s="36">
        <f>VLOOKUP($A8,[22]HISTODEC23!$A$6:$AU$36,28,0)</f>
        <v>0</v>
      </c>
      <c r="V8" s="36">
        <f>VLOOKUP($A8,[22]HISTODEC23!$A$6:$AU$36,19,0)</f>
        <v>0</v>
      </c>
      <c r="W8" s="36">
        <f>VLOOKUP($A8,[22]HISTODEC23!$A$6:$AU$36,20,0)</f>
        <v>0</v>
      </c>
      <c r="X8" s="36" t="str">
        <f>VLOOKUP($A8,[22]HISTODEC23!$A$6:$AU$36,27,0)</f>
        <v>BANQUE</v>
      </c>
      <c r="Y8" s="36">
        <f>VLOOKUP($A8,[22]HISTODEC23!$A$6:$BM$36,33,0)</f>
        <v>0</v>
      </c>
      <c r="Z8" s="36">
        <f>VLOOKUP($A8,[22]HISTODEC23!$A$6:$BM$36,65,0)</f>
        <v>0</v>
      </c>
      <c r="AA8" s="36"/>
      <c r="AB8" s="36">
        <f>VLOOKUP($A8,[22]HISTODEC23!$A$6:$AU$36,43,0)</f>
        <v>0</v>
      </c>
      <c r="AC8" s="36">
        <f>VLOOKUP($A8,[22]HISTODEC23!$A$6:$AU$36,44,0)</f>
        <v>0</v>
      </c>
      <c r="AD8" s="36">
        <f>VLOOKUP($A8,[22]HISTODEC23!$A$6:$AU$36,47,0)</f>
        <v>0</v>
      </c>
      <c r="AE8" s="36">
        <f>VLOOKUP(A8,[22]HISTODEC23!$A$6:$BB$36,54,0)</f>
        <v>0</v>
      </c>
      <c r="AF8" s="36">
        <f>VLOOKUP($A8,[22]HISTODEC23!$A$6:$CA$36,60,0)</f>
        <v>0</v>
      </c>
      <c r="AG8" s="36">
        <f>VLOOKUP($A8,[22]HISTODEC23!$A$6:$CA$36,61,0)</f>
        <v>0</v>
      </c>
      <c r="AH8" s="36">
        <f>VLOOKUP($A8,[22]HISTODEC23!$A$6:$CA$36,62,0)</f>
        <v>0</v>
      </c>
      <c r="AI8" s="36">
        <f>VLOOKUP($A8,[22]HISTODEC23!$A$6:$CA$36,63,0)</f>
        <v>0</v>
      </c>
      <c r="AJ8" s="36">
        <f>VLOOKUP($A8,[22]HISTODEC23!$A$6:$CA$36,64,0)</f>
        <v>0</v>
      </c>
      <c r="AK8" s="36">
        <f>VLOOKUP($A8,[22]HISTODEC23!$A$6:$CA$36,65,0)</f>
        <v>0</v>
      </c>
      <c r="AL8" s="36">
        <f>VLOOKUP($A8,[20]DETAILFICHECASSATION!$A$6:$R$36,12,0)</f>
        <v>100000</v>
      </c>
    </row>
    <row r="9" spans="1:39" x14ac:dyDescent="0.35">
      <c r="A9" s="1" t="s">
        <v>23</v>
      </c>
      <c r="B9" s="1" t="str">
        <f>VLOOKUP(A9,[24]LISTADHERENT!A$5:H$50,3,0)</f>
        <v xml:space="preserve">DJOMO JEAN PAUL </v>
      </c>
      <c r="C9" s="36">
        <f>VLOOKUP($A9,[25]FONDSCAISSE!$A$2:$H$43,4,0)</f>
        <v>800000</v>
      </c>
      <c r="D9" s="36">
        <f>VLOOKUP($A9,[25]FONDSCAISSE!$A$2:$H$43,6,0)</f>
        <v>6643</v>
      </c>
      <c r="E9" s="36">
        <f>VLOOKUP($A9,[26]HISTOJANV25!$A$6:$BR$42,48,0)</f>
        <v>0</v>
      </c>
      <c r="F9" s="36">
        <f t="shared" si="5"/>
        <v>806643</v>
      </c>
      <c r="G9" s="5">
        <f t="shared" si="1"/>
        <v>806643</v>
      </c>
      <c r="H9" s="36">
        <f>VLOOKUP(A9,[27]MVTDEC24!$A$6:$AM$42,8,0)</f>
        <v>38777.796931350123</v>
      </c>
      <c r="I9" s="6">
        <f t="shared" si="2"/>
        <v>845420.79693135014</v>
      </c>
      <c r="J9" s="36">
        <f>VLOOKUP($A9,[28]HISTODEC24!$A$6:$AQ$40,22,0)</f>
        <v>0</v>
      </c>
      <c r="K9" s="36">
        <f>VLOOKUP($A9,[22]HISTODEC23!$A$6:$AU$40,45,0)</f>
        <v>40000</v>
      </c>
      <c r="L9" s="36">
        <f t="shared" si="3"/>
        <v>34000</v>
      </c>
      <c r="M9" s="36">
        <f t="shared" si="6"/>
        <v>1000</v>
      </c>
      <c r="N9" s="36">
        <f t="shared" si="4"/>
        <v>1000</v>
      </c>
      <c r="O9" s="36">
        <f t="shared" ref="O9:O42" si="7">IF(K9=0,0,4000)</f>
        <v>4000</v>
      </c>
      <c r="P9" s="36">
        <f>VLOOKUP($A9,[22]HISTODEC23!$A$6:$AU$36,7,0)</f>
        <v>0</v>
      </c>
      <c r="Q9" s="36">
        <f>VLOOKUP($A9,[22]HISTODEC23!$A$6:$AU$36,23,0)</f>
        <v>0</v>
      </c>
      <c r="R9" s="36">
        <f>VLOOKUP($A9,[22]HISTODEC23!$A$6:$AU$36,46,0)</f>
        <v>0</v>
      </c>
      <c r="S9" s="36">
        <f>VLOOKUP($A9,[26]HISTODEC24!$A$6:$AU$41,26,0)</f>
        <v>1000000</v>
      </c>
      <c r="T9" s="36">
        <f>VLOOKUP($A9,[26]HISTODEC24!$A$6:$BG$41,58,0)</f>
        <v>120000</v>
      </c>
      <c r="U9" s="36">
        <f>VLOOKUP($A9,[22]HISTODEC23!$A$6:$AU$36,28,0)</f>
        <v>0</v>
      </c>
      <c r="V9" s="36">
        <f>VLOOKUP($A9,[22]HISTODEC23!$A$6:$AU$36,19,0)</f>
        <v>1000000</v>
      </c>
      <c r="W9" s="36" t="str">
        <f>VLOOKUP($A9,[22]HISTODEC23!$A$6:$AU$36,20,0)</f>
        <v>BANQUE</v>
      </c>
      <c r="X9" s="36" t="str">
        <f>VLOOKUP($A9,[22]HISTODEC23!$A$6:$AU$36,27,0)</f>
        <v>BANQUE</v>
      </c>
      <c r="Y9" s="36">
        <f>VLOOKUP($A9,[22]HISTODEC23!$A$6:$BM$36,33,0)</f>
        <v>0</v>
      </c>
      <c r="Z9" s="36">
        <f>VLOOKUP($A9,[22]HISTODEC23!$A$6:$BM$36,65,0)</f>
        <v>0</v>
      </c>
      <c r="AA9" s="36"/>
      <c r="AB9" s="36">
        <f>VLOOKUP($A9,[22]HISTODEC23!$A$6:$AU$36,43,0)</f>
        <v>0</v>
      </c>
      <c r="AC9" s="36">
        <f>VLOOKUP($A9,[22]HISTODEC23!$A$6:$AU$36,44,0)</f>
        <v>0</v>
      </c>
      <c r="AD9" s="36">
        <f>VLOOKUP($A9,[22]HISTODEC23!$A$6:$AU$36,47,0)</f>
        <v>0</v>
      </c>
      <c r="AE9" s="36">
        <f>VLOOKUP(A9,[22]HISTODEC23!$A$6:$BB$36,54,0)</f>
        <v>0</v>
      </c>
      <c r="AF9" s="36">
        <f>VLOOKUP($A9,[22]HISTODEC23!$A$6:$CA$36,60,0)</f>
        <v>0</v>
      </c>
      <c r="AG9" s="36">
        <f>VLOOKUP($A9,[22]HISTODEC23!$A$6:$CA$36,61,0)</f>
        <v>0</v>
      </c>
      <c r="AH9" s="36">
        <f>VLOOKUP($A9,[22]HISTODEC23!$A$6:$CA$36,62,0)</f>
        <v>0</v>
      </c>
      <c r="AI9" s="36">
        <f>VLOOKUP($A9,[22]HISTODEC23!$A$6:$CA$36,63,0)</f>
        <v>0</v>
      </c>
      <c r="AJ9" s="36">
        <f>VLOOKUP($A9,[22]HISTODEC23!$A$6:$CA$36,64,0)</f>
        <v>0</v>
      </c>
      <c r="AK9" s="36">
        <f>VLOOKUP($A9,[22]HISTODEC23!$A$6:$CA$36,65,0)</f>
        <v>0</v>
      </c>
      <c r="AL9" s="36">
        <f>VLOOKUP($A9,[20]DETAILFICHECASSATION!$A$6:$R$36,12,0)</f>
        <v>100000</v>
      </c>
    </row>
    <row r="10" spans="1:39" x14ac:dyDescent="0.35">
      <c r="A10" s="1" t="s">
        <v>154</v>
      </c>
      <c r="B10" s="1" t="str">
        <f>VLOOKUP(A10,[24]LISTADHERENT!A$5:H$50,3,0)</f>
        <v>DJOMOU TCHAPDA</v>
      </c>
      <c r="C10" s="36">
        <f>VLOOKUP($A10,[25]FONDSCAISSE!$A$2:$H$43,4,0)</f>
        <v>800000</v>
      </c>
      <c r="D10" s="36">
        <f>VLOOKUP($A10,[25]FONDSCAISSE!$A$2:$H$43,6,0)</f>
        <v>7246</v>
      </c>
      <c r="E10" s="36">
        <f>VLOOKUP($A10,[26]HISTOJANV25!$A$6:$BR$42,48,0)</f>
        <v>0</v>
      </c>
      <c r="F10" s="36">
        <f t="shared" si="5"/>
        <v>807246</v>
      </c>
      <c r="G10" s="5">
        <f t="shared" si="1"/>
        <v>807246</v>
      </c>
      <c r="H10" s="36">
        <f>VLOOKUP(A10,[27]MVTDEC24!$A$6:$AM$42,8,0)</f>
        <v>38806.784986226448</v>
      </c>
      <c r="I10" s="6">
        <f t="shared" si="2"/>
        <v>846052.78498622647</v>
      </c>
      <c r="J10" s="36">
        <f>VLOOKUP($A10,[28]HISTODEC24!$A$6:$AQ$40,22,0)</f>
        <v>0</v>
      </c>
      <c r="K10" s="36">
        <f>VLOOKUP($A10,[22]HISTODEC23!$A$6:$AU$40,45,0)</f>
        <v>15000</v>
      </c>
      <c r="L10" s="36">
        <f t="shared" si="3"/>
        <v>9000</v>
      </c>
      <c r="M10" s="36">
        <f t="shared" si="6"/>
        <v>1000</v>
      </c>
      <c r="N10" s="36">
        <f t="shared" si="4"/>
        <v>1000</v>
      </c>
      <c r="O10" s="36">
        <f t="shared" si="7"/>
        <v>4000</v>
      </c>
      <c r="P10" s="36">
        <f>VLOOKUP($A10,[22]HISTODEC23!$A$6:$AU$36,7,0)</f>
        <v>0</v>
      </c>
      <c r="Q10" s="36">
        <f>VLOOKUP($A10,[22]HISTODEC23!$A$6:$AU$36,23,0)</f>
        <v>0</v>
      </c>
      <c r="R10" s="36">
        <f>VLOOKUP($A10,[22]HISTODEC23!$A$6:$AU$36,46,0)</f>
        <v>0</v>
      </c>
      <c r="S10" s="36">
        <f>VLOOKUP($A10,[26]HISTODEC24!$A$6:$AU$41,26,0)</f>
        <v>1000000</v>
      </c>
      <c r="T10" s="36">
        <f>VLOOKUP($A10,[26]HISTODEC24!$A$6:$BG$41,58,0)</f>
        <v>120000</v>
      </c>
      <c r="U10" s="36">
        <f>VLOOKUP($A10,[22]HISTODEC23!$A$6:$AU$36,28,0)</f>
        <v>0</v>
      </c>
      <c r="V10" s="36">
        <f>VLOOKUP($A10,[22]HISTODEC23!$A$6:$AU$36,19,0)</f>
        <v>0</v>
      </c>
      <c r="W10" s="36">
        <f>VLOOKUP($A10,[22]HISTODEC23!$A$6:$AU$36,20,0)</f>
        <v>0</v>
      </c>
      <c r="X10" s="36" t="str">
        <f>VLOOKUP($A10,[22]HISTODEC23!$A$6:$AU$36,27,0)</f>
        <v>BANQUE</v>
      </c>
      <c r="Y10" s="36">
        <f>VLOOKUP($A10,[22]HISTODEC23!$A$6:$BM$36,33,0)</f>
        <v>0</v>
      </c>
      <c r="Z10" s="36">
        <f>VLOOKUP($A10,[22]HISTODEC23!$A$6:$BM$36,65,0)</f>
        <v>0</v>
      </c>
      <c r="AA10" s="36"/>
      <c r="AB10" s="36">
        <f>VLOOKUP($A10,[22]HISTODEC23!$A$6:$AU$36,43,0)</f>
        <v>0</v>
      </c>
      <c r="AC10" s="36">
        <f>VLOOKUP($A10,[22]HISTODEC23!$A$6:$AU$36,44,0)</f>
        <v>0</v>
      </c>
      <c r="AD10" s="36">
        <f>VLOOKUP($A10,[22]HISTODEC23!$A$6:$AU$36,47,0)</f>
        <v>0</v>
      </c>
      <c r="AE10" s="36">
        <f>VLOOKUP(A10,[22]HISTODEC23!$A$6:$BB$36,54,0)</f>
        <v>0</v>
      </c>
      <c r="AF10" s="36">
        <f>VLOOKUP($A10,[22]HISTODEC23!$A$6:$CA$36,60,0)</f>
        <v>0</v>
      </c>
      <c r="AG10" s="36">
        <f>VLOOKUP($A10,[22]HISTODEC23!$A$6:$CA$36,61,0)</f>
        <v>0</v>
      </c>
      <c r="AH10" s="36">
        <f>VLOOKUP($A10,[22]HISTODEC23!$A$6:$CA$36,62,0)</f>
        <v>0</v>
      </c>
      <c r="AI10" s="36">
        <f>VLOOKUP($A10,[22]HISTODEC23!$A$6:$CA$36,63,0)</f>
        <v>0</v>
      </c>
      <c r="AJ10" s="36">
        <f>VLOOKUP($A10,[22]HISTODEC23!$A$6:$CA$36,64,0)</f>
        <v>0</v>
      </c>
      <c r="AK10" s="36">
        <f>VLOOKUP($A10,[22]HISTODEC23!$A$6:$CA$36,65,0)</f>
        <v>0</v>
      </c>
      <c r="AL10" s="36">
        <f>VLOOKUP($A10,[20]DETAILFICHECASSATION!$A$6:$R$36,12,0)</f>
        <v>100000</v>
      </c>
    </row>
    <row r="11" spans="1:39" x14ac:dyDescent="0.35">
      <c r="A11" s="1" t="s">
        <v>24</v>
      </c>
      <c r="B11" s="1" t="str">
        <f>VLOOKUP(A11,[24]LISTADHERENT!A$5:H$50,3,0)</f>
        <v>DJOUKWE NANGUEN GUY BLAISE</v>
      </c>
      <c r="C11" s="36">
        <f>VLOOKUP($A11,[25]FONDSCAISSE!$A$2:$H$43,4,0)</f>
        <v>800000</v>
      </c>
      <c r="D11" s="36">
        <f>VLOOKUP($A11,[25]FONDSCAISSE!$A$2:$H$43,6,0)</f>
        <v>6032</v>
      </c>
      <c r="E11" s="36">
        <f>VLOOKUP($A11,[26]HISTOJANV25!$A$6:$BR$42,48,0)</f>
        <v>0</v>
      </c>
      <c r="F11" s="36">
        <f t="shared" si="5"/>
        <v>806032</v>
      </c>
      <c r="G11" s="5">
        <f t="shared" si="1"/>
        <v>806032</v>
      </c>
      <c r="H11" s="36">
        <f>VLOOKUP(A11,[27]MVTDEC24!$A$6:$AM$42,8,0)</f>
        <v>38748.424291997828</v>
      </c>
      <c r="I11" s="6">
        <f t="shared" si="2"/>
        <v>844780.4242919978</v>
      </c>
      <c r="J11" s="36">
        <f>VLOOKUP($A11,[28]HISTODEC24!$A$6:$AQ$40,22,0)</f>
        <v>0</v>
      </c>
      <c r="K11" s="36">
        <f>VLOOKUP($A11,[22]HISTODEC23!$A$6:$AU$40,45,0)</f>
        <v>15000</v>
      </c>
      <c r="L11" s="36">
        <f t="shared" si="3"/>
        <v>9000</v>
      </c>
      <c r="M11" s="36">
        <f t="shared" si="6"/>
        <v>1000</v>
      </c>
      <c r="N11" s="36">
        <f t="shared" si="4"/>
        <v>1000</v>
      </c>
      <c r="O11" s="36">
        <f t="shared" si="7"/>
        <v>4000</v>
      </c>
      <c r="P11" s="36">
        <f>VLOOKUP($A11,[22]HISTODEC23!$A$6:$AU$36,7,0)</f>
        <v>0</v>
      </c>
      <c r="Q11" s="36">
        <f>VLOOKUP($A11,[22]HISTODEC23!$A$6:$AU$36,23,0)</f>
        <v>0</v>
      </c>
      <c r="R11" s="36">
        <f>VLOOKUP($A11,[22]HISTODEC23!$A$6:$AU$36,46,0)</f>
        <v>0</v>
      </c>
      <c r="S11" s="36">
        <f>VLOOKUP($A11,[26]HISTODEC24!$A$6:$AU$41,26,0)</f>
        <v>1135000</v>
      </c>
      <c r="T11" s="36">
        <f>VLOOKUP($A11,[26]HISTODEC24!$A$6:$BG$41,58,0)</f>
        <v>0</v>
      </c>
      <c r="U11" s="36">
        <f>VLOOKUP($A11,[22]HISTODEC23!$A$6:$AU$36,28,0)</f>
        <v>0</v>
      </c>
      <c r="V11" s="36">
        <f>VLOOKUP($A11,[22]HISTODEC23!$A$6:$AU$36,19,0)</f>
        <v>1000000</v>
      </c>
      <c r="W11" s="36" t="str">
        <f>VLOOKUP($A11,[22]HISTODEC23!$A$6:$AU$36,20,0)</f>
        <v>BANQUE</v>
      </c>
      <c r="X11" s="36" t="str">
        <f>VLOOKUP($A11,[22]HISTODEC23!$A$6:$AU$36,27,0)</f>
        <v>BANQUE</v>
      </c>
      <c r="Y11" s="36">
        <f>VLOOKUP($A11,[22]HISTODEC23!$A$6:$BM$36,33,0)</f>
        <v>0</v>
      </c>
      <c r="Z11" s="36">
        <f>VLOOKUP($A11,[22]HISTODEC23!$A$6:$BM$36,65,0)</f>
        <v>0</v>
      </c>
      <c r="AA11" s="36"/>
      <c r="AB11" s="36">
        <f>VLOOKUP($A11,[22]HISTODEC23!$A$6:$AU$36,43,0)</f>
        <v>0</v>
      </c>
      <c r="AC11" s="36">
        <f>VLOOKUP($A11,[22]HISTODEC23!$A$6:$AU$36,44,0)</f>
        <v>0</v>
      </c>
      <c r="AD11" s="36">
        <f>VLOOKUP($A11,[22]HISTODEC23!$A$6:$AU$36,47,0)</f>
        <v>0</v>
      </c>
      <c r="AE11" s="36">
        <f>VLOOKUP(A11,[22]HISTODEC23!$A$6:$BB$36,54,0)</f>
        <v>0</v>
      </c>
      <c r="AF11" s="36">
        <f>VLOOKUP($A11,[22]HISTODEC23!$A$6:$CA$36,60,0)</f>
        <v>0</v>
      </c>
      <c r="AG11" s="36">
        <f>VLOOKUP($A11,[22]HISTODEC23!$A$6:$CA$36,61,0)</f>
        <v>0</v>
      </c>
      <c r="AH11" s="36">
        <f>VLOOKUP($A11,[22]HISTODEC23!$A$6:$CA$36,62,0)</f>
        <v>0</v>
      </c>
      <c r="AI11" s="36">
        <f>VLOOKUP($A11,[22]HISTODEC23!$A$6:$CA$36,63,0)</f>
        <v>0</v>
      </c>
      <c r="AJ11" s="36">
        <f>VLOOKUP($A11,[22]HISTODEC23!$A$6:$CA$36,64,0)</f>
        <v>0</v>
      </c>
      <c r="AK11" s="36">
        <f>VLOOKUP($A11,[22]HISTODEC23!$A$6:$CA$36,65,0)</f>
        <v>0</v>
      </c>
      <c r="AL11" s="36">
        <f>VLOOKUP($A11,[20]DETAILFICHECASSATION!$A$6:$R$36,12,0)</f>
        <v>100000</v>
      </c>
    </row>
    <row r="12" spans="1:39" x14ac:dyDescent="0.35">
      <c r="A12" s="1" t="s">
        <v>25</v>
      </c>
      <c r="B12" s="1" t="str">
        <f>VLOOKUP(A12,[24]LISTADHERENT!A$5:H$50,3,0)</f>
        <v>DJUOMBESSY ANTOINE</v>
      </c>
      <c r="C12" s="36">
        <f>VLOOKUP($A12,[25]FONDSCAISSE!$A$2:$H$43,4,0)</f>
        <v>800000</v>
      </c>
      <c r="D12" s="36">
        <f>VLOOKUP($A12,[25]FONDSCAISSE!$A$2:$H$43,6,0)</f>
        <v>14486</v>
      </c>
      <c r="E12" s="36">
        <f>VLOOKUP($A12,[26]HISTOJANV25!$A$6:$BR$42,48,0)</f>
        <v>0</v>
      </c>
      <c r="F12" s="36">
        <f t="shared" si="5"/>
        <v>814486</v>
      </c>
      <c r="G12" s="5">
        <f t="shared" si="1"/>
        <v>814486</v>
      </c>
      <c r="H12" s="36">
        <f>VLOOKUP(A12,[27]MVTDEC24!$A$6:$AM$42,8,0)</f>
        <v>39154.833936980343</v>
      </c>
      <c r="I12" s="6">
        <f t="shared" si="2"/>
        <v>853640.83393698034</v>
      </c>
      <c r="J12" s="36">
        <f>VLOOKUP($A12,[28]HISTODEC24!$A$6:$AQ$40,22,0)</f>
        <v>0</v>
      </c>
      <c r="K12" s="36">
        <f>VLOOKUP($A12,[22]HISTODEC23!$A$6:$AU$40,45,0)</f>
        <v>20800</v>
      </c>
      <c r="L12" s="36">
        <f t="shared" si="3"/>
        <v>14800</v>
      </c>
      <c r="M12" s="36">
        <f t="shared" si="6"/>
        <v>1000</v>
      </c>
      <c r="N12" s="36">
        <f t="shared" si="4"/>
        <v>1000</v>
      </c>
      <c r="O12" s="36">
        <f t="shared" si="7"/>
        <v>4000</v>
      </c>
      <c r="P12" s="36">
        <f>VLOOKUP($A12,[22]HISTODEC23!$A$6:$AU$36,7,0)</f>
        <v>0</v>
      </c>
      <c r="Q12" s="36">
        <f>VLOOKUP($A12,[22]HISTODEC23!$A$6:$AU$36,23,0)</f>
        <v>0</v>
      </c>
      <c r="R12" s="36">
        <f>VLOOKUP($A12,[22]HISTODEC23!$A$6:$AU$36,46,0)</f>
        <v>0</v>
      </c>
      <c r="S12" s="36">
        <f>VLOOKUP($A12,[26]HISTODEC24!$A$6:$AU$41,26,0)</f>
        <v>1000000</v>
      </c>
      <c r="T12" s="36">
        <f>VLOOKUP($A12,[26]HISTODEC24!$A$6:$BG$41,58,0)</f>
        <v>60000</v>
      </c>
      <c r="U12" s="36">
        <f>VLOOKUP($A12,[22]HISTODEC23!$A$6:$AU$36,28,0)</f>
        <v>0</v>
      </c>
      <c r="V12" s="36">
        <f>VLOOKUP($A12,[22]HISTODEC23!$A$6:$AU$36,19,0)</f>
        <v>719200</v>
      </c>
      <c r="W12" s="36" t="str">
        <f>VLOOKUP($A12,[22]HISTODEC23!$A$6:$AU$36,20,0)</f>
        <v>BANQUE</v>
      </c>
      <c r="X12" s="36" t="str">
        <f>VLOOKUP($A12,[22]HISTODEC23!$A$6:$AU$36,27,0)</f>
        <v>BANQUE</v>
      </c>
      <c r="Y12" s="36">
        <f>VLOOKUP($A12,[22]HISTODEC23!$A$6:$BM$36,33,0)</f>
        <v>0</v>
      </c>
      <c r="Z12" s="36">
        <f>VLOOKUP($A12,[22]HISTODEC23!$A$6:$BM$36,65,0)</f>
        <v>0</v>
      </c>
      <c r="AA12" s="36"/>
      <c r="AB12" s="36">
        <f>VLOOKUP($A12,[22]HISTODEC23!$A$6:$AU$36,43,0)</f>
        <v>0</v>
      </c>
      <c r="AC12" s="36">
        <f>VLOOKUP($A12,[22]HISTODEC23!$A$6:$AU$36,44,0)</f>
        <v>0</v>
      </c>
      <c r="AD12" s="36">
        <f>VLOOKUP($A12,[22]HISTODEC23!$A$6:$AU$36,47,0)</f>
        <v>0</v>
      </c>
      <c r="AE12" s="36">
        <f>VLOOKUP(A12,[22]HISTODEC23!$A$6:$BB$36,54,0)</f>
        <v>0</v>
      </c>
      <c r="AF12" s="36">
        <f>VLOOKUP($A12,[22]HISTODEC23!$A$6:$CA$36,60,0)</f>
        <v>0</v>
      </c>
      <c r="AG12" s="36">
        <f>VLOOKUP($A12,[22]HISTODEC23!$A$6:$CA$36,61,0)</f>
        <v>0</v>
      </c>
      <c r="AH12" s="36">
        <f>VLOOKUP($A12,[22]HISTODEC23!$A$6:$CA$36,62,0)</f>
        <v>0</v>
      </c>
      <c r="AI12" s="36">
        <f>VLOOKUP($A12,[22]HISTODEC23!$A$6:$CA$36,63,0)</f>
        <v>0</v>
      </c>
      <c r="AJ12" s="36">
        <f>VLOOKUP($A12,[22]HISTODEC23!$A$6:$CA$36,64,0)</f>
        <v>0</v>
      </c>
      <c r="AK12" s="36">
        <f>VLOOKUP($A12,[22]HISTODEC23!$A$6:$CA$36,65,0)</f>
        <v>0</v>
      </c>
      <c r="AL12" s="36">
        <f>VLOOKUP($A12,[20]DETAILFICHECASSATION!$A$6:$R$36,12,0)</f>
        <v>100000</v>
      </c>
    </row>
    <row r="13" spans="1:39" x14ac:dyDescent="0.35">
      <c r="A13" s="1" t="s">
        <v>79</v>
      </c>
      <c r="B13" s="1" t="str">
        <f>VLOOKUP(A13,[24]LISTADHERENT!A$5:H$50,3,0)</f>
        <v>DOMOU FABIEN</v>
      </c>
      <c r="C13" s="36">
        <f>VLOOKUP($A13,[25]FONDSCAISSE!$A$2:$H$43,4,0)</f>
        <v>800000</v>
      </c>
      <c r="D13" s="36">
        <f>VLOOKUP($A13,[25]FONDSCAISSE!$A$2:$H$43,6,0)</f>
        <v>6365</v>
      </c>
      <c r="E13" s="36">
        <f>VLOOKUP($A13,[26]HISTOJANV25!$A$6:$BR$42,48,0)</f>
        <v>0</v>
      </c>
      <c r="F13" s="36">
        <f t="shared" si="5"/>
        <v>806365</v>
      </c>
      <c r="G13" s="5">
        <f t="shared" si="1"/>
        <v>806365</v>
      </c>
      <c r="H13" s="36">
        <f>VLOOKUP(A13,[27]MVTDEC24!$A$6:$AM$42,8,0)</f>
        <v>38764.432620810127</v>
      </c>
      <c r="I13" s="6">
        <f t="shared" si="2"/>
        <v>845129.43262081011</v>
      </c>
      <c r="J13" s="36">
        <f>VLOOKUP($A13,[28]HISTODEC24!$A$6:$AQ$40,22,0)</f>
        <v>0</v>
      </c>
      <c r="K13" s="36">
        <f>VLOOKUP($A13,[22]HISTODEC23!$A$6:$AU$40,45,0)</f>
        <v>15000</v>
      </c>
      <c r="L13" s="36">
        <f t="shared" si="3"/>
        <v>9000</v>
      </c>
      <c r="M13" s="36">
        <f t="shared" si="6"/>
        <v>1000</v>
      </c>
      <c r="N13" s="36">
        <f t="shared" si="4"/>
        <v>1000</v>
      </c>
      <c r="O13" s="36">
        <f t="shared" si="7"/>
        <v>4000</v>
      </c>
      <c r="P13" s="36">
        <f>VLOOKUP($A13,[22]HISTODEC23!$A$6:$AU$36,7,0)</f>
        <v>0</v>
      </c>
      <c r="Q13" s="36">
        <f>VLOOKUP($A13,[22]HISTODEC23!$A$6:$AU$36,23,0)</f>
        <v>0</v>
      </c>
      <c r="R13" s="36">
        <f>VLOOKUP($A13,[22]HISTODEC23!$A$6:$AU$36,46,0)</f>
        <v>0</v>
      </c>
      <c r="S13" s="36">
        <f>VLOOKUP($A13,[26]HISTODEC24!$A$6:$AU$41,26,0)</f>
        <v>0</v>
      </c>
      <c r="T13" s="36">
        <f>VLOOKUP($A13,[26]HISTODEC24!$A$6:$BG$41,58,0)</f>
        <v>0</v>
      </c>
      <c r="U13" s="36">
        <f>VLOOKUP($A13,[22]HISTODEC23!$A$6:$AU$36,28,0)</f>
        <v>0</v>
      </c>
      <c r="V13" s="36">
        <f>VLOOKUP($A13,[22]HISTODEC23!$A$6:$AU$36,19,0)</f>
        <v>1000000</v>
      </c>
      <c r="W13" s="36" t="str">
        <f>VLOOKUP($A13,[22]HISTODEC23!$A$6:$AU$36,20,0)</f>
        <v>BANQUE</v>
      </c>
      <c r="X13" s="36" t="str">
        <f>VLOOKUP($A13,[22]HISTODEC23!$A$6:$AU$36,27,0)</f>
        <v>BANQUE</v>
      </c>
      <c r="Y13" s="36">
        <f>VLOOKUP($A13,[22]HISTODEC23!$A$6:$BM$36,33,0)</f>
        <v>0</v>
      </c>
      <c r="Z13" s="36">
        <f>VLOOKUP($A13,[22]HISTODEC23!$A$6:$BM$36,65,0)</f>
        <v>0</v>
      </c>
      <c r="AA13" s="36"/>
      <c r="AB13" s="36">
        <f>VLOOKUP($A13,[22]HISTODEC23!$A$6:$AU$36,43,0)</f>
        <v>0</v>
      </c>
      <c r="AC13" s="36">
        <f>VLOOKUP($A13,[22]HISTODEC23!$A$6:$AU$36,44,0)</f>
        <v>0</v>
      </c>
      <c r="AD13" s="36">
        <f>VLOOKUP($A13,[22]HISTODEC23!$A$6:$AU$36,47,0)</f>
        <v>0</v>
      </c>
      <c r="AE13" s="36">
        <f>VLOOKUP(A13,[22]HISTODEC23!$A$6:$BB$36,54,0)</f>
        <v>0</v>
      </c>
      <c r="AF13" s="36">
        <f>VLOOKUP($A13,[22]HISTODEC23!$A$6:$CA$36,60,0)</f>
        <v>0</v>
      </c>
      <c r="AG13" s="36">
        <f>VLOOKUP($A13,[22]HISTODEC23!$A$6:$CA$36,61,0)</f>
        <v>0</v>
      </c>
      <c r="AH13" s="36">
        <f>VLOOKUP($A13,[22]HISTODEC23!$A$6:$CA$36,62,0)</f>
        <v>0</v>
      </c>
      <c r="AI13" s="36">
        <f>VLOOKUP($A13,[22]HISTODEC23!$A$6:$CA$36,63,0)</f>
        <v>0</v>
      </c>
      <c r="AJ13" s="36">
        <f>VLOOKUP($A13,[22]HISTODEC23!$A$6:$CA$36,64,0)</f>
        <v>0</v>
      </c>
      <c r="AK13" s="36">
        <f>VLOOKUP($A13,[22]HISTODEC23!$A$6:$CA$36,65,0)</f>
        <v>0</v>
      </c>
      <c r="AL13" s="36">
        <f>VLOOKUP($A13,[20]DETAILFICHECASSATION!$A$6:$R$36,12,0)</f>
        <v>100000</v>
      </c>
    </row>
    <row r="14" spans="1:39" x14ac:dyDescent="0.35">
      <c r="A14" s="1" t="s">
        <v>26</v>
      </c>
      <c r="B14" s="1" t="str">
        <f>VLOOKUP(A14,[24]LISTADHERENT!A$5:H$50,3,0)</f>
        <v>DONHOU DAVID</v>
      </c>
      <c r="C14" s="36">
        <f>VLOOKUP($A14,[25]FONDSCAISSE!$A$2:$H$43,4,0)</f>
        <v>800000</v>
      </c>
      <c r="D14" s="36">
        <f>VLOOKUP($A14,[25]FONDSCAISSE!$A$2:$H$43,6,0)</f>
        <v>702391</v>
      </c>
      <c r="E14" s="36">
        <f>VLOOKUP($A14,[26]HISTOJANV25!$A$6:$BR$42,48,0)</f>
        <v>0</v>
      </c>
      <c r="F14" s="36">
        <f t="shared" si="5"/>
        <v>1502391</v>
      </c>
      <c r="G14" s="5">
        <f t="shared" si="1"/>
        <v>1502391</v>
      </c>
      <c r="H14" s="36">
        <f>VLOOKUP(A14,[27]MVTDEC24!$A$6:$AM$42,8,0)</f>
        <v>72224.531929847581</v>
      </c>
      <c r="I14" s="6">
        <f t="shared" si="2"/>
        <v>1574615.5319298476</v>
      </c>
      <c r="J14" s="36">
        <f>VLOOKUP($A14,[28]HISTODEC24!$A$6:$AQ$40,22,0)</f>
        <v>0</v>
      </c>
      <c r="K14" s="36">
        <f>VLOOKUP($A14,[22]HISTODEC23!$A$6:$AU$40,45,0)</f>
        <v>15000</v>
      </c>
      <c r="L14" s="36">
        <f t="shared" si="3"/>
        <v>9000</v>
      </c>
      <c r="M14" s="36">
        <f t="shared" si="6"/>
        <v>1000</v>
      </c>
      <c r="N14" s="36">
        <f t="shared" si="4"/>
        <v>1000</v>
      </c>
      <c r="O14" s="36">
        <f t="shared" si="7"/>
        <v>4000</v>
      </c>
      <c r="P14" s="36">
        <f>VLOOKUP($A14,[22]HISTODEC23!$A$6:$AU$36,7,0)</f>
        <v>0</v>
      </c>
      <c r="Q14" s="36">
        <f>VLOOKUP($A14,[22]HISTODEC23!$A$6:$AU$36,23,0)</f>
        <v>0</v>
      </c>
      <c r="R14" s="36">
        <f>VLOOKUP($A14,[22]HISTODEC23!$A$6:$AU$36,46,0)</f>
        <v>0</v>
      </c>
      <c r="S14" s="36">
        <f>VLOOKUP($A14,[26]HISTODEC24!$A$6:$AU$41,26,0)</f>
        <v>0</v>
      </c>
      <c r="T14" s="36">
        <f>VLOOKUP($A14,[26]HISTODEC24!$A$6:$BG$41,58,0)</f>
        <v>0</v>
      </c>
      <c r="U14" s="36">
        <f>VLOOKUP($A14,[22]HISTODEC23!$A$6:$AU$36,28,0)</f>
        <v>0</v>
      </c>
      <c r="V14" s="36">
        <f>VLOOKUP($A14,[22]HISTODEC23!$A$6:$AU$36,19,0)</f>
        <v>0</v>
      </c>
      <c r="W14" s="36">
        <f>VLOOKUP($A14,[22]HISTODEC23!$A$6:$AU$36,20,0)</f>
        <v>0</v>
      </c>
      <c r="X14" s="36">
        <f>VLOOKUP($A14,[22]HISTODEC23!$A$6:$AU$36,27,0)</f>
        <v>0</v>
      </c>
      <c r="Y14" s="36">
        <f>VLOOKUP($A14,[22]HISTODEC23!$A$6:$BM$36,33,0)</f>
        <v>0</v>
      </c>
      <c r="Z14" s="36">
        <f>VLOOKUP($A14,[22]HISTODEC23!$A$6:$BM$36,65,0)</f>
        <v>0</v>
      </c>
      <c r="AA14" s="36"/>
      <c r="AB14" s="36">
        <f>VLOOKUP($A14,[22]HISTODEC23!$A$6:$AU$36,43,0)</f>
        <v>0</v>
      </c>
      <c r="AC14" s="36">
        <f>VLOOKUP($A14,[22]HISTODEC23!$A$6:$AU$36,44,0)</f>
        <v>0</v>
      </c>
      <c r="AD14" s="36">
        <f>VLOOKUP($A14,[22]HISTODEC23!$A$6:$AU$36,47,0)</f>
        <v>0</v>
      </c>
      <c r="AE14" s="36">
        <f>VLOOKUP(A14,[22]HISTODEC23!$A$6:$BB$36,54,0)</f>
        <v>0</v>
      </c>
      <c r="AF14" s="36">
        <f>VLOOKUP($A14,[22]HISTODEC23!$A$6:$CA$36,60,0)</f>
        <v>0</v>
      </c>
      <c r="AG14" s="36">
        <f>VLOOKUP($A14,[22]HISTODEC23!$A$6:$CA$36,61,0)</f>
        <v>0</v>
      </c>
      <c r="AH14" s="36">
        <f>VLOOKUP($A14,[22]HISTODEC23!$A$6:$CA$36,62,0)</f>
        <v>0</v>
      </c>
      <c r="AI14" s="36">
        <f>VLOOKUP($A14,[22]HISTODEC23!$A$6:$CA$36,63,0)</f>
        <v>0</v>
      </c>
      <c r="AJ14" s="36">
        <f>VLOOKUP($A14,[22]HISTODEC23!$A$6:$CA$36,64,0)</f>
        <v>0</v>
      </c>
      <c r="AK14" s="36">
        <f>VLOOKUP($A14,[22]HISTODEC23!$A$6:$CA$36,65,0)</f>
        <v>0</v>
      </c>
      <c r="AL14" s="36">
        <f>VLOOKUP($A14,[20]DETAILFICHECASSATION!$A$6:$R$36,12,0)</f>
        <v>100000</v>
      </c>
    </row>
    <row r="15" spans="1:39" ht="14.25" customHeight="1" x14ac:dyDescent="0.35">
      <c r="A15" s="1" t="s">
        <v>344</v>
      </c>
      <c r="B15" s="1" t="str">
        <f>VLOOKUP(A15,[24]LISTADHERENT!A$5:H$50,3,0)</f>
        <v>FAMPOU PAUL</v>
      </c>
      <c r="C15" s="36">
        <f>VLOOKUP($A15,[25]FONDSCAISSE!$A$2:$H$43,4,0)</f>
        <v>0</v>
      </c>
      <c r="D15" s="36">
        <f>VLOOKUP($A15,[25]FONDSCAISSE!$A$2:$H$43,6,0)</f>
        <v>0</v>
      </c>
      <c r="E15" s="36">
        <f>VLOOKUP($A15,[26]HISTOJANV25!$A$6:$BR$42,48,0)</f>
        <v>0</v>
      </c>
      <c r="F15" s="36">
        <f t="shared" si="5"/>
        <v>0</v>
      </c>
      <c r="G15" s="5"/>
      <c r="H15" s="36"/>
      <c r="I15" s="6"/>
      <c r="J15" s="36"/>
      <c r="K15" s="36"/>
      <c r="L15" s="36"/>
      <c r="M15" s="36">
        <f t="shared" si="6"/>
        <v>0</v>
      </c>
      <c r="N15" s="36"/>
      <c r="O15" s="36"/>
      <c r="P15" s="36"/>
      <c r="Q15" s="36"/>
      <c r="R15" s="36"/>
      <c r="S15" s="36">
        <f>VLOOKUP($A15,[26]HISTODEC24!$A$6:$AU$41,26,0)</f>
        <v>0</v>
      </c>
      <c r="T15" s="36">
        <f>VLOOKUP($A15,[26]HISTODEC24!$A$6:$BG$41,58,0)</f>
        <v>0</v>
      </c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</row>
    <row r="16" spans="1:39" ht="14.25" customHeight="1" x14ac:dyDescent="0.35">
      <c r="A16" s="1" t="s">
        <v>28</v>
      </c>
      <c r="B16" s="1" t="str">
        <f>VLOOKUP(A16,[24]LISTADHERENT!A$5:H$50,3,0)</f>
        <v>HENGUE PAUL OMER</v>
      </c>
      <c r="C16" s="36">
        <f>VLOOKUP($A16,[25]FONDSCAISSE!$A$2:$H$43,4,0)</f>
        <v>800000</v>
      </c>
      <c r="D16" s="36">
        <f>VLOOKUP($A16,[25]FONDSCAISSE!$A$2:$H$43,6,0)</f>
        <v>7143</v>
      </c>
      <c r="E16" s="36">
        <f>VLOOKUP($A16,[26]HISTOJANV25!$A$6:$BR$42,48,0)</f>
        <v>0</v>
      </c>
      <c r="F16" s="36">
        <f t="shared" si="5"/>
        <v>807143</v>
      </c>
      <c r="G16" s="5">
        <f t="shared" ref="G16" si="8">IF(F16&gt;=700000,(C16+D16-E16),0)</f>
        <v>807143</v>
      </c>
      <c r="H16" s="36">
        <f>VLOOKUP(A16,[27]MVTDEC24!$A$6:$AM$42,8,0)</f>
        <v>38801.833461098322</v>
      </c>
      <c r="I16" s="6">
        <f t="shared" ref="I16" si="9">(F16+H16)</f>
        <v>845944.83346109837</v>
      </c>
      <c r="J16" s="36">
        <f>VLOOKUP($A16,[28]HISTODEC24!$A$6:$AQ$40,22,0)</f>
        <v>0</v>
      </c>
      <c r="K16" s="36">
        <f>VLOOKUP($A16,[22]HISTODEC23!$A$6:$AU$40,45,0)</f>
        <v>15000</v>
      </c>
      <c r="L16" s="36">
        <f t="shared" ref="L16" si="10">IF(K16=0,0,K16-(M16+N16+O16))</f>
        <v>9000</v>
      </c>
      <c r="M16" s="36">
        <f t="shared" si="6"/>
        <v>1000</v>
      </c>
      <c r="N16" s="36">
        <f t="shared" ref="N16" si="11">IF(K16=0,0,1000)</f>
        <v>1000</v>
      </c>
      <c r="O16" s="36">
        <f t="shared" ref="O16" si="12">IF(K16=0,0,4000)</f>
        <v>4000</v>
      </c>
      <c r="P16" s="36">
        <f>VLOOKUP($A16,[22]HISTODEC23!$A$6:$AU$36,7,0)</f>
        <v>0</v>
      </c>
      <c r="Q16" s="36">
        <f>VLOOKUP($A16,[22]HISTODEC23!$A$6:$AU$36,23,0)</f>
        <v>0</v>
      </c>
      <c r="R16" s="36">
        <f>VLOOKUP($A16,[22]HISTODEC23!$A$6:$AU$36,46,0)</f>
        <v>0</v>
      </c>
      <c r="S16" s="36">
        <f>VLOOKUP($A16,[26]HISTODEC24!$A$6:$AU$41,26,0)</f>
        <v>1050000</v>
      </c>
      <c r="T16" s="36">
        <f>VLOOKUP($A16,[26]HISTODEC24!$A$6:$BG$41,58,0)</f>
        <v>0</v>
      </c>
      <c r="U16" s="36">
        <f>VLOOKUP($A16,[22]HISTODEC23!$A$6:$AU$36,28,0)</f>
        <v>0</v>
      </c>
      <c r="V16" s="36">
        <f>VLOOKUP($A16,[22]HISTODEC23!$A$6:$AU$36,19,0)</f>
        <v>0</v>
      </c>
      <c r="W16" s="36">
        <f>VLOOKUP($A16,[22]HISTODEC23!$A$6:$AU$36,20,0)</f>
        <v>0</v>
      </c>
      <c r="X16" s="36">
        <f>VLOOKUP($A16,[22]HISTODEC23!$A$6:$AU$36,27,0)</f>
        <v>0</v>
      </c>
      <c r="Y16" s="36">
        <f>VLOOKUP($A16,[22]HISTODEC23!$A$6:$BM$36,33,0)</f>
        <v>0</v>
      </c>
      <c r="Z16" s="36">
        <f>VLOOKUP($A16,[22]HISTODEC23!$A$6:$BM$36,65,0)</f>
        <v>0</v>
      </c>
      <c r="AA16" s="36"/>
      <c r="AB16" s="36">
        <f>VLOOKUP($A16,[22]HISTODEC23!$A$6:$AU$36,43,0)</f>
        <v>0</v>
      </c>
      <c r="AC16" s="36">
        <f>VLOOKUP($A16,[22]HISTODEC23!$A$6:$AU$36,44,0)</f>
        <v>0</v>
      </c>
      <c r="AD16" s="36">
        <f>VLOOKUP($A16,[22]HISTODEC23!$A$6:$AU$36,47,0)</f>
        <v>0</v>
      </c>
      <c r="AE16" s="36">
        <f>VLOOKUP(A16,[22]HISTODEC23!$A$6:$BB$36,54,0)</f>
        <v>0</v>
      </c>
      <c r="AF16" s="36">
        <f>VLOOKUP($A16,[22]HISTODEC23!$A$6:$CA$36,60,0)</f>
        <v>0</v>
      </c>
      <c r="AG16" s="36">
        <f>VLOOKUP($A16,[22]HISTODEC23!$A$6:$CA$36,61,0)</f>
        <v>0</v>
      </c>
      <c r="AH16" s="36">
        <f>VLOOKUP($A16,[22]HISTODEC23!$A$6:$CA$36,62,0)</f>
        <v>0</v>
      </c>
      <c r="AI16" s="36">
        <f>VLOOKUP($A16,[22]HISTODEC23!$A$6:$CA$36,63,0)</f>
        <v>0</v>
      </c>
      <c r="AJ16" s="36">
        <f>VLOOKUP($A16,[22]HISTODEC23!$A$6:$CA$36,64,0)</f>
        <v>0</v>
      </c>
      <c r="AK16" s="36">
        <f>VLOOKUP($A16,[22]HISTODEC23!$A$6:$CA$36,65,0)</f>
        <v>0</v>
      </c>
      <c r="AL16" s="36">
        <f>VLOOKUP($A16,[20]DETAILFICHECASSATION!$A$6:$R$36,12,0)</f>
        <v>100000</v>
      </c>
    </row>
    <row r="17" spans="1:38" x14ac:dyDescent="0.35">
      <c r="A17" s="1" t="s">
        <v>29</v>
      </c>
      <c r="B17" s="1" t="str">
        <f>VLOOKUP(A17,[24]LISTADHERENT!A$5:H$50,3,0)</f>
        <v>HOTCHO BENJAMIN</v>
      </c>
      <c r="C17" s="36">
        <f>VLOOKUP($A17,[25]FONDSCAISSE!$A$2:$H$43,4,0)</f>
        <v>800000</v>
      </c>
      <c r="D17" s="36">
        <f>VLOOKUP($A17,[25]FONDSCAISSE!$A$2:$H$43,6,0)</f>
        <v>6301</v>
      </c>
      <c r="E17" s="36">
        <f>VLOOKUP($A17,[26]HISTOJANV25!$A$6:$BR$42,48,0)</f>
        <v>0</v>
      </c>
      <c r="F17" s="36">
        <f t="shared" si="5"/>
        <v>806301</v>
      </c>
      <c r="G17" s="5">
        <f t="shared" si="1"/>
        <v>806301</v>
      </c>
      <c r="H17" s="36">
        <f>VLOOKUP(A17,[27]MVTDEC24!$A$6:$AM$42,8,0)</f>
        <v>38761.355945002353</v>
      </c>
      <c r="I17" s="6">
        <f t="shared" si="2"/>
        <v>845062.3559450024</v>
      </c>
      <c r="J17" s="36">
        <f>VLOOKUP($A17,[28]HISTODEC24!$A$6:$AQ$40,22,0)</f>
        <v>0</v>
      </c>
      <c r="K17" s="36">
        <f>VLOOKUP($A17,[22]HISTODEC23!$A$6:$AU$40,45,0)</f>
        <v>50000</v>
      </c>
      <c r="L17" s="36">
        <f t="shared" si="3"/>
        <v>44000</v>
      </c>
      <c r="M17" s="36">
        <f t="shared" si="6"/>
        <v>1000</v>
      </c>
      <c r="N17" s="36">
        <f t="shared" si="4"/>
        <v>1000</v>
      </c>
      <c r="O17" s="36">
        <f t="shared" si="7"/>
        <v>4000</v>
      </c>
      <c r="P17" s="36">
        <f>VLOOKUP($A17,[22]HISTODEC23!$A$6:$AU$36,7,0)</f>
        <v>0</v>
      </c>
      <c r="Q17" s="36">
        <f>VLOOKUP($A17,[22]HISTODEC23!$A$6:$AU$36,23,0)</f>
        <v>0</v>
      </c>
      <c r="R17" s="36">
        <f>VLOOKUP($A17,[22]HISTODEC23!$A$6:$AU$36,46,0)</f>
        <v>0</v>
      </c>
      <c r="S17" s="36">
        <f>VLOOKUP($A17,[26]HISTODEC24!$A$6:$AU$41,26,0)</f>
        <v>0</v>
      </c>
      <c r="T17" s="36">
        <f>VLOOKUP($A17,[26]HISTODEC24!$A$6:$BG$41,58,0)</f>
        <v>0</v>
      </c>
      <c r="U17" s="36">
        <f>VLOOKUP($A17,[22]HISTODEC23!$A$6:$AU$36,28,0)</f>
        <v>0</v>
      </c>
      <c r="V17" s="36">
        <f>VLOOKUP($A17,[22]HISTODEC23!$A$6:$AU$36,19,0)-125000</f>
        <v>238500</v>
      </c>
      <c r="W17" s="36" t="str">
        <f>VLOOKUP($A17,[22]HISTODEC23!$A$6:$AU$36,20,0)</f>
        <v>BANQUE</v>
      </c>
      <c r="X17" s="36">
        <f>VLOOKUP($A17,[22]HISTODEC23!$A$6:$AU$36,27,0)</f>
        <v>0</v>
      </c>
      <c r="Y17" s="36">
        <f>VLOOKUP($A17,[22]HISTODEC23!$A$6:$BM$36,33,0)</f>
        <v>0</v>
      </c>
      <c r="Z17" s="36">
        <f>VLOOKUP($A17,[22]HISTODEC23!$A$6:$BM$36,65,0)</f>
        <v>0</v>
      </c>
      <c r="AA17" s="36"/>
      <c r="AB17" s="36">
        <f>VLOOKUP($A17,[22]HISTODEC23!$A$6:$AU$36,43,0)</f>
        <v>0</v>
      </c>
      <c r="AC17" s="36">
        <f>VLOOKUP($A17,[22]HISTODEC23!$A$6:$AU$36,44,0)</f>
        <v>0</v>
      </c>
      <c r="AD17" s="36">
        <f>VLOOKUP($A17,[22]HISTODEC23!$A$6:$AU$36,47,0)</f>
        <v>0</v>
      </c>
      <c r="AE17" s="36">
        <f>VLOOKUP(A17,[22]HISTODEC23!$A$6:$BB$36,54,0)</f>
        <v>0</v>
      </c>
      <c r="AF17" s="36">
        <f>VLOOKUP($A17,[22]HISTODEC23!$A$6:$CA$36,60,0)</f>
        <v>0</v>
      </c>
      <c r="AG17" s="36">
        <f>VLOOKUP($A17,[22]HISTODEC23!$A$6:$CA$36,61,0)</f>
        <v>0</v>
      </c>
      <c r="AH17" s="36">
        <f>VLOOKUP($A17,[22]HISTODEC23!$A$6:$CA$36,62,0)</f>
        <v>0</v>
      </c>
      <c r="AI17" s="36">
        <f>VLOOKUP($A17,[22]HISTODEC23!$A$6:$CA$36,63,0)</f>
        <v>0</v>
      </c>
      <c r="AJ17" s="36">
        <f>VLOOKUP($A17,[22]HISTODEC23!$A$6:$CA$36,64,0)</f>
        <v>0</v>
      </c>
      <c r="AK17" s="36">
        <f>VLOOKUP($A17,[22]HISTODEC23!$A$6:$CA$36,65,0)</f>
        <v>0</v>
      </c>
      <c r="AL17" s="36">
        <f>VLOOKUP($A17,[20]DETAILFICHECASSATION!$A$6:$R$36,12,0)</f>
        <v>100000</v>
      </c>
    </row>
    <row r="18" spans="1:38" x14ac:dyDescent="0.35">
      <c r="A18" s="1" t="s">
        <v>33</v>
      </c>
      <c r="B18" s="1" t="str">
        <f>VLOOKUP(A18,[24]LISTADHERENT!A$5:H$50,3,0)</f>
        <v>KOUAMOU MOISE</v>
      </c>
      <c r="C18" s="36">
        <f>VLOOKUP($A18,[25]FONDSCAISSE!$A$2:$H$43,4,0)</f>
        <v>800000</v>
      </c>
      <c r="D18" s="36">
        <f>VLOOKUP($A18,[25]FONDSCAISSE!$A$2:$H$43,6,0)</f>
        <v>6353</v>
      </c>
      <c r="E18" s="36">
        <f>VLOOKUP($A18,[26]HISTOJANV25!$A$6:$BR$42,48,0)</f>
        <v>0</v>
      </c>
      <c r="F18" s="36">
        <f t="shared" si="5"/>
        <v>806353</v>
      </c>
      <c r="G18" s="5">
        <f t="shared" si="1"/>
        <v>806353</v>
      </c>
      <c r="H18" s="36">
        <f>VLOOKUP(A18,[27]MVTDEC24!$A$6:$AM$42,8,0)</f>
        <v>38763.855744096167</v>
      </c>
      <c r="I18" s="6">
        <f t="shared" si="2"/>
        <v>845116.85574409622</v>
      </c>
      <c r="J18" s="36">
        <f>VLOOKUP($A18,[28]HISTODEC24!$A$6:$AQ$40,22,0)</f>
        <v>0</v>
      </c>
      <c r="K18" s="36">
        <f>VLOOKUP($A18,[22]HISTODEC23!$A$6:$AU$40,45,0)</f>
        <v>15000</v>
      </c>
      <c r="L18" s="36">
        <f t="shared" si="3"/>
        <v>9000</v>
      </c>
      <c r="M18" s="36">
        <f t="shared" si="6"/>
        <v>1000</v>
      </c>
      <c r="N18" s="36">
        <f t="shared" si="4"/>
        <v>1000</v>
      </c>
      <c r="O18" s="36">
        <f t="shared" si="7"/>
        <v>4000</v>
      </c>
      <c r="P18" s="36">
        <f>VLOOKUP($A18,[22]HISTODEC23!$A$6:$AU$36,7,0)</f>
        <v>0</v>
      </c>
      <c r="Q18" s="36">
        <f>VLOOKUP($A18,[22]HISTODEC23!$A$6:$AU$36,23,0)</f>
        <v>0</v>
      </c>
      <c r="R18" s="36">
        <f>VLOOKUP($A18,[22]HISTODEC23!$A$6:$AU$36,46,0)</f>
        <v>0</v>
      </c>
      <c r="S18" s="36">
        <f>VLOOKUP($A18,[26]HISTODEC24!$A$6:$AU$41,26,0)</f>
        <v>346500</v>
      </c>
      <c r="T18" s="36">
        <f>VLOOKUP($A18,[26]HISTODEC24!$A$6:$BG$41,58,0)</f>
        <v>0</v>
      </c>
      <c r="U18" s="36">
        <f>VLOOKUP($A18,[22]HISTODEC23!$A$6:$AU$36,28,0)</f>
        <v>0</v>
      </c>
      <c r="V18" s="36">
        <f>VLOOKUP($A18,[22]HISTODEC23!$A$6:$AU$36,19,0)</f>
        <v>1000000</v>
      </c>
      <c r="W18" s="36" t="str">
        <f>VLOOKUP($A18,[22]HISTODEC23!$A$6:$AU$36,20,0)</f>
        <v>BANQUE</v>
      </c>
      <c r="X18" s="36">
        <f>VLOOKUP($A18,[22]HISTODEC23!$A$6:$AU$36,27,0)</f>
        <v>0</v>
      </c>
      <c r="Y18" s="36">
        <f>VLOOKUP($A18,[22]HISTODEC23!$A$6:$BM$36,33,0)</f>
        <v>0</v>
      </c>
      <c r="Z18" s="36">
        <f>VLOOKUP($A18,[22]HISTODEC23!$A$6:$BM$36,65,0)</f>
        <v>0</v>
      </c>
      <c r="AA18" s="36"/>
      <c r="AB18" s="36">
        <f>VLOOKUP($A18,[22]HISTODEC23!$A$6:$AU$36,43,0)</f>
        <v>0</v>
      </c>
      <c r="AC18" s="36">
        <f>VLOOKUP($A18,[22]HISTODEC23!$A$6:$AU$36,44,0)</f>
        <v>0</v>
      </c>
      <c r="AD18" s="36">
        <f>VLOOKUP($A18,[22]HISTODEC23!$A$6:$AU$36,47,0)</f>
        <v>0</v>
      </c>
      <c r="AE18" s="36">
        <f>VLOOKUP(A18,[22]HISTODEC23!$A$6:$BB$36,54,0)</f>
        <v>0</v>
      </c>
      <c r="AF18" s="36">
        <f>VLOOKUP($A18,[22]HISTODEC23!$A$6:$CA$36,60,0)</f>
        <v>0</v>
      </c>
      <c r="AG18" s="36">
        <f>VLOOKUP($A18,[22]HISTODEC23!$A$6:$CA$36,61,0)</f>
        <v>0</v>
      </c>
      <c r="AH18" s="36">
        <f>VLOOKUP($A18,[22]HISTODEC23!$A$6:$CA$36,62,0)</f>
        <v>0</v>
      </c>
      <c r="AI18" s="36">
        <f>VLOOKUP($A18,[22]HISTODEC23!$A$6:$CA$36,63,0)</f>
        <v>0</v>
      </c>
      <c r="AJ18" s="36">
        <f>VLOOKUP($A18,[22]HISTODEC23!$A$6:$CA$36,64,0)</f>
        <v>0</v>
      </c>
      <c r="AK18" s="36">
        <f>VLOOKUP($A18,[22]HISTODEC23!$A$6:$CA$36,65,0)</f>
        <v>0</v>
      </c>
      <c r="AL18" s="36">
        <f>VLOOKUP($A18,[20]DETAILFICHECASSATION!$A$6:$R$36,12,0)</f>
        <v>100000</v>
      </c>
    </row>
    <row r="19" spans="1:38" x14ac:dyDescent="0.35">
      <c r="A19" s="1" t="s">
        <v>35</v>
      </c>
      <c r="B19" s="1" t="str">
        <f>VLOOKUP(A19,[24]LISTADHERENT!A$5:H$50,3,0)</f>
        <v>KOUATCHO MESSACK</v>
      </c>
      <c r="C19" s="36">
        <f>VLOOKUP($A19,[25]FONDSCAISSE!$A$2:$H$43,4,0)</f>
        <v>800000</v>
      </c>
      <c r="D19" s="36">
        <f>VLOOKUP($A19,[25]FONDSCAISSE!$A$2:$H$43,6,0)</f>
        <v>9944</v>
      </c>
      <c r="E19" s="36">
        <f>VLOOKUP($A19,[26]HISTOJANV25!$A$6:$BR$42,48,0)</f>
        <v>0</v>
      </c>
      <c r="F19" s="36">
        <f t="shared" si="5"/>
        <v>809944</v>
      </c>
      <c r="G19" s="5">
        <f t="shared" si="1"/>
        <v>809944</v>
      </c>
      <c r="H19" s="36">
        <f>VLOOKUP(A19,[27]MVTDEC24!$A$6:$AM$42,8,0)</f>
        <v>38936.486100747723</v>
      </c>
      <c r="I19" s="6">
        <f t="shared" si="2"/>
        <v>848880.48610074772</v>
      </c>
      <c r="J19" s="36">
        <f>VLOOKUP($A19,[28]HISTODEC24!$A$6:$AQ$40,22,0)</f>
        <v>0</v>
      </c>
      <c r="K19" s="36">
        <f>VLOOKUP($A19,[22]HISTODEC23!$A$6:$AU$40,45,0)</f>
        <v>15000</v>
      </c>
      <c r="L19" s="36">
        <f t="shared" si="3"/>
        <v>9000</v>
      </c>
      <c r="M19" s="36">
        <f t="shared" si="6"/>
        <v>1000</v>
      </c>
      <c r="N19" s="36">
        <f t="shared" si="4"/>
        <v>1000</v>
      </c>
      <c r="O19" s="36">
        <f t="shared" si="7"/>
        <v>4000</v>
      </c>
      <c r="P19" s="36">
        <f>VLOOKUP($A19,[22]HISTODEC23!$A$6:$AU$36,7,0)</f>
        <v>0</v>
      </c>
      <c r="Q19" s="36">
        <f>VLOOKUP($A19,[22]HISTODEC23!$A$6:$AU$36,23,0)</f>
        <v>0</v>
      </c>
      <c r="R19" s="36">
        <f>VLOOKUP($A19,[22]HISTODEC23!$A$6:$AU$36,46,0)</f>
        <v>0</v>
      </c>
      <c r="S19" s="36">
        <f>VLOOKUP($A19,[26]HISTODEC24!$A$6:$AU$41,26,0)</f>
        <v>1000000</v>
      </c>
      <c r="T19" s="36">
        <f>VLOOKUP($A19,[26]HISTODEC24!$A$6:$BG$41,58,0)</f>
        <v>120000</v>
      </c>
      <c r="U19" s="36">
        <f>VLOOKUP($A19,[22]HISTODEC23!$A$6:$AU$36,28,0)</f>
        <v>0</v>
      </c>
      <c r="V19" s="36">
        <f>VLOOKUP($A19,[22]HISTODEC23!$A$6:$AU$36,19,0)</f>
        <v>1000000</v>
      </c>
      <c r="W19" s="36" t="str">
        <f>VLOOKUP($A19,[22]HISTODEC23!$A$6:$AU$36,20,0)</f>
        <v>BANQUE</v>
      </c>
      <c r="X19" s="36" t="str">
        <f>VLOOKUP($A19,[22]HISTODEC23!$A$6:$AU$36,27,0)</f>
        <v>BANQUE</v>
      </c>
      <c r="Y19" s="36">
        <f>VLOOKUP($A19,[22]HISTODEC23!$A$6:$BM$36,33,0)</f>
        <v>0</v>
      </c>
      <c r="Z19" s="36">
        <f>VLOOKUP($A19,[22]HISTODEC23!$A$6:$BM$36,65,0)</f>
        <v>0</v>
      </c>
      <c r="AA19" s="36"/>
      <c r="AB19" s="36">
        <f>VLOOKUP($A19,[22]HISTODEC23!$A$6:$AU$36,43,0)</f>
        <v>0</v>
      </c>
      <c r="AC19" s="36">
        <f>VLOOKUP($A19,[22]HISTODEC23!$A$6:$AU$36,44,0)</f>
        <v>0</v>
      </c>
      <c r="AD19" s="36">
        <f>VLOOKUP($A19,[22]HISTODEC23!$A$6:$AU$36,47,0)</f>
        <v>0</v>
      </c>
      <c r="AE19" s="36">
        <f>VLOOKUP(A19,[22]HISTODEC23!$A$6:$BB$36,54,0)</f>
        <v>0</v>
      </c>
      <c r="AF19" s="36">
        <f>VLOOKUP($A19,[22]HISTODEC23!$A$6:$CA$36,60,0)</f>
        <v>0</v>
      </c>
      <c r="AG19" s="36">
        <f>VLOOKUP($A19,[22]HISTODEC23!$A$6:$CA$36,61,0)</f>
        <v>0</v>
      </c>
      <c r="AH19" s="36">
        <f>VLOOKUP($A19,[22]HISTODEC23!$A$6:$CA$36,62,0)</f>
        <v>0</v>
      </c>
      <c r="AI19" s="36">
        <f>VLOOKUP($A19,[22]HISTODEC23!$A$6:$CA$36,63,0)</f>
        <v>0</v>
      </c>
      <c r="AJ19" s="36">
        <f>VLOOKUP($A19,[22]HISTODEC23!$A$6:$CA$36,64,0)</f>
        <v>0</v>
      </c>
      <c r="AK19" s="36">
        <f>VLOOKUP($A19,[22]HISTODEC23!$A$6:$CA$36,65,0)</f>
        <v>0</v>
      </c>
      <c r="AL19" s="36">
        <f>VLOOKUP($A19,[20]DETAILFICHECASSATION!$A$6:$R$36,12,0)</f>
        <v>100000</v>
      </c>
    </row>
    <row r="20" spans="1:38" x14ac:dyDescent="0.35">
      <c r="A20" s="1" t="s">
        <v>36</v>
      </c>
      <c r="B20" s="1" t="str">
        <f>VLOOKUP(A20,[24]LISTADHERENT!A$5:H$50,3,0)</f>
        <v>LOWE JEAN</v>
      </c>
      <c r="C20" s="36">
        <f>VLOOKUP($A20,[25]FONDSCAISSE!$A$2:$H$43,4,0)</f>
        <v>0</v>
      </c>
      <c r="D20" s="36">
        <f>VLOOKUP($A20,[25]FONDSCAISSE!$A$2:$H$43,6,0)</f>
        <v>676217</v>
      </c>
      <c r="E20" s="36">
        <f>VLOOKUP($A20,[26]HISTOJANV25!$A$6:$BR$42,48,0)</f>
        <v>0</v>
      </c>
      <c r="F20" s="36">
        <f t="shared" si="5"/>
        <v>676217</v>
      </c>
      <c r="G20" s="5"/>
      <c r="H20" s="36"/>
      <c r="I20" s="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</row>
    <row r="21" spans="1:38" x14ac:dyDescent="0.35">
      <c r="A21" s="1" t="s">
        <v>329</v>
      </c>
      <c r="B21" s="1" t="str">
        <f>VLOOKUP(A21,[24]LISTADHERENT!A$5:H$50,3,0)</f>
        <v>MASSEUNGOUE DAGOBERT</v>
      </c>
      <c r="C21" s="36">
        <f>VLOOKUP($A21,[25]FONDSCAISSE!$A$2:$H$43,4,0)</f>
        <v>0</v>
      </c>
      <c r="D21" s="36">
        <f>VLOOKUP($A21,[25]FONDSCAISSE!$A$2:$H$43,6,0)</f>
        <v>198625</v>
      </c>
      <c r="E21" s="36">
        <f>VLOOKUP($A21,[26]HISTOJANV25!$A$6:$BR$42,48,0)</f>
        <v>0</v>
      </c>
      <c r="F21" s="36">
        <f t="shared" si="5"/>
        <v>198625</v>
      </c>
      <c r="G21" s="5">
        <f t="shared" si="1"/>
        <v>0</v>
      </c>
      <c r="H21" s="36">
        <f>VLOOKUP(A21,[27]MVTDEC24!$A$6:$AM$42,8,0)</f>
        <v>0</v>
      </c>
      <c r="I21" s="6">
        <f t="shared" si="2"/>
        <v>198625</v>
      </c>
      <c r="J21" s="36">
        <f>VLOOKUP($A21,[28]HISTODEC24!$A$6:$AQ$40,22,0)</f>
        <v>0</v>
      </c>
      <c r="K21" s="36"/>
      <c r="L21" s="36">
        <f t="shared" si="3"/>
        <v>0</v>
      </c>
      <c r="M21" s="36">
        <f t="shared" si="6"/>
        <v>0</v>
      </c>
      <c r="N21" s="36"/>
      <c r="O21" s="36"/>
      <c r="P21" s="36"/>
      <c r="Q21" s="36"/>
      <c r="R21" s="36"/>
      <c r="S21" s="36">
        <f>VLOOKUP($A21,[26]HISTODEC24!$A$6:$AU$41,26,0)</f>
        <v>0</v>
      </c>
      <c r="T21" s="36">
        <f>VLOOKUP($A21,[26]HISTODEC24!$A$6:$BG$41,58,0)</f>
        <v>0</v>
      </c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38" x14ac:dyDescent="0.35">
      <c r="A22" s="1" t="s">
        <v>75</v>
      </c>
      <c r="B22" s="1" t="str">
        <f>VLOOKUP(A22,[24]LISTADHERENT!A$5:H$50,3,0)</f>
        <v>MBOGNING TUGMA GUY</v>
      </c>
      <c r="C22" s="36">
        <f>VLOOKUP($A22,[25]FONDSCAISSE!$A$2:$H$43,4,0)</f>
        <v>800000</v>
      </c>
      <c r="D22" s="36">
        <f>VLOOKUP($A22,[25]FONDSCAISSE!$A$2:$H$43,6,0)</f>
        <v>8501</v>
      </c>
      <c r="E22" s="36">
        <f>VLOOKUP($A22,[26]HISTOJANV25!$A$6:$BR$42,48,0)</f>
        <v>0</v>
      </c>
      <c r="F22" s="36">
        <f t="shared" si="5"/>
        <v>808501</v>
      </c>
      <c r="G22" s="5">
        <f t="shared" si="1"/>
        <v>808501</v>
      </c>
      <c r="H22" s="36">
        <f>VLOOKUP(A22,[27]MVTDEC24!$A$6:$AM$42,8,0)</f>
        <v>38867.116675894424</v>
      </c>
      <c r="I22" s="6">
        <f t="shared" si="2"/>
        <v>847368.11667589447</v>
      </c>
      <c r="J22" s="36">
        <f>VLOOKUP($A22,[28]HISTODEC24!$A$6:$AQ$40,22,0)</f>
        <v>0</v>
      </c>
      <c r="K22" s="36"/>
      <c r="L22" s="36">
        <f t="shared" si="3"/>
        <v>0</v>
      </c>
      <c r="M22" s="36">
        <f t="shared" si="6"/>
        <v>0</v>
      </c>
      <c r="N22" s="36"/>
      <c r="O22" s="36"/>
      <c r="P22" s="36"/>
      <c r="Q22" s="36"/>
      <c r="R22" s="36"/>
      <c r="S22" s="36">
        <f>VLOOKUP($A22,[26]HISTODEC24!$A$6:$AU$41,26,0)</f>
        <v>1000000</v>
      </c>
      <c r="T22" s="36">
        <f>VLOOKUP($A22,[26]HISTODEC24!$A$6:$BG$41,58,0)</f>
        <v>30000</v>
      </c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38" x14ac:dyDescent="0.35">
      <c r="A23" s="1" t="s">
        <v>50</v>
      </c>
      <c r="B23" s="1" t="str">
        <f>VLOOKUP(A23,[24]LISTADHERENT!A$5:H$50,3,0)</f>
        <v>NANGUEN MARTIN</v>
      </c>
      <c r="C23" s="36">
        <f>VLOOKUP($A23,[25]FONDSCAISSE!$A$2:$H$43,4,0)</f>
        <v>800000</v>
      </c>
      <c r="D23" s="36">
        <f>VLOOKUP($A23,[25]FONDSCAISSE!$A$2:$H$43,6,0)</f>
        <v>7819</v>
      </c>
      <c r="E23" s="36">
        <f>VLOOKUP($A23,[26]HISTOJANV25!$A$6:$BR$42,48,0)</f>
        <v>0</v>
      </c>
      <c r="F23" s="36">
        <f t="shared" si="5"/>
        <v>807819</v>
      </c>
      <c r="G23" s="5">
        <f t="shared" si="1"/>
        <v>807819</v>
      </c>
      <c r="H23" s="36">
        <f>VLOOKUP(A23,[27]MVTDEC24!$A$6:$AM$42,8,0)</f>
        <v>38834.330849317885</v>
      </c>
      <c r="I23" s="6">
        <f t="shared" si="2"/>
        <v>846653.33084931783</v>
      </c>
      <c r="J23" s="36">
        <f>VLOOKUP($A23,[28]HISTODEC24!$A$6:$AQ$40,22,0)</f>
        <v>0</v>
      </c>
      <c r="K23" s="36">
        <f>VLOOKUP($A23,[22]HISTODEC23!$A$6:$AU$36,45,0)</f>
        <v>15000</v>
      </c>
      <c r="L23" s="36">
        <f t="shared" si="3"/>
        <v>9000</v>
      </c>
      <c r="M23" s="36">
        <f t="shared" si="6"/>
        <v>1000</v>
      </c>
      <c r="N23" s="36">
        <f t="shared" si="4"/>
        <v>1000</v>
      </c>
      <c r="O23" s="36">
        <f t="shared" si="7"/>
        <v>4000</v>
      </c>
      <c r="P23" s="36">
        <f>VLOOKUP($A23,[22]HISTODEC23!$A$6:$AU$36,7,0)</f>
        <v>0</v>
      </c>
      <c r="Q23" s="36">
        <f>VLOOKUP($A23,[22]HISTODEC23!$A$6:$AU$36,23,0)</f>
        <v>0</v>
      </c>
      <c r="R23" s="36">
        <f>VLOOKUP($A23,[22]HISTODEC23!$A$6:$AU$36,46,0)</f>
        <v>0</v>
      </c>
      <c r="S23" s="36">
        <f>VLOOKUP($A23,[26]HISTODEC24!$A$6:$AU$41,26,0)</f>
        <v>0</v>
      </c>
      <c r="T23" s="36">
        <f>VLOOKUP($A23,[26]HISTODEC24!$A$6:$BG$41,58,0)</f>
        <v>0</v>
      </c>
      <c r="U23" s="36">
        <f>VLOOKUP($A23,[22]HISTODEC23!$A$6:$AU$36,28,0)</f>
        <v>0</v>
      </c>
      <c r="V23" s="36">
        <f>VLOOKUP($A23,[22]HISTODEC23!$A$6:$AU$36,19,0)</f>
        <v>500000</v>
      </c>
      <c r="W23" s="36" t="str">
        <f>VLOOKUP($A23,[22]HISTODEC23!$A$6:$AU$36,20,0)</f>
        <v>BANQUE</v>
      </c>
      <c r="X23" s="36" t="str">
        <f>VLOOKUP($A23,[22]HISTODEC23!$A$6:$AU$36,27,0)</f>
        <v>BANQUE</v>
      </c>
      <c r="Y23" s="36">
        <f>VLOOKUP($A23,[22]HISTODEC23!$A$6:$BM$36,33,0)</f>
        <v>0</v>
      </c>
      <c r="Z23" s="36">
        <f>VLOOKUP($A23,[22]HISTODEC23!$A$6:$BM$36,65,0)</f>
        <v>0</v>
      </c>
      <c r="AA23" s="36"/>
      <c r="AB23" s="36">
        <f>VLOOKUP($A23,[22]HISTODEC23!$A$6:$AU$36,43,0)</f>
        <v>0</v>
      </c>
      <c r="AC23" s="36">
        <f>VLOOKUP($A23,[22]HISTODEC23!$A$6:$AU$36,44,0)</f>
        <v>0</v>
      </c>
      <c r="AD23" s="36">
        <f>VLOOKUP($A23,[22]HISTODEC23!$A$6:$AU$36,47,0)</f>
        <v>0</v>
      </c>
      <c r="AE23" s="36">
        <f>VLOOKUP(A23,[22]HISTODEC23!$A$6:$BB$36,54,0)</f>
        <v>0</v>
      </c>
      <c r="AF23" s="36">
        <f>VLOOKUP($A23,[22]HISTODEC23!$A$6:$CA$36,60,0)</f>
        <v>0</v>
      </c>
      <c r="AG23" s="36">
        <f>VLOOKUP($A23,[22]HISTODEC23!$A$6:$CA$36,61,0)</f>
        <v>0</v>
      </c>
      <c r="AH23" s="36">
        <f>VLOOKUP($A23,[22]HISTODEC23!$A$6:$CA$36,62,0)</f>
        <v>0</v>
      </c>
      <c r="AI23" s="36">
        <f>VLOOKUP($A23,[22]HISTODEC23!$A$6:$CA$36,63,0)</f>
        <v>0</v>
      </c>
      <c r="AJ23" s="36">
        <f>VLOOKUP($A23,[22]HISTODEC23!$A$6:$CA$36,64,0)</f>
        <v>0</v>
      </c>
      <c r="AK23" s="36">
        <f>VLOOKUP($A23,[22]HISTODEC23!$A$6:$CA$36,65,0)</f>
        <v>0</v>
      </c>
      <c r="AL23" s="36">
        <f>VLOOKUP($A23,[20]DETAILFICHECASSATION!$A$6:$R$36,12,0)</f>
        <v>100000</v>
      </c>
    </row>
    <row r="24" spans="1:38" x14ac:dyDescent="0.35">
      <c r="A24" s="1" t="s">
        <v>37</v>
      </c>
      <c r="B24" s="1" t="str">
        <f>VLOOKUP(A24,[24]LISTADHERENT!A$5:H$50,3,0)</f>
        <v>NANKAM APPOLINAIRE</v>
      </c>
      <c r="C24" s="36">
        <f>VLOOKUP($A24,[25]FONDSCAISSE!$A$2:$H$43,4,0)</f>
        <v>800000</v>
      </c>
      <c r="D24" s="36">
        <f>VLOOKUP($A24,[25]FONDSCAISSE!$A$2:$H$43,6,0)</f>
        <v>249258</v>
      </c>
      <c r="E24" s="36">
        <f>VLOOKUP($A24,[26]HISTOJANV25!$A$6:$BR$42,48,0)</f>
        <v>0</v>
      </c>
      <c r="F24" s="36">
        <f t="shared" si="5"/>
        <v>1049258</v>
      </c>
      <c r="G24" s="5">
        <f t="shared" si="1"/>
        <v>1049258</v>
      </c>
      <c r="H24" s="36">
        <f>VLOOKUP(A24,[27]MVTDEC24!$A$6:$AM$42,8,0)</f>
        <v>50441.042261067865</v>
      </c>
      <c r="I24" s="6">
        <f t="shared" si="2"/>
        <v>1099699.0422610678</v>
      </c>
      <c r="J24" s="36">
        <f>VLOOKUP($A24,[28]HISTODEC24!$A$6:$AQ$40,22,0)</f>
        <v>0</v>
      </c>
      <c r="K24" s="36">
        <f>VLOOKUP($A24,[22]HISTODEC23!$A$6:$AU$36,45,0)</f>
        <v>15000</v>
      </c>
      <c r="L24" s="36">
        <f t="shared" si="3"/>
        <v>9000</v>
      </c>
      <c r="M24" s="36">
        <f t="shared" si="6"/>
        <v>1000</v>
      </c>
      <c r="N24" s="36">
        <f t="shared" si="4"/>
        <v>1000</v>
      </c>
      <c r="O24" s="36">
        <f t="shared" si="7"/>
        <v>4000</v>
      </c>
      <c r="P24" s="36">
        <f>VLOOKUP($A24,[22]HISTODEC23!$A$6:$AU$36,7,0)</f>
        <v>0</v>
      </c>
      <c r="Q24" s="36">
        <f>VLOOKUP($A24,[22]HISTODEC23!$A$6:$AU$36,23,0)</f>
        <v>0</v>
      </c>
      <c r="R24" s="36">
        <f>VLOOKUP($A24,[22]HISTODEC23!$A$6:$AU$36,46,0)</f>
        <v>0</v>
      </c>
      <c r="S24" s="36">
        <f>VLOOKUP($A24,[26]HISTODEC24!$A$6:$AU$41,26,0)</f>
        <v>900000</v>
      </c>
      <c r="T24" s="36">
        <f>VLOOKUP($A24,[26]HISTODEC24!$A$6:$BG$41,58,0)</f>
        <v>108000</v>
      </c>
      <c r="U24" s="36">
        <f>VLOOKUP($A24,[22]HISTODEC23!$A$6:$AU$36,28,0)</f>
        <v>0</v>
      </c>
      <c r="V24" s="36">
        <f>VLOOKUP($A24,[22]HISTODEC23!$A$6:$AU$36,19,0)</f>
        <v>107500</v>
      </c>
      <c r="W24" s="36" t="str">
        <f>VLOOKUP($A24,[22]HISTODEC23!$A$6:$AU$36,20,0)</f>
        <v>BANQUE</v>
      </c>
      <c r="X24" s="36" t="str">
        <f>VLOOKUP($A24,[22]HISTODEC23!$A$6:$AU$36,27,0)</f>
        <v>BANQUE</v>
      </c>
      <c r="Y24" s="36">
        <f>VLOOKUP($A24,[22]HISTODEC23!$A$6:$BM$36,33,0)</f>
        <v>0</v>
      </c>
      <c r="Z24" s="36">
        <f>VLOOKUP($A24,[22]HISTODEC23!$A$6:$BM$36,65,0)</f>
        <v>0</v>
      </c>
      <c r="AA24" s="36"/>
      <c r="AB24" s="36">
        <f>VLOOKUP($A24,[22]HISTODEC23!$A$6:$AU$36,43,0)</f>
        <v>0</v>
      </c>
      <c r="AC24" s="36">
        <f>VLOOKUP($A24,[22]HISTODEC23!$A$6:$AU$36,44,0)</f>
        <v>0</v>
      </c>
      <c r="AD24" s="36">
        <f>VLOOKUP($A24,[22]HISTODEC23!$A$6:$AU$36,47,0)</f>
        <v>0</v>
      </c>
      <c r="AE24" s="36">
        <f>VLOOKUP(A24,[22]HISTODEC23!$A$6:$BB$36,54,0)</f>
        <v>0</v>
      </c>
      <c r="AF24" s="36">
        <f>VLOOKUP($A24,[22]HISTODEC23!$A$6:$CA$36,60,0)</f>
        <v>0</v>
      </c>
      <c r="AG24" s="36">
        <f>VLOOKUP($A24,[22]HISTODEC23!$A$6:$CA$36,61,0)</f>
        <v>0</v>
      </c>
      <c r="AH24" s="36">
        <f>VLOOKUP($A24,[22]HISTODEC23!$A$6:$CA$36,62,0)</f>
        <v>0</v>
      </c>
      <c r="AI24" s="36">
        <f>VLOOKUP($A24,[22]HISTODEC23!$A$6:$CA$36,63,0)</f>
        <v>0</v>
      </c>
      <c r="AJ24" s="36">
        <f>VLOOKUP($A24,[22]HISTODEC23!$A$6:$CA$36,64,0)</f>
        <v>0</v>
      </c>
      <c r="AK24" s="36">
        <f>VLOOKUP($A24,[22]HISTODEC23!$A$6:$CA$36,65,0)</f>
        <v>0</v>
      </c>
      <c r="AL24" s="36">
        <f>VLOOKUP($A24,[20]DETAILFICHECASSATION!$A$6:$R$36,12,0)</f>
        <v>100000</v>
      </c>
    </row>
    <row r="25" spans="1:38" x14ac:dyDescent="0.35">
      <c r="A25" s="1" t="s">
        <v>38</v>
      </c>
      <c r="B25" s="1" t="str">
        <f>VLOOKUP(A25,[24]LISTADHERENT!A$5:H$50,3,0)</f>
        <v>NDJOMO ETIENNE</v>
      </c>
      <c r="C25" s="36">
        <f>VLOOKUP($A25,[25]FONDSCAISSE!$A$2:$H$43,4,0)</f>
        <v>800000</v>
      </c>
      <c r="D25" s="36">
        <f>VLOOKUP($A25,[25]FONDSCAISSE!$A$2:$H$43,6,0)</f>
        <v>256158</v>
      </c>
      <c r="E25" s="36">
        <f>VLOOKUP($A25,[26]HISTOJANV25!$A$6:$BR$42,48,0)</f>
        <v>0</v>
      </c>
      <c r="F25" s="36">
        <f t="shared" si="5"/>
        <v>1056158</v>
      </c>
      <c r="G25" s="5">
        <f t="shared" si="1"/>
        <v>1056158</v>
      </c>
      <c r="H25" s="36">
        <f>VLOOKUP(A25,[27]MVTDEC24!$A$6:$AM$42,8,0)</f>
        <v>50772.746371592992</v>
      </c>
      <c r="I25" s="6">
        <f t="shared" si="2"/>
        <v>1106930.7463715931</v>
      </c>
      <c r="J25" s="36">
        <f>VLOOKUP($A25,[28]HISTODEC24!$A$6:$AQ$40,22,0)</f>
        <v>0</v>
      </c>
      <c r="K25" s="36">
        <f>VLOOKUP($A25,[22]HISTODEC23!$A$6:$AU$36,45,0)</f>
        <v>25000</v>
      </c>
      <c r="L25" s="36">
        <f t="shared" si="3"/>
        <v>19000</v>
      </c>
      <c r="M25" s="36">
        <f t="shared" si="6"/>
        <v>1000</v>
      </c>
      <c r="N25" s="36">
        <f t="shared" si="4"/>
        <v>1000</v>
      </c>
      <c r="O25" s="36">
        <f t="shared" si="7"/>
        <v>4000</v>
      </c>
      <c r="P25" s="36">
        <f>VLOOKUP($A25,[22]HISTODEC23!$A$6:$AU$36,7,0)</f>
        <v>0</v>
      </c>
      <c r="Q25" s="36">
        <f>VLOOKUP($A25,[22]HISTODEC23!$A$6:$AU$36,23,0)</f>
        <v>0</v>
      </c>
      <c r="R25" s="36">
        <f>VLOOKUP($A25,[22]HISTODEC23!$A$6:$AU$36,46,0)</f>
        <v>0</v>
      </c>
      <c r="S25" s="36">
        <f>VLOOKUP($A25,[26]HISTODEC24!$A$6:$AU$41,26,0)</f>
        <v>500000</v>
      </c>
      <c r="T25" s="36">
        <f>VLOOKUP($A25,[26]HISTODEC24!$A$6:$BG$41,58,0)</f>
        <v>30000</v>
      </c>
      <c r="U25" s="36">
        <f>VLOOKUP($A25,[22]HISTODEC23!$A$6:$AU$36,28,0)</f>
        <v>0</v>
      </c>
      <c r="V25" s="36">
        <f>VLOOKUP($A25,[22]HISTODEC23!$A$6:$AU$36,19,0)</f>
        <v>600000</v>
      </c>
      <c r="W25" s="36" t="str">
        <f>VLOOKUP($A25,[22]HISTODEC23!$A$6:$AU$36,20,0)</f>
        <v>BANQUE</v>
      </c>
      <c r="X25" s="36" t="str">
        <f>VLOOKUP($A25,[22]HISTODEC23!$A$6:$AU$36,27,0)</f>
        <v>BANQUE</v>
      </c>
      <c r="Y25" s="36">
        <f>VLOOKUP($A25,[22]HISTODEC23!$A$6:$BM$36,33,0)</f>
        <v>0</v>
      </c>
      <c r="Z25" s="36">
        <f>VLOOKUP($A25,[22]HISTODEC23!$A$6:$BM$36,65,0)</f>
        <v>0</v>
      </c>
      <c r="AA25" s="36"/>
      <c r="AB25" s="36">
        <f>VLOOKUP($A25,[22]HISTODEC23!$A$6:$AU$36,43,0)</f>
        <v>0</v>
      </c>
      <c r="AC25" s="36">
        <f>VLOOKUP($A25,[22]HISTODEC23!$A$6:$AU$36,44,0)</f>
        <v>0</v>
      </c>
      <c r="AD25" s="36">
        <f>VLOOKUP($A25,[22]HISTODEC23!$A$6:$AU$36,47,0)</f>
        <v>0</v>
      </c>
      <c r="AE25" s="36">
        <f>VLOOKUP(A25,[22]HISTODEC23!$A$6:$BB$36,54,0)</f>
        <v>0</v>
      </c>
      <c r="AF25" s="36">
        <f>VLOOKUP($A25,[22]HISTODEC23!$A$6:$CA$36,60,0)</f>
        <v>0</v>
      </c>
      <c r="AG25" s="36">
        <f>VLOOKUP($A25,[22]HISTODEC23!$A$6:$CA$36,61,0)</f>
        <v>0</v>
      </c>
      <c r="AH25" s="36">
        <f>VLOOKUP($A25,[22]HISTODEC23!$A$6:$CA$36,62,0)</f>
        <v>0</v>
      </c>
      <c r="AI25" s="36">
        <f>VLOOKUP($A25,[22]HISTODEC23!$A$6:$CA$36,63,0)</f>
        <v>0</v>
      </c>
      <c r="AJ25" s="36">
        <f>VLOOKUP($A25,[22]HISTODEC23!$A$6:$CA$36,64,0)</f>
        <v>0</v>
      </c>
      <c r="AK25" s="36">
        <f>VLOOKUP($A25,[22]HISTODEC23!$A$6:$CA$36,65,0)</f>
        <v>0</v>
      </c>
      <c r="AL25" s="36">
        <f>VLOOKUP($A25,[20]DETAILFICHECASSATION!$A$6:$R$36,12,0)</f>
        <v>100000</v>
      </c>
    </row>
    <row r="26" spans="1:38" x14ac:dyDescent="0.35">
      <c r="A26" s="1" t="s">
        <v>39</v>
      </c>
      <c r="B26" s="1" t="str">
        <f>VLOOKUP(A26,[24]LISTADHERENT!A$5:H$50,3,0)</f>
        <v>NGONDIEP CLAUDE</v>
      </c>
      <c r="C26" s="36">
        <f>VLOOKUP($A26,[25]FONDSCAISSE!$A$2:$H$43,4,0)</f>
        <v>800000</v>
      </c>
      <c r="D26" s="36">
        <f>VLOOKUP($A26,[25]FONDSCAISSE!$A$2:$H$43,6,0)</f>
        <v>353356</v>
      </c>
      <c r="E26" s="36">
        <f>VLOOKUP($A26,[26]HISTOJANV25!$A$6:$BR$42,48,0)</f>
        <v>0</v>
      </c>
      <c r="F26" s="36">
        <f t="shared" si="5"/>
        <v>1153356</v>
      </c>
      <c r="G26" s="5">
        <f t="shared" si="1"/>
        <v>1153356</v>
      </c>
      <c r="H26" s="36">
        <f>VLOOKUP(A26,[27]MVTDEC24!$A$6:$AM$42,8,0)</f>
        <v>55445.351608523539</v>
      </c>
      <c r="I26" s="6">
        <f t="shared" si="2"/>
        <v>1208801.3516085236</v>
      </c>
      <c r="J26" s="36">
        <f>VLOOKUP($A26,[28]HISTODEC24!$A$6:$AQ$40,22,0)</f>
        <v>0</v>
      </c>
      <c r="K26" s="36">
        <f>VLOOKUP($A26,[22]HISTODEC23!$A$6:$AU$36,45,0)</f>
        <v>15000</v>
      </c>
      <c r="L26" s="36">
        <f t="shared" si="3"/>
        <v>9000</v>
      </c>
      <c r="M26" s="36">
        <f t="shared" si="6"/>
        <v>1000</v>
      </c>
      <c r="N26" s="36">
        <f t="shared" si="4"/>
        <v>1000</v>
      </c>
      <c r="O26" s="36">
        <f t="shared" si="7"/>
        <v>4000</v>
      </c>
      <c r="P26" s="36">
        <f>VLOOKUP($A26,[22]HISTODEC23!$A$6:$AU$36,7,0)</f>
        <v>0</v>
      </c>
      <c r="Q26" s="36">
        <f>VLOOKUP($A26,[22]HISTODEC23!$A$6:$AU$36,23,0)</f>
        <v>0</v>
      </c>
      <c r="R26" s="36">
        <f>VLOOKUP($A26,[22]HISTODEC23!$A$6:$AU$36,46,0)</f>
        <v>0</v>
      </c>
      <c r="S26" s="36">
        <f>VLOOKUP($A26,[26]HISTODEC24!$A$6:$AU$41,26,0)</f>
        <v>0</v>
      </c>
      <c r="T26" s="36">
        <f>VLOOKUP($A26,[26]HISTODEC24!$A$6:$BG$41,58,0)</f>
        <v>0</v>
      </c>
      <c r="U26" s="36">
        <f>VLOOKUP($A26,[22]HISTODEC23!$A$6:$AU$36,28,0)</f>
        <v>0</v>
      </c>
      <c r="V26" s="36">
        <f>VLOOKUP($A26,[22]HISTODEC23!$A$6:$AU$36,19,0)</f>
        <v>1000000</v>
      </c>
      <c r="W26" s="36" t="str">
        <f>VLOOKUP($A26,[22]HISTODEC23!$A$6:$AU$36,20,0)</f>
        <v>BANQUE</v>
      </c>
      <c r="X26" s="36" t="str">
        <f>VLOOKUP($A26,[22]HISTODEC23!$A$6:$AU$36,27,0)</f>
        <v>BANQUE</v>
      </c>
      <c r="Y26" s="36">
        <f>VLOOKUP($A26,[22]HISTODEC23!$A$6:$BM$36,33,0)</f>
        <v>0</v>
      </c>
      <c r="Z26" s="36">
        <f>VLOOKUP($A26,[22]HISTODEC23!$A$6:$BM$36,65,0)</f>
        <v>0</v>
      </c>
      <c r="AA26" s="36"/>
      <c r="AB26" s="36">
        <f>VLOOKUP($A26,[22]HISTODEC23!$A$6:$AU$36,43,0)</f>
        <v>0</v>
      </c>
      <c r="AC26" s="36">
        <f>VLOOKUP($A26,[22]HISTODEC23!$A$6:$AU$36,44,0)</f>
        <v>0</v>
      </c>
      <c r="AD26" s="36">
        <f>VLOOKUP($A26,[22]HISTODEC23!$A$6:$AU$36,47,0)</f>
        <v>0</v>
      </c>
      <c r="AE26" s="36">
        <f>VLOOKUP(A26,[22]HISTODEC23!$A$6:$BB$36,54,0)</f>
        <v>0</v>
      </c>
      <c r="AF26" s="36">
        <f>VLOOKUP($A26,[22]HISTODEC23!$A$6:$CA$36,60,0)</f>
        <v>0</v>
      </c>
      <c r="AG26" s="36">
        <f>VLOOKUP($A26,[22]HISTODEC23!$A$6:$CA$36,61,0)</f>
        <v>0</v>
      </c>
      <c r="AH26" s="36">
        <f>VLOOKUP($A26,[22]HISTODEC23!$A$6:$CA$36,62,0)</f>
        <v>0</v>
      </c>
      <c r="AI26" s="36">
        <f>VLOOKUP($A26,[22]HISTODEC23!$A$6:$CA$36,63,0)</f>
        <v>0</v>
      </c>
      <c r="AJ26" s="36">
        <f>VLOOKUP($A26,[22]HISTODEC23!$A$6:$CA$36,64,0)</f>
        <v>0</v>
      </c>
      <c r="AK26" s="36">
        <f>VLOOKUP($A26,[22]HISTODEC23!$A$6:$CA$36,65,0)</f>
        <v>0</v>
      </c>
      <c r="AL26" s="36">
        <f>VLOOKUP($A26,[20]DETAILFICHECASSATION!$A$6:$R$36,12,0)</f>
        <v>100000</v>
      </c>
    </row>
    <row r="27" spans="1:38" x14ac:dyDescent="0.35">
      <c r="A27" s="1" t="s">
        <v>41</v>
      </c>
      <c r="B27" s="1" t="str">
        <f>VLOOKUP(A27,[24]LISTADHERENT!A$5:H$50,3,0)</f>
        <v>NGUIEMEGNI MATHIEU BLAISE</v>
      </c>
      <c r="C27" s="36">
        <f>VLOOKUP($A27,[25]FONDSCAISSE!$A$2:$H$43,4,0)</f>
        <v>800000</v>
      </c>
      <c r="D27" s="36">
        <f>VLOOKUP($A27,[25]FONDSCAISSE!$A$2:$H$43,6,0)</f>
        <v>9175</v>
      </c>
      <c r="E27" s="36">
        <f>VLOOKUP($A27,[26]HISTOJANV25!$A$6:$BR$42,48,0)</f>
        <v>0</v>
      </c>
      <c r="F27" s="36">
        <f t="shared" si="5"/>
        <v>809175</v>
      </c>
      <c r="G27" s="5">
        <f t="shared" si="1"/>
        <v>809175</v>
      </c>
      <c r="H27" s="36">
        <f>VLOOKUP(A27,[27]MVTDEC24!$A$6:$AM$42,8,0)</f>
        <v>38899.517917994992</v>
      </c>
      <c r="I27" s="6">
        <f t="shared" si="2"/>
        <v>848074.51791799499</v>
      </c>
      <c r="J27" s="36">
        <f>VLOOKUP($A27,[28]HISTODEC24!$A$6:$AQ$40,22,0)</f>
        <v>0</v>
      </c>
      <c r="K27" s="36">
        <f>VLOOKUP($A27,[22]HISTODEC23!$A$6:$AU$36,45,0)</f>
        <v>123000</v>
      </c>
      <c r="L27" s="36">
        <f t="shared" si="3"/>
        <v>117000</v>
      </c>
      <c r="M27" s="36">
        <f t="shared" si="6"/>
        <v>1000</v>
      </c>
      <c r="N27" s="36">
        <f t="shared" si="4"/>
        <v>1000</v>
      </c>
      <c r="O27" s="36">
        <f t="shared" si="7"/>
        <v>4000</v>
      </c>
      <c r="P27" s="36">
        <f>VLOOKUP($A27,[22]HISTODEC23!$A$6:$AU$36,7,0)</f>
        <v>0</v>
      </c>
      <c r="Q27" s="36">
        <f>VLOOKUP($A27,[22]HISTODEC23!$A$6:$AU$36,23,0)</f>
        <v>0</v>
      </c>
      <c r="R27" s="36">
        <f>VLOOKUP($A27,[22]HISTODEC23!$A$6:$AU$36,46,0)</f>
        <v>0</v>
      </c>
      <c r="S27" s="36">
        <f>VLOOKUP($A27,[26]HISTODEC24!$A$6:$AU$41,26,0)</f>
        <v>1000000</v>
      </c>
      <c r="T27" s="36">
        <f>VLOOKUP($A27,[26]HISTODEC24!$A$6:$BG$41,58,0)</f>
        <v>120000</v>
      </c>
      <c r="U27" s="36">
        <f>VLOOKUP($A27,[22]HISTODEC23!$A$6:$AU$36,28,0)</f>
        <v>0</v>
      </c>
      <c r="V27" s="36">
        <f>VLOOKUP($A27,[22]HISTODEC23!$A$6:$AU$36,19,0)</f>
        <v>1000000</v>
      </c>
      <c r="W27" s="36" t="str">
        <f>VLOOKUP($A27,[22]HISTODEC23!$A$6:$AU$36,20,0)</f>
        <v>BANQUE</v>
      </c>
      <c r="X27" s="36" t="str">
        <f>VLOOKUP($A27,[22]HISTODEC23!$A$6:$AU$36,27,0)</f>
        <v>BANQUE</v>
      </c>
      <c r="Y27" s="36">
        <f>VLOOKUP($A27,[22]HISTODEC23!$A$6:$BM$36,33,0)</f>
        <v>0</v>
      </c>
      <c r="Z27" s="36">
        <f>VLOOKUP($A27,[22]HISTODEC23!$A$6:$BM$36,65,0)</f>
        <v>0</v>
      </c>
      <c r="AA27" s="36"/>
      <c r="AB27" s="36">
        <f>VLOOKUP($A27,[22]HISTODEC23!$A$6:$AU$36,43,0)</f>
        <v>0</v>
      </c>
      <c r="AC27" s="36">
        <f>VLOOKUP($A27,[22]HISTODEC23!$A$6:$AU$36,44,0)</f>
        <v>0</v>
      </c>
      <c r="AD27" s="36">
        <f>VLOOKUP($A27,[22]HISTODEC23!$A$6:$AU$36,47,0)</f>
        <v>0</v>
      </c>
      <c r="AE27" s="36">
        <f>VLOOKUP(A27,[22]HISTODEC23!$A$6:$BB$36,54,0)</f>
        <v>0</v>
      </c>
      <c r="AF27" s="36">
        <f>VLOOKUP($A27,[22]HISTODEC23!$A$6:$CA$36,60,0)</f>
        <v>0</v>
      </c>
      <c r="AG27" s="36">
        <f>VLOOKUP($A27,[22]HISTODEC23!$A$6:$CA$36,61,0)</f>
        <v>0</v>
      </c>
      <c r="AH27" s="36">
        <f>VLOOKUP($A27,[22]HISTODEC23!$A$6:$CA$36,62,0)</f>
        <v>0</v>
      </c>
      <c r="AI27" s="36">
        <f>VLOOKUP($A27,[22]HISTODEC23!$A$6:$CA$36,63,0)</f>
        <v>0</v>
      </c>
      <c r="AJ27" s="36">
        <f>VLOOKUP($A27,[22]HISTODEC23!$A$6:$CA$36,64,0)</f>
        <v>0</v>
      </c>
      <c r="AK27" s="36">
        <f>VLOOKUP($A27,[22]HISTODEC23!$A$6:$CA$36,65,0)</f>
        <v>0</v>
      </c>
      <c r="AL27" s="36">
        <f>VLOOKUP($A27,[20]DETAILFICHECASSATION!$A$6:$R$36,12,0)</f>
        <v>100000</v>
      </c>
    </row>
    <row r="28" spans="1:38" x14ac:dyDescent="0.35">
      <c r="A28" s="1" t="s">
        <v>43</v>
      </c>
      <c r="B28" s="1" t="str">
        <f>VLOOKUP(A28,[24]LISTADHERENT!A$5:H$50,3,0)</f>
        <v>NKAMGANG JUSTIN DEJOLIE</v>
      </c>
      <c r="C28" s="36">
        <f>VLOOKUP($A28,[25]FONDSCAISSE!$A$2:$H$43,4,0)</f>
        <v>800000</v>
      </c>
      <c r="D28" s="36">
        <f>VLOOKUP($A28,[25]FONDSCAISSE!$A$2:$H$43,6,0)</f>
        <v>10531</v>
      </c>
      <c r="E28" s="36">
        <f>VLOOKUP($A28,[26]HISTOJANV25!$A$6:$BR$42,48,0)</f>
        <v>0</v>
      </c>
      <c r="F28" s="36">
        <f t="shared" si="5"/>
        <v>810531</v>
      </c>
      <c r="G28" s="5">
        <f t="shared" si="1"/>
        <v>810531</v>
      </c>
      <c r="H28" s="36">
        <f>VLOOKUP(A28,[27]MVTDEC24!$A$6:$AM$42,8,0)</f>
        <v>38964.704986672106</v>
      </c>
      <c r="I28" s="6">
        <f t="shared" si="2"/>
        <v>849495.70498667215</v>
      </c>
      <c r="J28" s="36">
        <f>VLOOKUP($A28,[28]HISTODEC24!$A$6:$AQ$40,22,0)</f>
        <v>0</v>
      </c>
      <c r="K28" s="36">
        <f>VLOOKUP($A28,[22]HISTODEC23!$A$6:$AU$36,45,0)</f>
        <v>15000</v>
      </c>
      <c r="L28" s="36">
        <f t="shared" si="3"/>
        <v>9000</v>
      </c>
      <c r="M28" s="36">
        <f t="shared" si="6"/>
        <v>1000</v>
      </c>
      <c r="N28" s="36">
        <f t="shared" si="4"/>
        <v>1000</v>
      </c>
      <c r="O28" s="36">
        <f t="shared" si="7"/>
        <v>4000</v>
      </c>
      <c r="P28" s="36">
        <f>VLOOKUP($A28,[22]HISTODEC23!$A$6:$AU$36,7,0)</f>
        <v>0</v>
      </c>
      <c r="Q28" s="36">
        <f>VLOOKUP($A28,[22]HISTODEC23!$A$6:$AU$36,23,0)</f>
        <v>0</v>
      </c>
      <c r="R28" s="36">
        <f>VLOOKUP($A28,[22]HISTODEC23!$A$6:$AU$36,46,0)</f>
        <v>0</v>
      </c>
      <c r="S28" s="36">
        <f>VLOOKUP($A28,[26]HISTODEC24!$A$6:$AU$41,26,0)</f>
        <v>1000000</v>
      </c>
      <c r="T28" s="36">
        <f>VLOOKUP($A28,[26]HISTODEC24!$A$6:$BG$41,58,0)</f>
        <v>30000</v>
      </c>
      <c r="U28" s="36">
        <f>VLOOKUP($A28,[22]HISTODEC23!$A$6:$AU$36,28,0)</f>
        <v>0</v>
      </c>
      <c r="V28" s="36">
        <f>VLOOKUP($A28,[22]HISTODEC23!$A$6:$AU$36,19,0)</f>
        <v>1000000</v>
      </c>
      <c r="W28" s="36" t="str">
        <f>VLOOKUP($A28,[22]HISTODEC23!$A$6:$AU$36,20,0)</f>
        <v>BANQUE</v>
      </c>
      <c r="X28" s="36" t="str">
        <f>VLOOKUP($A28,[22]HISTODEC23!$A$6:$AU$36,27,0)</f>
        <v>BANQUE</v>
      </c>
      <c r="Y28" s="36">
        <f>VLOOKUP($A28,[22]HISTODEC23!$A$6:$BM$36,33,0)</f>
        <v>0</v>
      </c>
      <c r="Z28" s="36">
        <f>VLOOKUP($A28,[22]HISTODEC23!$A$6:$BM$36,65,0)</f>
        <v>0</v>
      </c>
      <c r="AA28" s="36"/>
      <c r="AB28" s="36">
        <f>VLOOKUP($A28,[22]HISTODEC23!$A$6:$AU$36,43,0)</f>
        <v>0</v>
      </c>
      <c r="AC28" s="36">
        <f>VLOOKUP($A28,[22]HISTODEC23!$A$6:$AU$36,44,0)</f>
        <v>0</v>
      </c>
      <c r="AD28" s="36">
        <f>VLOOKUP($A28,[22]HISTODEC23!$A$6:$AU$36,47,0)</f>
        <v>0</v>
      </c>
      <c r="AE28" s="36">
        <f>VLOOKUP(A28,[22]HISTODEC23!$A$6:$BB$36,54,0)</f>
        <v>0</v>
      </c>
      <c r="AF28" s="36">
        <f>VLOOKUP($A28,[22]HISTODEC23!$A$6:$CA$36,60,0)</f>
        <v>0</v>
      </c>
      <c r="AG28" s="36">
        <f>VLOOKUP($A28,[22]HISTODEC23!$A$6:$CA$36,61,0)</f>
        <v>0</v>
      </c>
      <c r="AH28" s="36">
        <f>VLOOKUP($A28,[22]HISTODEC23!$A$6:$CA$36,62,0)</f>
        <v>0</v>
      </c>
      <c r="AI28" s="36">
        <f>VLOOKUP($A28,[22]HISTODEC23!$A$6:$CA$36,63,0)</f>
        <v>0</v>
      </c>
      <c r="AJ28" s="36">
        <f>VLOOKUP($A28,[22]HISTODEC23!$A$6:$CA$36,64,0)</f>
        <v>0</v>
      </c>
      <c r="AK28" s="36">
        <f>VLOOKUP($A28,[22]HISTODEC23!$A$6:$CA$36,65,0)</f>
        <v>0</v>
      </c>
      <c r="AL28" s="36">
        <f>VLOOKUP($A28,[20]DETAILFICHECASSATION!$A$6:$R$36,12,0)</f>
        <v>100000</v>
      </c>
    </row>
    <row r="29" spans="1:38" x14ac:dyDescent="0.35">
      <c r="A29" s="1" t="s">
        <v>172</v>
      </c>
      <c r="B29" s="1" t="str">
        <f>VLOOKUP(A29,[24]LISTADHERENT!A$5:H$50,3,0)</f>
        <v>NOUBE ETIENNE</v>
      </c>
      <c r="C29" s="36">
        <f>VLOOKUP($A29,[25]FONDSCAISSE!$A$2:$H$43,4,0)</f>
        <v>800000</v>
      </c>
      <c r="D29" s="36">
        <f>VLOOKUP($A29,[25]FONDSCAISSE!$A$2:$H$43,6,0)</f>
        <v>-17159</v>
      </c>
      <c r="E29" s="36">
        <f>VLOOKUP($A29,[26]HISTOJANV25!$A$6:$BR$42,48,0)</f>
        <v>0</v>
      </c>
      <c r="F29" s="36">
        <f t="shared" si="5"/>
        <v>782841</v>
      </c>
      <c r="G29" s="5">
        <f t="shared" si="1"/>
        <v>782841</v>
      </c>
      <c r="H29" s="36">
        <f>VLOOKUP(A29,[27]MVTDEC24!$A$6:$AM$42,8,0)</f>
        <v>37633.561969216942</v>
      </c>
      <c r="I29" s="6">
        <f t="shared" si="2"/>
        <v>820474.56196921691</v>
      </c>
      <c r="J29" s="36">
        <f>VLOOKUP($A29,[28]HISTODEC24!$A$6:$AQ$40,22,0)</f>
        <v>0</v>
      </c>
      <c r="K29" s="36">
        <f>VLOOKUP($A29,[22]HISTODEC23!$A$6:$AU$36,45,0)</f>
        <v>25000</v>
      </c>
      <c r="L29" s="36">
        <f t="shared" si="3"/>
        <v>19000</v>
      </c>
      <c r="M29" s="36">
        <f t="shared" si="6"/>
        <v>1000</v>
      </c>
      <c r="N29" s="36">
        <f t="shared" si="4"/>
        <v>1000</v>
      </c>
      <c r="O29" s="36">
        <f t="shared" si="7"/>
        <v>4000</v>
      </c>
      <c r="P29" s="36">
        <f>VLOOKUP($A29,[22]HISTODEC23!$A$6:$AU$36,7,0)</f>
        <v>0</v>
      </c>
      <c r="Q29" s="36">
        <f>VLOOKUP($A29,[22]HISTODEC23!$A$6:$AU$36,23,0)</f>
        <v>0</v>
      </c>
      <c r="R29" s="36">
        <f>VLOOKUP($A29,[22]HISTODEC23!$A$6:$AU$36,46,0)</f>
        <v>0</v>
      </c>
      <c r="S29" s="36">
        <f>VLOOKUP($A29,[26]HISTODEC24!$A$6:$AU$41,26,0)</f>
        <v>0</v>
      </c>
      <c r="T29" s="36">
        <f>VLOOKUP($A29,[26]HISTODEC24!$A$6:$BG$41,58,0)</f>
        <v>0</v>
      </c>
      <c r="U29" s="36">
        <f>VLOOKUP($A29,[22]HISTODEC23!$A$6:$AU$36,28,0)</f>
        <v>0</v>
      </c>
      <c r="V29" s="36">
        <f>VLOOKUP($A29,[22]HISTODEC23!$A$6:$AU$36,19,0)</f>
        <v>0</v>
      </c>
      <c r="W29" s="36">
        <f>VLOOKUP($A29,[22]HISTODEC23!$A$6:$AU$36,20,0)</f>
        <v>0</v>
      </c>
      <c r="X29" s="36">
        <f>VLOOKUP($A29,[22]HISTODEC23!$A$6:$AU$36,27,0)</f>
        <v>0</v>
      </c>
      <c r="Y29" s="36">
        <f>VLOOKUP($A29,[22]HISTODEC23!$A$6:$BM$36,33,0)</f>
        <v>0</v>
      </c>
      <c r="Z29" s="36">
        <f>VLOOKUP($A29,[22]HISTODEC23!$A$6:$BM$36,65,0)</f>
        <v>0</v>
      </c>
      <c r="AA29" s="36"/>
      <c r="AB29" s="36">
        <f>VLOOKUP($A29,[22]HISTODEC23!$A$6:$AU$36,43,0)</f>
        <v>0</v>
      </c>
      <c r="AC29" s="36">
        <f>VLOOKUP($A29,[22]HISTODEC23!$A$6:$AU$36,44,0)</f>
        <v>0</v>
      </c>
      <c r="AD29" s="36">
        <f>VLOOKUP($A29,[22]HISTODEC23!$A$6:$AU$36,47,0)</f>
        <v>0</v>
      </c>
      <c r="AE29" s="36">
        <f>VLOOKUP(A29,[22]HISTODEC23!$A$6:$BB$36,54,0)</f>
        <v>0</v>
      </c>
      <c r="AF29" s="36">
        <f>VLOOKUP($A29,[22]HISTODEC23!$A$6:$CA$36,60,0)</f>
        <v>0</v>
      </c>
      <c r="AG29" s="36">
        <f>VLOOKUP($A29,[22]HISTODEC23!$A$6:$CA$36,61,0)</f>
        <v>0</v>
      </c>
      <c r="AH29" s="36">
        <f>VLOOKUP($A29,[22]HISTODEC23!$A$6:$CA$36,62,0)</f>
        <v>0</v>
      </c>
      <c r="AI29" s="36">
        <f>VLOOKUP($A29,[22]HISTODEC23!$A$6:$CA$36,63,0)</f>
        <v>0</v>
      </c>
      <c r="AJ29" s="36">
        <f>VLOOKUP($A29,[22]HISTODEC23!$A$6:$CA$36,64,0)</f>
        <v>0</v>
      </c>
      <c r="AK29" s="36">
        <f>VLOOKUP($A29,[22]HISTODEC23!$A$6:$CA$36,65,0)</f>
        <v>0</v>
      </c>
      <c r="AL29" s="36">
        <f>VLOOKUP($A29,[20]DETAILFICHECASSATION!$A$6:$R$36,12,0)</f>
        <v>700000</v>
      </c>
    </row>
    <row r="30" spans="1:38" x14ac:dyDescent="0.35">
      <c r="A30" s="1" t="s">
        <v>45</v>
      </c>
      <c r="B30" s="1" t="str">
        <f>VLOOKUP(A30,[24]LISTADHERENT!A$5:H$50,3,0)</f>
        <v>PATEGO NJOSSU GUSTAVE</v>
      </c>
      <c r="C30" s="36">
        <f>VLOOKUP($A30,[25]FONDSCAISSE!$A$2:$H$43,4,0)</f>
        <v>800000</v>
      </c>
      <c r="D30" s="36">
        <f>VLOOKUP($A30,[25]FONDSCAISSE!$A$2:$H$43,6,0)</f>
        <v>133342</v>
      </c>
      <c r="E30" s="36">
        <f>VLOOKUP($A30,[26]HISTOJANV25!$A$6:$BR$42,48,0)</f>
        <v>0</v>
      </c>
      <c r="F30" s="36">
        <f t="shared" si="5"/>
        <v>933342</v>
      </c>
      <c r="G30" s="5">
        <f t="shared" si="1"/>
        <v>933342</v>
      </c>
      <c r="H30" s="36">
        <f>VLOOKUP(A30,[27]MVTDEC24!$A$6:$AM$42,8,0)</f>
        <v>44868.605496483804</v>
      </c>
      <c r="I30" s="6">
        <f t="shared" si="2"/>
        <v>978210.60549648385</v>
      </c>
      <c r="J30" s="36">
        <f>VLOOKUP($A30,[28]HISTODEC24!$A$6:$AQ$40,22,0)</f>
        <v>0</v>
      </c>
      <c r="K30" s="36">
        <f>VLOOKUP($A30,[22]HISTODEC23!$A$6:$AU$36,45,0)</f>
        <v>15000</v>
      </c>
      <c r="L30" s="36">
        <f t="shared" si="3"/>
        <v>9000</v>
      </c>
      <c r="M30" s="36">
        <f t="shared" si="6"/>
        <v>1000</v>
      </c>
      <c r="N30" s="36">
        <f t="shared" si="4"/>
        <v>1000</v>
      </c>
      <c r="O30" s="36">
        <f t="shared" si="7"/>
        <v>4000</v>
      </c>
      <c r="P30" s="36">
        <f>VLOOKUP($A30,[22]HISTODEC23!$A$6:$AU$36,7,0)</f>
        <v>0</v>
      </c>
      <c r="Q30" s="36">
        <f>VLOOKUP($A30,[22]HISTODEC23!$A$6:$AU$36,23,0)</f>
        <v>0</v>
      </c>
      <c r="R30" s="36">
        <f>VLOOKUP($A30,[22]HISTODEC23!$A$6:$AU$36,46,0)</f>
        <v>0</v>
      </c>
      <c r="S30" s="36">
        <f>VLOOKUP($A30,[26]HISTODEC24!$A$6:$AU$41,26,0)</f>
        <v>0</v>
      </c>
      <c r="T30" s="36">
        <f>VLOOKUP($A30,[26]HISTODEC24!$A$6:$BG$41,58,0)</f>
        <v>0</v>
      </c>
      <c r="U30" s="36">
        <f>VLOOKUP($A30,[22]HISTODEC23!$A$6:$AU$36,28,0)</f>
        <v>0</v>
      </c>
      <c r="V30" s="36">
        <f>VLOOKUP($A30,[22]HISTODEC23!$A$6:$AU$36,19,0)</f>
        <v>0</v>
      </c>
      <c r="W30" s="36">
        <f>VLOOKUP($A30,[22]HISTODEC23!$A$6:$AU$36,20,0)</f>
        <v>0</v>
      </c>
      <c r="X30" s="36">
        <f>VLOOKUP($A30,[22]HISTODEC23!$A$6:$AU$36,27,0)</f>
        <v>0</v>
      </c>
      <c r="Y30" s="36">
        <f>VLOOKUP($A30,[22]HISTODEC23!$A$6:$BM$36,33,0)</f>
        <v>0</v>
      </c>
      <c r="Z30" s="36">
        <f>VLOOKUP($A30,[22]HISTODEC23!$A$6:$BM$36,65,0)</f>
        <v>0</v>
      </c>
      <c r="AA30" s="36"/>
      <c r="AB30" s="36">
        <f>VLOOKUP($A30,[22]HISTODEC23!$A$6:$AU$36,43,0)</f>
        <v>0</v>
      </c>
      <c r="AC30" s="36">
        <f>VLOOKUP($A30,[22]HISTODEC23!$A$6:$AU$36,44,0)</f>
        <v>0</v>
      </c>
      <c r="AD30" s="36">
        <f>VLOOKUP($A30,[22]HISTODEC23!$A$6:$AU$36,47,0)</f>
        <v>0</v>
      </c>
      <c r="AE30" s="36">
        <f>VLOOKUP(A30,[22]HISTODEC23!$A$6:$BB$36,54,0)</f>
        <v>0</v>
      </c>
      <c r="AF30" s="36">
        <f>VLOOKUP($A30,[22]HISTODEC23!$A$6:$CA$36,60,0)</f>
        <v>0</v>
      </c>
      <c r="AG30" s="36">
        <f>VLOOKUP($A30,[22]HISTODEC23!$A$6:$CA$36,61,0)</f>
        <v>0</v>
      </c>
      <c r="AH30" s="36">
        <f>VLOOKUP($A30,[22]HISTODEC23!$A$6:$CA$36,62,0)</f>
        <v>0</v>
      </c>
      <c r="AI30" s="36">
        <f>VLOOKUP($A30,[22]HISTODEC23!$A$6:$CA$36,63,0)</f>
        <v>0</v>
      </c>
      <c r="AJ30" s="36">
        <f>VLOOKUP($A30,[22]HISTODEC23!$A$6:$CA$36,64,0)</f>
        <v>0</v>
      </c>
      <c r="AK30" s="36">
        <f>VLOOKUP($A30,[22]HISTODEC23!$A$6:$CA$36,65,0)</f>
        <v>0</v>
      </c>
      <c r="AL30" s="36">
        <f>VLOOKUP($A30,[20]DETAILFICHECASSATION!$A$6:$R$36,12,0)</f>
        <v>100000</v>
      </c>
    </row>
    <row r="31" spans="1:38" x14ac:dyDescent="0.35">
      <c r="A31" s="1" t="s">
        <v>312</v>
      </c>
      <c r="B31" s="1" t="str">
        <f>VLOOKUP(A31,[24]LISTADHERENT!A$5:H$50,3,0)</f>
        <v>SEUMO POLYCARPE</v>
      </c>
      <c r="C31" s="36">
        <f>VLOOKUP($A31,[25]FONDSCAISSE!$A$2:$H$43,4,0)</f>
        <v>800000</v>
      </c>
      <c r="D31" s="36">
        <f>VLOOKUP($A31,[25]FONDSCAISSE!$A$2:$H$43,6,0)</f>
        <v>-9977</v>
      </c>
      <c r="E31" s="36">
        <f>VLOOKUP($A31,[26]HISTOJANV25!$A$6:$BR$42,48,0)</f>
        <v>0</v>
      </c>
      <c r="F31" s="36">
        <f t="shared" si="5"/>
        <v>790023</v>
      </c>
      <c r="G31" s="5">
        <f t="shared" si="1"/>
        <v>790023</v>
      </c>
      <c r="H31" s="36">
        <f>VLOOKUP(A31,[27]MVTDEC24!$A$6:$AM$42,8,0)</f>
        <v>37978.822682520047</v>
      </c>
      <c r="I31" s="6">
        <f t="shared" si="2"/>
        <v>828001.82268252003</v>
      </c>
      <c r="J31" s="36">
        <f>VLOOKUP($A31,[28]HISTODEC24!$A$6:$AQ$40,22,0)</f>
        <v>0</v>
      </c>
      <c r="K31" s="36">
        <f>VLOOKUP($A31,[22]HISTODEC23!$A$6:$AU$36,45,0)</f>
        <v>15000</v>
      </c>
      <c r="L31" s="36">
        <f t="shared" si="3"/>
        <v>9000</v>
      </c>
      <c r="M31" s="36">
        <f t="shared" si="6"/>
        <v>1000</v>
      </c>
      <c r="N31" s="36">
        <f t="shared" si="4"/>
        <v>1000</v>
      </c>
      <c r="O31" s="36">
        <f t="shared" si="7"/>
        <v>4000</v>
      </c>
      <c r="P31" s="36">
        <f>VLOOKUP($A31,[22]HISTODEC23!$A$6:$AU$36,7,0)</f>
        <v>0</v>
      </c>
      <c r="Q31" s="36">
        <f>VLOOKUP($A31,[22]HISTODEC23!$A$6:$AU$36,23,0)</f>
        <v>0</v>
      </c>
      <c r="R31" s="36">
        <f>VLOOKUP($A31,[22]HISTODEC23!$A$6:$AU$36,46,0)</f>
        <v>0</v>
      </c>
      <c r="S31" s="36">
        <f>VLOOKUP($A31,[26]HISTODEC24!$A$6:$AU$41,26,0)</f>
        <v>1000000</v>
      </c>
      <c r="T31" s="36">
        <f>VLOOKUP($A31,[26]HISTODEC24!$A$6:$BG$41,58,0)</f>
        <v>120000</v>
      </c>
      <c r="U31" s="36">
        <f>VLOOKUP($A31,[22]HISTODEC23!$A$6:$AU$36,28,0)</f>
        <v>0</v>
      </c>
      <c r="V31" s="36">
        <f>VLOOKUP($A31,[22]HISTODEC23!$A$6:$AU$36,19,0)</f>
        <v>0</v>
      </c>
      <c r="W31" s="36">
        <f>VLOOKUP($A31,[22]HISTODEC23!$A$6:$AU$36,20,0)</f>
        <v>0</v>
      </c>
      <c r="X31" s="36">
        <f>VLOOKUP($A31,[22]HISTODEC23!$A$6:$AU$36,27,0)</f>
        <v>0</v>
      </c>
      <c r="Y31" s="36">
        <f>VLOOKUP($A31,[22]HISTODEC23!$A$6:$BM$36,33,0)</f>
        <v>0</v>
      </c>
      <c r="Z31" s="36">
        <f>VLOOKUP($A31,[22]HISTODEC23!$A$6:$BM$36,65,0)</f>
        <v>0</v>
      </c>
      <c r="AA31" s="36"/>
      <c r="AB31" s="36">
        <f>VLOOKUP($A31,[22]HISTODEC23!$A$6:$AU$36,43,0)</f>
        <v>0</v>
      </c>
      <c r="AC31" s="36">
        <f>VLOOKUP($A31,[22]HISTODEC23!$A$6:$AU$36,44,0)</f>
        <v>0</v>
      </c>
      <c r="AD31" s="36">
        <f>VLOOKUP($A31,[22]HISTODEC23!$A$6:$AU$36,47,0)</f>
        <v>0</v>
      </c>
      <c r="AE31" s="36">
        <f>VLOOKUP(A31,[22]HISTODEC23!$A$6:$BB$36,54,0)</f>
        <v>0</v>
      </c>
      <c r="AF31" s="36">
        <f>VLOOKUP($A31,[22]HISTODEC23!$A$6:$CA$36,60,0)</f>
        <v>0</v>
      </c>
      <c r="AG31" s="36">
        <f>VLOOKUP($A31,[22]HISTODEC23!$A$6:$CA$36,61,0)</f>
        <v>0</v>
      </c>
      <c r="AH31" s="36">
        <f>VLOOKUP($A31,[22]HISTODEC23!$A$6:$CA$36,62,0)</f>
        <v>0</v>
      </c>
      <c r="AI31" s="36">
        <f>VLOOKUP($A31,[22]HISTODEC23!$A$6:$CA$36,63,0)</f>
        <v>0</v>
      </c>
      <c r="AJ31" s="36">
        <f>VLOOKUP($A31,[22]HISTODEC23!$A$6:$CA$36,64,0)</f>
        <v>0</v>
      </c>
      <c r="AK31" s="36">
        <f>VLOOKUP($A31,[22]HISTODEC23!$A$6:$CA$36,65,0)</f>
        <v>0</v>
      </c>
      <c r="AL31" s="36"/>
    </row>
    <row r="32" spans="1:38" x14ac:dyDescent="0.35">
      <c r="A32" s="1" t="s">
        <v>81</v>
      </c>
      <c r="B32" s="1" t="str">
        <f>VLOOKUP(A32,[24]LISTADHERENT!A$5:H$50,3,0)</f>
        <v>SIME BRICE</v>
      </c>
      <c r="C32" s="36">
        <f>VLOOKUP($A32,[25]FONDSCAISSE!$A$2:$H$43,4,0)</f>
        <v>800000</v>
      </c>
      <c r="D32" s="36">
        <f>VLOOKUP($A32,[25]FONDSCAISSE!$A$2:$H$43,6,0)</f>
        <v>79106</v>
      </c>
      <c r="E32" s="36">
        <f>VLOOKUP($A32,[26]HISTOJANV25!$A$6:$BR$42,48,0)</f>
        <v>0</v>
      </c>
      <c r="F32" s="36">
        <f t="shared" si="5"/>
        <v>879106</v>
      </c>
      <c r="G32" s="5">
        <f t="shared" si="1"/>
        <v>879106</v>
      </c>
      <c r="H32" s="36">
        <f>VLOOKUP(A32,[27]MVTDEC24!$A$6:$AM$42,8,0)</f>
        <v>42261.315041637354</v>
      </c>
      <c r="I32" s="6">
        <f t="shared" si="2"/>
        <v>921367.3150416374</v>
      </c>
      <c r="J32" s="36">
        <f>VLOOKUP($A32,[28]HISTODEC24!$A$6:$AQ$40,22,0)</f>
        <v>0</v>
      </c>
      <c r="K32" s="36">
        <f>VLOOKUP($A32,[22]HISTODEC23!$A$6:$AU$36,45,0)</f>
        <v>15000</v>
      </c>
      <c r="L32" s="36">
        <f t="shared" si="3"/>
        <v>9000</v>
      </c>
      <c r="M32" s="36">
        <f t="shared" si="6"/>
        <v>1000</v>
      </c>
      <c r="N32" s="36">
        <f t="shared" si="4"/>
        <v>1000</v>
      </c>
      <c r="O32" s="36">
        <f t="shared" si="7"/>
        <v>4000</v>
      </c>
      <c r="P32" s="36">
        <f>VLOOKUP($A32,[22]HISTODEC23!$A$6:$AU$36,7,0)</f>
        <v>0</v>
      </c>
      <c r="Q32" s="36">
        <f>VLOOKUP($A32,[22]HISTODEC23!$A$6:$AU$36,23,0)</f>
        <v>0</v>
      </c>
      <c r="R32" s="36">
        <f>VLOOKUP($A32,[22]HISTODEC23!$A$6:$AU$36,46,0)</f>
        <v>0</v>
      </c>
      <c r="S32" s="36">
        <f>VLOOKUP($A32,[26]HISTODEC24!$A$6:$AU$41,26,0)</f>
        <v>1000000</v>
      </c>
      <c r="T32" s="36">
        <f>VLOOKUP($A32,[26]HISTODEC24!$A$6:$BG$41,58,0)</f>
        <v>30000</v>
      </c>
      <c r="U32" s="36">
        <f>VLOOKUP($A32,[22]HISTODEC23!$A$6:$AU$36,28,0)</f>
        <v>0</v>
      </c>
      <c r="V32" s="36">
        <f>VLOOKUP($A32,[22]HISTODEC23!$A$6:$AU$36,19,0)</f>
        <v>0</v>
      </c>
      <c r="W32" s="36">
        <f>VLOOKUP($A32,[22]HISTODEC23!$A$6:$AU$36,20,0)</f>
        <v>0</v>
      </c>
      <c r="X32" s="36" t="str">
        <f>VLOOKUP($A32,[22]HISTODEC23!$A$6:$AU$36,27,0)</f>
        <v>BANQUE</v>
      </c>
      <c r="Y32" s="36">
        <f>VLOOKUP($A32,[22]HISTODEC23!$A$6:$BM$36,33,0)</f>
        <v>0</v>
      </c>
      <c r="Z32" s="36">
        <f>VLOOKUP($A32,[22]HISTODEC23!$A$6:$BM$36,65,0)</f>
        <v>0</v>
      </c>
      <c r="AA32" s="36"/>
      <c r="AB32" s="36">
        <f>VLOOKUP($A32,[22]HISTODEC23!$A$6:$AU$36,43,0)</f>
        <v>0</v>
      </c>
      <c r="AC32" s="36">
        <f>VLOOKUP($A32,[22]HISTODEC23!$A$6:$AU$36,44,0)</f>
        <v>0</v>
      </c>
      <c r="AD32" s="36">
        <f>VLOOKUP($A32,[22]HISTODEC23!$A$6:$AU$36,47,0)</f>
        <v>0</v>
      </c>
      <c r="AE32" s="36">
        <f>VLOOKUP(A32,[22]HISTODEC23!$A$6:$BB$36,54,0)</f>
        <v>0</v>
      </c>
      <c r="AF32" s="36">
        <f>VLOOKUP($A32,[22]HISTODEC23!$A$6:$CA$36,60,0)</f>
        <v>0</v>
      </c>
      <c r="AG32" s="36">
        <f>VLOOKUP($A32,[22]HISTODEC23!$A$6:$CA$36,61,0)</f>
        <v>0</v>
      </c>
      <c r="AH32" s="36">
        <f>VLOOKUP($A32,[22]HISTODEC23!$A$6:$CA$36,62,0)</f>
        <v>0</v>
      </c>
      <c r="AI32" s="36">
        <f>VLOOKUP($A32,[22]HISTODEC23!$A$6:$CA$36,63,0)</f>
        <v>0</v>
      </c>
      <c r="AJ32" s="36">
        <f>VLOOKUP($A32,[22]HISTODEC23!$A$6:$CA$36,64,0)</f>
        <v>0</v>
      </c>
      <c r="AK32" s="36">
        <f>VLOOKUP($A32,[22]HISTODEC23!$A$6:$CA$36,65,0)</f>
        <v>0</v>
      </c>
      <c r="AL32" s="36">
        <f>VLOOKUP($A32,[20]DETAILFICHECASSATION!$A$6:$R$36,12,0)</f>
        <v>100000</v>
      </c>
    </row>
    <row r="33" spans="1:38" x14ac:dyDescent="0.35">
      <c r="A33" s="42" t="s">
        <v>44</v>
      </c>
      <c r="B33" s="1" t="str">
        <f>VLOOKUP(A33,[24]LISTADHERENT!A$5:H$50,3,0)</f>
        <v>SIMO FONGANG ERIC</v>
      </c>
      <c r="C33" s="36">
        <f>VLOOKUP($A33,[25]FONDSCAISSE!$A$2:$H$43,4,0)</f>
        <v>0</v>
      </c>
      <c r="D33" s="36">
        <f>VLOOKUP($A33,[25]FONDSCAISSE!$A$2:$H$43,6,0)</f>
        <v>0</v>
      </c>
      <c r="E33" s="36">
        <f>VLOOKUP($A33,[26]HISTOJANV25!$A$6:$BR$42,48,0)</f>
        <v>0</v>
      </c>
      <c r="F33" s="36">
        <f t="shared" si="5"/>
        <v>0</v>
      </c>
      <c r="G33" s="5"/>
      <c r="H33" s="36">
        <f>VLOOKUP(A33,[27]MVTDEC24!$A$6:$AM$42,8,0)</f>
        <v>0</v>
      </c>
      <c r="I33" s="6">
        <f t="shared" si="2"/>
        <v>0</v>
      </c>
      <c r="J33" s="36"/>
      <c r="K33" s="36"/>
      <c r="L33" s="36"/>
      <c r="M33" s="36">
        <f t="shared" si="6"/>
        <v>0</v>
      </c>
      <c r="N33" s="36"/>
      <c r="O33" s="36"/>
      <c r="P33" s="36"/>
      <c r="Q33" s="36"/>
      <c r="R33" s="36"/>
      <c r="S33" s="36">
        <f>VLOOKUP($A33,[26]HISTODEC24!$A$6:$AU$41,26,0)</f>
        <v>0</v>
      </c>
      <c r="T33" s="36">
        <f>VLOOKUP($A33,[26]HISTODEC24!$A$6:$BG$41,58,0)</f>
        <v>0</v>
      </c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</row>
    <row r="34" spans="1:38" x14ac:dyDescent="0.35">
      <c r="A34" s="1" t="s">
        <v>49</v>
      </c>
      <c r="B34" s="1" t="str">
        <f>VLOOKUP(A34,[24]LISTADHERENT!A$5:H$50,3,0)</f>
        <v>SIMO PIERRE</v>
      </c>
      <c r="C34" s="36">
        <f>VLOOKUP($A34,[25]FONDSCAISSE!$A$2:$H$43,4,0)</f>
        <v>800000</v>
      </c>
      <c r="D34" s="36">
        <f>VLOOKUP($A34,[25]FONDSCAISSE!$A$2:$H$43,6,0)</f>
        <v>46691</v>
      </c>
      <c r="E34" s="36">
        <f>VLOOKUP($A34,[26]HISTOJANV25!$A$6:$BR$42,48,0)</f>
        <v>0</v>
      </c>
      <c r="F34" s="36">
        <f t="shared" si="5"/>
        <v>846691</v>
      </c>
      <c r="G34" s="5">
        <f t="shared" si="1"/>
        <v>846691</v>
      </c>
      <c r="H34" s="36">
        <f>VLOOKUP(A34,[27]MVTDEC24!$A$6:$AM$42,8,0)</f>
        <v>40703.026818061728</v>
      </c>
      <c r="I34" s="6">
        <f t="shared" si="2"/>
        <v>887394.02681806171</v>
      </c>
      <c r="J34" s="36">
        <f>VLOOKUP($A34,[28]HISTODEC24!$A$6:$AQ$40,22,0)</f>
        <v>0</v>
      </c>
      <c r="K34" s="36">
        <f>VLOOKUP($A34,[22]HISTODEC23!$A$6:$AU$36,45,0)</f>
        <v>15000</v>
      </c>
      <c r="L34" s="36">
        <f t="shared" si="3"/>
        <v>9000</v>
      </c>
      <c r="M34" s="36">
        <f t="shared" si="6"/>
        <v>1000</v>
      </c>
      <c r="N34" s="36">
        <f t="shared" si="4"/>
        <v>1000</v>
      </c>
      <c r="O34" s="36">
        <f t="shared" si="7"/>
        <v>4000</v>
      </c>
      <c r="P34" s="36">
        <f>VLOOKUP($A34,[22]HISTODEC23!$A$6:$AU$36,7,0)</f>
        <v>0</v>
      </c>
      <c r="Q34" s="36">
        <f>VLOOKUP($A34,[22]HISTODEC23!$A$6:$AU$36,23,0)</f>
        <v>0</v>
      </c>
      <c r="R34" s="36">
        <f>VLOOKUP($A34,[22]HISTODEC23!$A$6:$AU$36,46,0)</f>
        <v>0</v>
      </c>
      <c r="S34" s="36">
        <f>VLOOKUP($A34,[26]HISTODEC24!$A$6:$AU$41,26,0)</f>
        <v>1000000</v>
      </c>
      <c r="T34" s="36">
        <f>VLOOKUP($A34,[26]HISTODEC24!$A$6:$BG$41,58,0)</f>
        <v>120000</v>
      </c>
      <c r="U34" s="36">
        <f>VLOOKUP($A34,[22]HISTODEC23!$A$6:$AU$36,28,0)</f>
        <v>0</v>
      </c>
      <c r="V34" s="36">
        <f>VLOOKUP($A34,[22]HISTODEC23!$A$6:$AU$36,19,0)</f>
        <v>1000000</v>
      </c>
      <c r="W34" s="36" t="str">
        <f>VLOOKUP($A34,[22]HISTODEC23!$A$6:$AU$36,20,0)</f>
        <v>BANQUE</v>
      </c>
      <c r="X34" s="36" t="str">
        <f>VLOOKUP($A34,[22]HISTODEC23!$A$6:$AU$36,27,0)</f>
        <v>BANQUE</v>
      </c>
      <c r="Y34" s="36">
        <f>VLOOKUP($A34,[22]HISTODEC23!$A$6:$BM$36,33,0)</f>
        <v>0</v>
      </c>
      <c r="Z34" s="36">
        <f>VLOOKUP($A34,[22]HISTODEC23!$A$6:$BM$36,65,0)</f>
        <v>0</v>
      </c>
      <c r="AA34" s="36"/>
      <c r="AB34" s="36">
        <f>VLOOKUP($A34,[22]HISTODEC23!$A$6:$AU$36,43,0)</f>
        <v>0</v>
      </c>
      <c r="AC34" s="36">
        <f>VLOOKUP($A34,[22]HISTODEC23!$A$6:$AU$36,44,0)</f>
        <v>0</v>
      </c>
      <c r="AD34" s="36">
        <f>VLOOKUP($A34,[22]HISTODEC23!$A$6:$AU$36,47,0)</f>
        <v>0</v>
      </c>
      <c r="AE34" s="36">
        <f>VLOOKUP(A34,[22]HISTODEC23!$A$6:$BB$36,54,0)</f>
        <v>0</v>
      </c>
      <c r="AF34" s="36">
        <f>VLOOKUP($A34,[22]HISTODEC23!$A$6:$CA$36,60,0)</f>
        <v>0</v>
      </c>
      <c r="AG34" s="36">
        <f>VLOOKUP($A34,[22]HISTODEC23!$A$6:$CA$36,61,0)</f>
        <v>0</v>
      </c>
      <c r="AH34" s="36">
        <f>VLOOKUP($A34,[22]HISTODEC23!$A$6:$CA$36,62,0)</f>
        <v>0</v>
      </c>
      <c r="AI34" s="36">
        <f>VLOOKUP($A34,[22]HISTODEC23!$A$6:$CA$36,63,0)</f>
        <v>0</v>
      </c>
      <c r="AJ34" s="36">
        <f>VLOOKUP($A34,[22]HISTODEC23!$A$6:$CA$36,64,0)</f>
        <v>0</v>
      </c>
      <c r="AK34" s="36">
        <f>VLOOKUP($A34,[22]HISTODEC23!$A$6:$CA$36,65,0)</f>
        <v>0</v>
      </c>
      <c r="AL34" s="36">
        <f>VLOOKUP($A34,[20]DETAILFICHECASSATION!$A$6:$R$36,12,0)</f>
        <v>100000</v>
      </c>
    </row>
    <row r="35" spans="1:38" x14ac:dyDescent="0.35">
      <c r="A35" s="1" t="s">
        <v>51</v>
      </c>
      <c r="B35" s="1" t="str">
        <f>VLOOKUP(A35,[24]LISTADHERENT!A$5:H$50,3,0)</f>
        <v>TCHOUAMOU MATHIEU</v>
      </c>
      <c r="C35" s="36">
        <f>VLOOKUP($A35,[25]FONDSCAISSE!$A$2:$H$43,4,0)</f>
        <v>800000</v>
      </c>
      <c r="D35" s="36">
        <f>VLOOKUP($A35,[25]FONDSCAISSE!$A$2:$H$43,6,0)</f>
        <v>6050</v>
      </c>
      <c r="E35" s="36">
        <f>VLOOKUP($A35,[26]HISTOJANV25!$A$6:$BR$42,48,0)</f>
        <v>0</v>
      </c>
      <c r="F35" s="36">
        <f t="shared" si="5"/>
        <v>806050</v>
      </c>
      <c r="G35" s="5">
        <f t="shared" si="1"/>
        <v>806050</v>
      </c>
      <c r="H35" s="36">
        <f>VLOOKUP(A35,[27]MVTDEC24!$A$6:$AM$42,8,0)</f>
        <v>38749.289607068764</v>
      </c>
      <c r="I35" s="6">
        <f t="shared" si="2"/>
        <v>844799.28960706876</v>
      </c>
      <c r="J35" s="36">
        <f>VLOOKUP($A35,[28]HISTODEC24!$A$6:$AQ$40,22,0)</f>
        <v>0</v>
      </c>
      <c r="K35" s="36">
        <f>VLOOKUP($A35,[22]HISTODEC23!$A$6:$AU$36,45,0)</f>
        <v>15000</v>
      </c>
      <c r="L35" s="36">
        <f t="shared" si="3"/>
        <v>4000</v>
      </c>
      <c r="M35" s="36">
        <f t="shared" si="6"/>
        <v>1000</v>
      </c>
      <c r="N35" s="36">
        <f>IF(K35=0,0,1000)+1000</f>
        <v>2000</v>
      </c>
      <c r="O35" s="36">
        <f>IF(K35=0,0,4000)+4000</f>
        <v>8000</v>
      </c>
      <c r="P35" s="36">
        <f>VLOOKUP($A35,[22]HISTODEC23!$A$6:$AU$36,7,0)</f>
        <v>0</v>
      </c>
      <c r="Q35" s="36">
        <f>VLOOKUP($A35,[22]HISTODEC23!$A$6:$AU$36,23,0)</f>
        <v>0</v>
      </c>
      <c r="R35" s="36">
        <f>VLOOKUP($A35,[22]HISTODEC23!$A$6:$AU$36,46,0)</f>
        <v>0</v>
      </c>
      <c r="S35" s="36">
        <f>VLOOKUP($A35,[26]HISTODEC24!$A$6:$AU$41,26,0)</f>
        <v>1000000</v>
      </c>
      <c r="T35" s="36">
        <f>VLOOKUP($A35,[26]HISTODEC24!$A$6:$BG$41,58,0)</f>
        <v>120000</v>
      </c>
      <c r="U35" s="36">
        <f>VLOOKUP($A35,[22]HISTODEC23!$A$6:$AU$36,28,0)</f>
        <v>0</v>
      </c>
      <c r="V35" s="36">
        <f>VLOOKUP($A35,[22]HISTODEC23!$A$6:$AU$36,19,0)</f>
        <v>200000</v>
      </c>
      <c r="W35" s="36" t="str">
        <f>VLOOKUP($A35,[22]HISTODEC23!$A$6:$AU$36,20,0)</f>
        <v>BANQUE</v>
      </c>
      <c r="X35" s="36">
        <f>VLOOKUP($A35,[22]HISTODEC23!$A$6:$AU$36,27,0)</f>
        <v>0</v>
      </c>
      <c r="Y35" s="36">
        <f>VLOOKUP($A35,[22]HISTODEC23!$A$6:$BM$36,33,0)</f>
        <v>0</v>
      </c>
      <c r="Z35" s="36">
        <f>VLOOKUP($A35,[22]HISTODEC23!$A$6:$BM$36,65,0)</f>
        <v>0</v>
      </c>
      <c r="AA35" s="36"/>
      <c r="AB35" s="36">
        <f>VLOOKUP($A35,[22]HISTODEC23!$A$6:$AU$36,43,0)</f>
        <v>0</v>
      </c>
      <c r="AC35" s="36">
        <f>VLOOKUP($A35,[22]HISTODEC23!$A$6:$AU$36,44,0)</f>
        <v>0</v>
      </c>
      <c r="AD35" s="36">
        <f>VLOOKUP($A35,[22]HISTODEC23!$A$6:$AU$36,47,0)</f>
        <v>0</v>
      </c>
      <c r="AE35" s="36">
        <f>VLOOKUP(A35,[22]HISTODEC23!$A$6:$BB$36,54,0)</f>
        <v>0</v>
      </c>
      <c r="AF35" s="36">
        <f>VLOOKUP($A35,[22]HISTODEC23!$A$6:$CA$36,60,0)</f>
        <v>0</v>
      </c>
      <c r="AG35" s="36">
        <f>VLOOKUP($A35,[22]HISTODEC23!$A$6:$CA$36,61,0)</f>
        <v>0</v>
      </c>
      <c r="AH35" s="36">
        <f>VLOOKUP($A35,[22]HISTODEC23!$A$6:$CA$36,62,0)</f>
        <v>0</v>
      </c>
      <c r="AI35" s="36">
        <f>VLOOKUP($A35,[22]HISTODEC23!$A$6:$CA$36,63,0)</f>
        <v>0</v>
      </c>
      <c r="AJ35" s="36">
        <f>VLOOKUP($A35,[22]HISTODEC23!$A$6:$CA$36,64,0)</f>
        <v>0</v>
      </c>
      <c r="AK35" s="36">
        <f>VLOOKUP($A35,[22]HISTODEC23!$A$6:$CA$36,65,0)</f>
        <v>0</v>
      </c>
      <c r="AL35" s="36">
        <f>VLOOKUP($A35,[20]DETAILFICHECASSATION!$A$6:$R$36,12,0)</f>
        <v>100000</v>
      </c>
    </row>
    <row r="36" spans="1:38" x14ac:dyDescent="0.35">
      <c r="A36" s="1" t="s">
        <v>327</v>
      </c>
      <c r="B36" s="1" t="str">
        <f>VLOOKUP(A36,[24]LISTADHERENT!A$5:H$50,3,0)</f>
        <v>TCHOUATEU AUGUSTIN</v>
      </c>
      <c r="C36" s="36">
        <f>VLOOKUP($A36,[25]FONDSCAISSE!$A$2:$H$43,4,0)</f>
        <v>800000</v>
      </c>
      <c r="D36" s="36">
        <f>VLOOKUP($A36,[25]FONDSCAISSE!$A$2:$H$43,6,0)</f>
        <v>-3392</v>
      </c>
      <c r="E36" s="36">
        <f>VLOOKUP($A36,[26]HISTOJANV25!$A$6:$BR$42,48,0)</f>
        <v>0</v>
      </c>
      <c r="F36" s="36">
        <f t="shared" si="5"/>
        <v>796608</v>
      </c>
      <c r="G36" s="5">
        <f t="shared" si="1"/>
        <v>796608</v>
      </c>
      <c r="H36" s="36">
        <f>VLOOKUP(A36,[27]MVTDEC24!$A$6:$AM$42,8,0)</f>
        <v>38295.383779303804</v>
      </c>
      <c r="I36" s="6">
        <f t="shared" si="2"/>
        <v>834903.38377930375</v>
      </c>
      <c r="J36" s="36">
        <f>VLOOKUP($A36,[28]HISTODEC24!$A$6:$AQ$40,22,0)</f>
        <v>0</v>
      </c>
      <c r="K36" s="36"/>
      <c r="L36" s="36">
        <f t="shared" si="3"/>
        <v>0</v>
      </c>
      <c r="M36" s="36">
        <f t="shared" si="6"/>
        <v>0</v>
      </c>
      <c r="N36" s="36"/>
      <c r="O36" s="36"/>
      <c r="P36" s="36"/>
      <c r="Q36" s="36"/>
      <c r="R36" s="36"/>
      <c r="S36" s="36">
        <f>VLOOKUP($A36,[26]HISTODEC24!$A$6:$AU$41,26,0)</f>
        <v>1000000</v>
      </c>
      <c r="T36" s="36">
        <f>VLOOKUP($A36,[26]HISTODEC24!$A$6:$BG$41,58,0)</f>
        <v>120000</v>
      </c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x14ac:dyDescent="0.35">
      <c r="A37" s="1" t="s">
        <v>53</v>
      </c>
      <c r="B37" s="1" t="str">
        <f>VLOOKUP(A37,[24]LISTADHERENT!A$5:H$50,3,0)</f>
        <v>TCHOUTOU NANA CLAUDE</v>
      </c>
      <c r="C37" s="36">
        <f>VLOOKUP($A37,[25]FONDSCAISSE!$A$2:$H$43,4,0)</f>
        <v>0</v>
      </c>
      <c r="D37" s="36">
        <f>VLOOKUP($A37,[25]FONDSCAISSE!$A$2:$H$43,6,0)</f>
        <v>487750</v>
      </c>
      <c r="E37" s="36">
        <f>VLOOKUP($A37,[26]HISTOJANV25!$A$6:$BR$42,48,0)</f>
        <v>0</v>
      </c>
      <c r="F37" s="36">
        <f t="shared" si="5"/>
        <v>487750</v>
      </c>
      <c r="G37" s="5">
        <f t="shared" si="1"/>
        <v>0</v>
      </c>
      <c r="H37" s="36">
        <f>VLOOKUP(A37,[27]MVTDEC24!$A$6:$AM$42,8,0)</f>
        <v>0</v>
      </c>
      <c r="I37" s="6">
        <f t="shared" si="2"/>
        <v>487750</v>
      </c>
      <c r="J37" s="36">
        <f>VLOOKUP($A37,[28]HISTODEC24!$A$6:$AQ$40,22,0)</f>
        <v>0</v>
      </c>
      <c r="K37" s="36">
        <f>VLOOKUP($A37,[22]HISTODEC23!$A$6:$AU$36,45,0)</f>
        <v>25000</v>
      </c>
      <c r="L37" s="36">
        <f t="shared" si="3"/>
        <v>19000</v>
      </c>
      <c r="M37" s="36">
        <f t="shared" si="6"/>
        <v>1000</v>
      </c>
      <c r="N37" s="36">
        <f t="shared" si="4"/>
        <v>1000</v>
      </c>
      <c r="O37" s="36">
        <f t="shared" si="7"/>
        <v>4000</v>
      </c>
      <c r="P37" s="36">
        <f>VLOOKUP($A37,[22]HISTODEC23!$A$6:$AU$36,7,0)</f>
        <v>0</v>
      </c>
      <c r="Q37" s="36">
        <f>VLOOKUP($A37,[22]HISTODEC23!$A$6:$AU$36,23,0)</f>
        <v>0</v>
      </c>
      <c r="R37" s="36">
        <f>VLOOKUP($A37,[22]HISTODEC23!$A$6:$AU$36,46,0)</f>
        <v>0</v>
      </c>
      <c r="S37" s="36">
        <f>VLOOKUP($A37,[26]HISTODEC24!$A$6:$AU$41,26,0)</f>
        <v>0</v>
      </c>
      <c r="T37" s="36">
        <f>VLOOKUP($A37,[26]HISTODEC24!$A$6:$BG$41,58,0)</f>
        <v>0</v>
      </c>
      <c r="U37" s="36">
        <f>VLOOKUP($A37,[22]HISTODEC23!$A$6:$AU$36,28,0)</f>
        <v>0</v>
      </c>
      <c r="V37" s="36">
        <f>VLOOKUP($A37,[22]HISTODEC23!$A$6:$AU$36,19,0)</f>
        <v>0</v>
      </c>
      <c r="W37" s="36">
        <f>VLOOKUP($A37,[22]HISTODEC23!$A$6:$AU$36,20,0)</f>
        <v>0</v>
      </c>
      <c r="X37" s="36">
        <f>VLOOKUP($A37,[22]HISTODEC23!$A$6:$AU$36,27,0)</f>
        <v>0</v>
      </c>
      <c r="Y37" s="36">
        <f>VLOOKUP($A37,[22]HISTODEC23!$A$6:$BM$36,33,0)</f>
        <v>0</v>
      </c>
      <c r="Z37" s="36">
        <f>VLOOKUP($A37,[22]HISTODEC23!$A$6:$BM$36,65,0)</f>
        <v>0</v>
      </c>
      <c r="AA37" s="36"/>
      <c r="AB37" s="36">
        <f>VLOOKUP($A37,[22]HISTODEC23!$A$6:$AU$36,43,0)</f>
        <v>0</v>
      </c>
      <c r="AC37" s="36">
        <f>VLOOKUP($A37,[22]HISTODEC23!$A$6:$AU$36,44,0)</f>
        <v>0</v>
      </c>
      <c r="AD37" s="36">
        <f>VLOOKUP($A37,[22]HISTODEC23!$A$6:$AU$36,47,0)</f>
        <v>0</v>
      </c>
      <c r="AE37" s="36">
        <f>VLOOKUP(A37,[22]HISTODEC23!$A$6:$BB$36,54,0)</f>
        <v>70000</v>
      </c>
      <c r="AF37" s="36">
        <f>VLOOKUP($A37,[22]HISTODEC23!$A$6:$CA$36,60,0)</f>
        <v>0</v>
      </c>
      <c r="AG37" s="36">
        <f>VLOOKUP($A37,[22]HISTODEC23!$A$6:$CA$36,61,0)</f>
        <v>0</v>
      </c>
      <c r="AH37" s="36">
        <f>VLOOKUP($A37,[22]HISTODEC23!$A$6:$CA$36,62,0)</f>
        <v>0</v>
      </c>
      <c r="AI37" s="36">
        <f>VLOOKUP($A37,[22]HISTODEC23!$A$6:$CA$36,63,0)</f>
        <v>0</v>
      </c>
      <c r="AJ37" s="36">
        <f>VLOOKUP($A37,[22]HISTODEC23!$A$6:$CA$36,64,0)</f>
        <v>0</v>
      </c>
      <c r="AK37" s="36">
        <f>VLOOKUP($A37,[22]HISTODEC23!$A$6:$CA$36,65,0)</f>
        <v>0</v>
      </c>
      <c r="AL37" s="36"/>
    </row>
    <row r="38" spans="1:38" x14ac:dyDescent="0.35">
      <c r="A38" s="1" t="s">
        <v>338</v>
      </c>
      <c r="B38" s="1" t="str">
        <f>VLOOKUP(A38,[24]LISTADHERENT!A$5:H$50,3,0)</f>
        <v>TIEYAM ERNEST</v>
      </c>
      <c r="C38" s="36">
        <f>VLOOKUP($A38,[25]FONDSCAISSE!$A$2:$H$43,4,0)</f>
        <v>0</v>
      </c>
      <c r="D38" s="36">
        <f>VLOOKUP($A38,[25]FONDSCAISSE!$A$2:$H$43,6,0)</f>
        <v>0</v>
      </c>
      <c r="E38" s="36">
        <f>VLOOKUP($A38,[26]HISTOJANV25!$A$6:$BR$42,48,0)</f>
        <v>0</v>
      </c>
      <c r="F38" s="36">
        <f t="shared" si="5"/>
        <v>0</v>
      </c>
      <c r="G38" s="5">
        <f t="shared" ref="G38" si="13">IF(F38&gt;=700000,(C38+D38-E38),0)</f>
        <v>0</v>
      </c>
      <c r="H38" s="36">
        <f>VLOOKUP(A38,[27]MVTDEC24!$A$6:$AM$42,8,0)</f>
        <v>0</v>
      </c>
      <c r="I38" s="6">
        <f t="shared" si="2"/>
        <v>0</v>
      </c>
      <c r="J38" s="36"/>
      <c r="K38" s="36"/>
      <c r="L38" s="36">
        <f t="shared" si="3"/>
        <v>0</v>
      </c>
      <c r="M38" s="36">
        <f t="shared" si="6"/>
        <v>0</v>
      </c>
      <c r="N38" s="36"/>
      <c r="O38" s="36"/>
      <c r="P38" s="36"/>
      <c r="Q38" s="36"/>
      <c r="R38" s="36"/>
      <c r="S38" s="36">
        <f>VLOOKUP($A38,[26]HISTODEC24!$A$6:$AU$41,26,0)</f>
        <v>0</v>
      </c>
      <c r="T38" s="36">
        <f>VLOOKUP($A38,[26]HISTODEC24!$A$6:$BG$41,58,0)</f>
        <v>0</v>
      </c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</row>
    <row r="39" spans="1:38" x14ac:dyDescent="0.35">
      <c r="A39" s="42" t="s">
        <v>313</v>
      </c>
      <c r="B39" s="1" t="str">
        <f>VLOOKUP(A39,[24]LISTADHERENT!A$5:H$50,3,0)</f>
        <v>YANTCHOU GERVAIS</v>
      </c>
      <c r="C39" s="36">
        <f>VLOOKUP($A39,[25]FONDSCAISSE!$A$2:$H$43,4,0)</f>
        <v>800000</v>
      </c>
      <c r="D39" s="36">
        <f>VLOOKUP($A39,[25]FONDSCAISSE!$A$2:$H$43,6,0)</f>
        <v>-32497</v>
      </c>
      <c r="E39" s="36">
        <f>VLOOKUP($A39,[26]HISTOJANV25!$A$6:$BR$42,48,0)</f>
        <v>0</v>
      </c>
      <c r="F39" s="36">
        <f t="shared" si="5"/>
        <v>767503</v>
      </c>
      <c r="G39" s="5">
        <f t="shared" si="1"/>
        <v>767503</v>
      </c>
      <c r="H39" s="36">
        <f>VLOOKUP(A39,[27]MVTDEC24!$A$6:$AM$42,8,0)</f>
        <v>36896.217382661242</v>
      </c>
      <c r="I39" s="6">
        <f t="shared" si="2"/>
        <v>804399.2173826613</v>
      </c>
      <c r="J39" s="36">
        <f>VLOOKUP($A39,[28]HISTODEC24!$A$6:$AQ$40,22,0)</f>
        <v>0</v>
      </c>
      <c r="K39" s="36">
        <f>VLOOKUP($A39,[22]HISTODEC23!$A$6:$AU$36,45,0)</f>
        <v>15000</v>
      </c>
      <c r="L39" s="36">
        <f t="shared" si="3"/>
        <v>9000</v>
      </c>
      <c r="M39" s="36">
        <f t="shared" si="6"/>
        <v>1000</v>
      </c>
      <c r="N39" s="36">
        <f t="shared" si="4"/>
        <v>1000</v>
      </c>
      <c r="O39" s="36">
        <f t="shared" si="7"/>
        <v>4000</v>
      </c>
      <c r="P39" s="36">
        <f>VLOOKUP($A39,[22]HISTODEC23!$A$6:$AU$36,7,0)</f>
        <v>0</v>
      </c>
      <c r="Q39" s="36">
        <f>VLOOKUP($A39,[22]HISTODEC23!$A$6:$AU$36,23,0)</f>
        <v>0</v>
      </c>
      <c r="R39" s="36">
        <f>VLOOKUP($A39,[22]HISTODEC23!$A$6:$AU$36,46,0)</f>
        <v>0</v>
      </c>
      <c r="S39" s="36">
        <f>VLOOKUP($A39,[26]HISTODEC24!$A$6:$AU$41,26,0)</f>
        <v>1000000</v>
      </c>
      <c r="T39" s="36">
        <f>VLOOKUP($A39,[26]HISTODEC24!$A$6:$BG$41,58,0)</f>
        <v>120000</v>
      </c>
      <c r="U39" s="36">
        <f>VLOOKUP($A39,[22]HISTODEC23!$A$6:$AU$36,28,0)</f>
        <v>0</v>
      </c>
      <c r="V39" s="36">
        <f>VLOOKUP($A39,[22]HISTODEC23!$A$6:$AU$36,19,0)</f>
        <v>0</v>
      </c>
      <c r="W39" s="36">
        <f>VLOOKUP($A39,[22]HISTODEC23!$A$6:$AU$36,20,0)</f>
        <v>0</v>
      </c>
      <c r="X39" s="36" t="str">
        <f>VLOOKUP($A39,[22]HISTODEC23!$A$6:$AU$36,27,0)</f>
        <v>BANQUE</v>
      </c>
      <c r="Y39" s="36">
        <f>VLOOKUP($A39,[22]HISTODEC23!$A$6:$BM$36,33,0)</f>
        <v>0</v>
      </c>
      <c r="Z39" s="36">
        <f>VLOOKUP($A39,[22]HISTODEC23!$A$6:$BM$36,65,0)</f>
        <v>0</v>
      </c>
      <c r="AA39" s="36"/>
      <c r="AB39" s="36">
        <f>VLOOKUP($A39,[22]HISTODEC23!$A$6:$AU$36,43,0)</f>
        <v>0</v>
      </c>
      <c r="AC39" s="36">
        <f>VLOOKUP($A39,[22]HISTODEC23!$A$6:$AU$36,44,0)</f>
        <v>0</v>
      </c>
      <c r="AD39" s="36">
        <f>VLOOKUP($A39,[22]HISTODEC23!$A$6:$AU$36,47,0)</f>
        <v>0</v>
      </c>
      <c r="AE39" s="36">
        <f>VLOOKUP(A39,[22]HISTODEC23!$A$6:$BB$36,54,0)</f>
        <v>0</v>
      </c>
      <c r="AF39" s="36">
        <f>VLOOKUP($A39,[22]HISTODEC23!$A$6:$CA$36,60,0)</f>
        <v>0</v>
      </c>
      <c r="AG39" s="36">
        <f>VLOOKUP($A39,[22]HISTODEC23!$A$6:$CA$36,61,0)</f>
        <v>0</v>
      </c>
      <c r="AH39" s="36">
        <f>VLOOKUP($A39,[22]HISTODEC23!$A$6:$CA$36,62,0)</f>
        <v>0</v>
      </c>
      <c r="AI39" s="36">
        <f>VLOOKUP($A39,[22]HISTODEC23!$A$6:$CA$36,63,0)</f>
        <v>0</v>
      </c>
      <c r="AJ39" s="36">
        <f>VLOOKUP($A39,[22]HISTODEC23!$A$6:$CA$36,64,0)</f>
        <v>0</v>
      </c>
      <c r="AK39" s="36">
        <f>VLOOKUP($A39,[22]HISTODEC23!$A$6:$CA$36,65,0)</f>
        <v>0</v>
      </c>
      <c r="AL39" s="36">
        <f>VLOOKUP($A39,[20]DETAILFICHECASSATION!$A$6:$R$36,12,0)</f>
        <v>700000</v>
      </c>
    </row>
    <row r="40" spans="1:38" x14ac:dyDescent="0.35">
      <c r="A40" s="1" t="s">
        <v>55</v>
      </c>
      <c r="B40" s="1" t="str">
        <f>VLOOKUP(A40,[24]LISTADHERENT!A$5:H$50,3,0)</f>
        <v>YEPMOU JEAN JACQUES</v>
      </c>
      <c r="C40" s="36">
        <f>VLOOKUP($A40,[25]FONDSCAISSE!$A$2:$H$43,4,0)</f>
        <v>800000</v>
      </c>
      <c r="D40" s="36">
        <f>VLOOKUP($A40,[25]FONDSCAISSE!$A$2:$H$43,6,0)</f>
        <v>739643</v>
      </c>
      <c r="E40" s="36">
        <f>VLOOKUP($A40,[26]HISTOJANV25!$A$6:$BR$42,48,0)</f>
        <v>0</v>
      </c>
      <c r="F40" s="36">
        <f t="shared" si="5"/>
        <v>1539643</v>
      </c>
      <c r="G40" s="5">
        <f t="shared" si="1"/>
        <v>1539643</v>
      </c>
      <c r="H40" s="36">
        <f>VLOOKUP(A40,[27]MVTDEC24!$A$6:$AM$42,8,0)</f>
        <v>74015.349542207274</v>
      </c>
      <c r="I40" s="6">
        <f t="shared" si="2"/>
        <v>1613658.3495422073</v>
      </c>
      <c r="J40" s="36">
        <f>VLOOKUP($A40,[28]HISTODEC24!$A$6:$AQ$40,22,0)</f>
        <v>0</v>
      </c>
      <c r="K40" s="36"/>
      <c r="L40" s="36">
        <f t="shared" si="3"/>
        <v>0</v>
      </c>
      <c r="M40" s="36">
        <f t="shared" si="6"/>
        <v>0</v>
      </c>
      <c r="N40" s="36">
        <f t="shared" si="4"/>
        <v>0</v>
      </c>
      <c r="O40" s="36">
        <f t="shared" si="7"/>
        <v>0</v>
      </c>
      <c r="P40" s="36"/>
      <c r="Q40" s="36"/>
      <c r="R40" s="36"/>
      <c r="S40" s="36">
        <f>VLOOKUP($A40,[26]HISTODEC24!$A$6:$AU$41,26,0)</f>
        <v>0</v>
      </c>
      <c r="T40" s="36">
        <f>VLOOKUP($A40,[26]HISTODEC24!$A$6:$BG$41,58,0)</f>
        <v>0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</row>
    <row r="41" spans="1:38" x14ac:dyDescent="0.35">
      <c r="A41" s="1" t="s">
        <v>328</v>
      </c>
      <c r="B41" s="1" t="str">
        <f>VLOOKUP(A41,[24]LISTADHERENT!A$5:H$50,3,0)</f>
        <v>YIALA ALAIN OSCAR</v>
      </c>
      <c r="C41" s="36">
        <f>VLOOKUP($A41,[25]FONDSCAISSE!$A$2:$H$43,4,0)</f>
        <v>800000</v>
      </c>
      <c r="D41" s="36">
        <f>VLOOKUP($A41,[25]FONDSCAISSE!$A$2:$H$43,6,0)</f>
        <v>241</v>
      </c>
      <c r="E41" s="36">
        <f>VLOOKUP($A41,[26]HISTOJANV25!$A$6:$BR$42,48,0)</f>
        <v>0</v>
      </c>
      <c r="F41" s="36">
        <f t="shared" si="5"/>
        <v>800241</v>
      </c>
      <c r="G41" s="5">
        <f t="shared" si="1"/>
        <v>800241</v>
      </c>
      <c r="H41" s="36">
        <f>VLOOKUP(A41,[27]MVTDEC24!$A$6:$AM$42,8,0)</f>
        <v>38470.033204454208</v>
      </c>
      <c r="I41" s="6">
        <f t="shared" si="2"/>
        <v>838711.03320445423</v>
      </c>
      <c r="J41" s="36">
        <f>VLOOKUP($A41,[28]HISTODEC24!$A$6:$AQ$40,22,0)</f>
        <v>0</v>
      </c>
      <c r="K41" s="36"/>
      <c r="L41" s="36"/>
      <c r="M41" s="36">
        <f t="shared" si="6"/>
        <v>0</v>
      </c>
      <c r="N41" s="36">
        <f t="shared" si="4"/>
        <v>0</v>
      </c>
      <c r="O41" s="36">
        <f t="shared" si="7"/>
        <v>0</v>
      </c>
      <c r="P41" s="36"/>
      <c r="Q41" s="36"/>
      <c r="R41" s="36"/>
      <c r="S41" s="36">
        <f>VLOOKUP($A41,[26]HISTODEC24!$A$6:$AU$41,26,0)</f>
        <v>0</v>
      </c>
      <c r="T41" s="36">
        <f>VLOOKUP($A41,[26]HISTODEC24!$A$6:$BG$41,58,0)</f>
        <v>0</v>
      </c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</row>
    <row r="42" spans="1:38" s="2" customFormat="1" x14ac:dyDescent="0.35">
      <c r="A42" s="1" t="s">
        <v>56</v>
      </c>
      <c r="B42" s="1" t="str">
        <f>VLOOKUP(A42,[24]LISTADHERENT!A$5:H$50,3,0)</f>
        <v>YOUMBI EMMANUEL</v>
      </c>
      <c r="C42" s="36">
        <f>VLOOKUP($A42,[25]FONDSCAISSE!$A$2:$H$43,4,0)</f>
        <v>800000</v>
      </c>
      <c r="D42" s="36">
        <f>VLOOKUP($A42,[25]FONDSCAISSE!$A$2:$H$43,6,0)</f>
        <v>1296586</v>
      </c>
      <c r="E42" s="36">
        <f>VLOOKUP($A42,[26]HISTOJANV25!$A$6:$BR$42,48,0)</f>
        <v>0</v>
      </c>
      <c r="F42" s="36">
        <f t="shared" si="5"/>
        <v>2096586</v>
      </c>
      <c r="G42" s="5">
        <f t="shared" si="1"/>
        <v>2096586</v>
      </c>
      <c r="H42" s="36">
        <f>VLOOKUP(A42,[27]MVTDEC24!$A$6:$AM$42,8,0)</f>
        <v>100789.30351730769</v>
      </c>
      <c r="I42" s="6">
        <f t="shared" si="2"/>
        <v>2197375.3035173076</v>
      </c>
      <c r="J42" s="36">
        <f>VLOOKUP($A42,[28]HISTODEC24!$A$6:$AQ$40,22,0)</f>
        <v>0</v>
      </c>
      <c r="K42" s="6"/>
      <c r="L42" s="36">
        <f t="shared" si="3"/>
        <v>0</v>
      </c>
      <c r="M42" s="36">
        <f t="shared" si="6"/>
        <v>0</v>
      </c>
      <c r="N42" s="36">
        <f t="shared" si="4"/>
        <v>0</v>
      </c>
      <c r="O42" s="36">
        <f t="shared" si="7"/>
        <v>0</v>
      </c>
      <c r="P42" s="6"/>
      <c r="Q42" s="6"/>
      <c r="R42" s="6"/>
      <c r="S42" s="36">
        <f>VLOOKUP($A42,[26]HISTODEC24!$A$6:$AU$42,26,0)</f>
        <v>500000</v>
      </c>
      <c r="T42" s="36">
        <f>VLOOKUP($A42,[26]HISTODEC24!$A$6:$BG$42,58,0)</f>
        <v>15000</v>
      </c>
      <c r="U42" s="6"/>
      <c r="V42" s="10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10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14">SUM(C6:C42)</f>
        <v>24000000</v>
      </c>
      <c r="D44" s="9">
        <f t="shared" si="14"/>
        <v>6443329</v>
      </c>
      <c r="E44" s="9">
        <f t="shared" si="14"/>
        <v>0</v>
      </c>
      <c r="F44" s="9">
        <f t="shared" si="14"/>
        <v>30443329</v>
      </c>
      <c r="G44" s="9">
        <f t="shared" si="14"/>
        <v>29080737</v>
      </c>
      <c r="H44" s="36">
        <f t="shared" si="14"/>
        <v>1398000.0000000002</v>
      </c>
      <c r="I44" s="153">
        <f t="shared" si="14"/>
        <v>31165112.000000004</v>
      </c>
      <c r="J44" s="9">
        <f t="shared" si="14"/>
        <v>0</v>
      </c>
      <c r="K44" s="9">
        <f t="shared" si="14"/>
        <v>593800</v>
      </c>
      <c r="L44" s="9">
        <f t="shared" si="14"/>
        <v>432800</v>
      </c>
      <c r="M44" s="9">
        <f t="shared" si="14"/>
        <v>26000</v>
      </c>
      <c r="N44" s="9">
        <f t="shared" si="14"/>
        <v>27000</v>
      </c>
      <c r="O44" s="9">
        <f t="shared" si="14"/>
        <v>108000</v>
      </c>
      <c r="P44" s="9">
        <f t="shared" si="14"/>
        <v>0</v>
      </c>
      <c r="Q44" s="9">
        <f t="shared" si="14"/>
        <v>0</v>
      </c>
      <c r="R44" s="9">
        <f t="shared" si="14"/>
        <v>0</v>
      </c>
      <c r="S44" s="9">
        <f t="shared" si="14"/>
        <v>17931500</v>
      </c>
      <c r="T44" s="9">
        <f t="shared" si="14"/>
        <v>1398000</v>
      </c>
      <c r="U44" s="9">
        <f t="shared" si="14"/>
        <v>0</v>
      </c>
      <c r="V44" s="9">
        <f t="shared" si="14"/>
        <v>11965200</v>
      </c>
      <c r="W44" s="9">
        <f t="shared" si="14"/>
        <v>0</v>
      </c>
      <c r="X44" s="9">
        <f t="shared" si="14"/>
        <v>0</v>
      </c>
      <c r="Y44" s="9">
        <f t="shared" si="14"/>
        <v>0</v>
      </c>
      <c r="Z44" s="9">
        <f t="shared" si="14"/>
        <v>0</v>
      </c>
      <c r="AA44" s="9">
        <f t="shared" si="14"/>
        <v>0</v>
      </c>
      <c r="AB44" s="9">
        <f t="shared" si="14"/>
        <v>0</v>
      </c>
      <c r="AC44" s="9">
        <f t="shared" si="14"/>
        <v>0</v>
      </c>
      <c r="AD44" s="9">
        <f t="shared" si="14"/>
        <v>0</v>
      </c>
      <c r="AE44" s="9">
        <f t="shared" si="14"/>
        <v>70000</v>
      </c>
      <c r="AF44" s="9">
        <f t="shared" si="14"/>
        <v>6000</v>
      </c>
      <c r="AG44" s="9">
        <f t="shared" si="14"/>
        <v>0</v>
      </c>
      <c r="AH44" s="9">
        <f t="shared" si="14"/>
        <v>0</v>
      </c>
      <c r="AI44" s="9">
        <f t="shared" si="14"/>
        <v>0</v>
      </c>
      <c r="AJ44" s="9">
        <f t="shared" si="14"/>
        <v>0</v>
      </c>
      <c r="AK44" s="9">
        <f t="shared" si="14"/>
        <v>0</v>
      </c>
      <c r="AL44" s="9">
        <f t="shared" si="14"/>
        <v>4200000</v>
      </c>
    </row>
    <row r="46" spans="1:38" x14ac:dyDescent="0.35">
      <c r="D46">
        <v>6596797</v>
      </c>
      <c r="S46">
        <v>1341000</v>
      </c>
    </row>
    <row r="47" spans="1:38" s="2" customFormat="1" x14ac:dyDescent="0.35">
      <c r="A47"/>
      <c r="B47"/>
      <c r="C47"/>
      <c r="D47" s="2">
        <f>D44-D46</f>
        <v>-153468</v>
      </c>
      <c r="E47"/>
      <c r="F47"/>
      <c r="J47"/>
      <c r="K47" s="177"/>
      <c r="L47" s="177"/>
      <c r="S47"/>
      <c r="T47" s="2">
        <f>T44-S46</f>
        <v>57000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38" xr:uid="{00000000-0009-0000-0000-000005000000}">
    <sortState ref="A5:L51">
      <sortCondition ref="B5:B51"/>
    </sortState>
  </autoFilter>
  <mergeCells count="2">
    <mergeCell ref="AL1:AM1"/>
    <mergeCell ref="K4:P4"/>
  </mergeCells>
  <dataValidations disablePrompts="1" count="1">
    <dataValidation type="list" allowBlank="1" showInputMessage="1" showErrorMessage="1" sqref="V42:V43" xr:uid="{F8610077-DD16-44C3-9B2A-08439CF9F349}">
      <formula1>MODET25000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693E-AF5B-48E7-9CB6-1C68D9D0DA57}">
  <dimension ref="A1:AM47"/>
  <sheetViews>
    <sheetView workbookViewId="0">
      <pane xSplit="2" ySplit="5" topLeftCell="G33" activePane="bottomRight" state="frozen"/>
      <selection activeCell="I44" sqref="I44"/>
      <selection pane="topRight" activeCell="I44" sqref="I44"/>
      <selection pane="bottomLeft" activeCell="I44" sqref="I44"/>
      <selection pane="bottomRight" activeCell="A37" sqref="A37:XFD3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75" bestFit="1" customWidth="1"/>
    <col min="12" max="12" width="17.54296875" style="17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74"/>
      <c r="K4" s="192">
        <v>45674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VLOOKUP(A6,MVTDEC24!A6:AM42,6,0)+MVTDEC24!H6-E6+L6</f>
        <v>1072319.1816547841</v>
      </c>
      <c r="G6" s="5">
        <f>IF(MVTJANV25!F6&gt;800000,(MVTDEC24!I6-E6+L6),0)</f>
        <v>1072319.1816547841</v>
      </c>
      <c r="H6" s="36">
        <f>VLOOKUP(A6,[27]MVTJANV25!$A$6:$AM$42,8,0)</f>
        <v>7885.6837367924445</v>
      </c>
      <c r="I6" s="6">
        <f>F6+H6</f>
        <v>1080204.8653915767</v>
      </c>
      <c r="J6" s="36">
        <f>VLOOKUP($A6,[26]HISTOJANV25!$A$6:$AQ$51,22,0)</f>
        <v>0</v>
      </c>
      <c r="K6" s="36">
        <f>VLOOKUP($A6,[26]HISTOJANV25!$A$6:$AU$51,45,0)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VLOOKUP($A6,[26]HISTOJANV25!$A$6:$AU$51,8,0)</f>
        <v>0</v>
      </c>
      <c r="Q6" s="36">
        <f>VLOOKUP($A6,[26]HISTOJANV25!$A$6:$AU$51,23,0)</f>
        <v>0</v>
      </c>
      <c r="R6" s="36">
        <f>VLOOKUP($A6,[26]HISTOJANV25!$A$6:$AU$51,46,0)</f>
        <v>0</v>
      </c>
      <c r="S6" s="36">
        <f>VLOOKUP($A6,[26]HISTOJANV25!$A$6:$AU$51,26,0)</f>
        <v>0</v>
      </c>
      <c r="T6" s="36">
        <f>VLOOKUP($A6,[26]HISTOJANV25!$A$6:$BG$51,58,0)</f>
        <v>0</v>
      </c>
      <c r="U6" s="36">
        <f>VLOOKUP($A6,[26]HISTOJANV25!$A$6:$AU$51,28,0)</f>
        <v>0</v>
      </c>
      <c r="V6" s="36">
        <f>VLOOKUP($A6,[26]HISTOJANV25!$A$6:$AU$51,19,0)</f>
        <v>0</v>
      </c>
      <c r="W6" s="36">
        <f>VLOOKUP($A6,[26]HISTOJANV25!$A$6:$AU$51,20,0)</f>
        <v>0</v>
      </c>
      <c r="X6" s="36">
        <f>VLOOKUP($A6,[26]HISTOJANV25!$A$6:$AU$51,27,0)</f>
        <v>0</v>
      </c>
      <c r="Y6" s="36">
        <f>VLOOKUP($A6,[26]HISTOJANV25!$A$6:$BM$51,33,0)</f>
        <v>0</v>
      </c>
      <c r="Z6" s="36">
        <f>VLOOKUP($A6,[26]HISTOJANV25!$A$6:$BM$51,64,0)</f>
        <v>0</v>
      </c>
      <c r="AA6" s="36"/>
      <c r="AB6" s="36">
        <f>VLOOKUP($A6,[26]HISTOJANV25!$A$6:$AU$51,44,0)</f>
        <v>0</v>
      </c>
      <c r="AC6" s="36">
        <f>VLOOKUP($A6,[26]HISTOJANV25!$A$6:$AU$51,43,0)</f>
        <v>0</v>
      </c>
      <c r="AD6" s="36">
        <f>VLOOKUP($A6,[26]HISTOJANV25!$A$6:$BR$51,47,0)</f>
        <v>0</v>
      </c>
      <c r="AE6" s="36">
        <f>VLOOKUP(A6,[26]HISTOJANV25!$A$6:$BR$51,54,0)</f>
        <v>0</v>
      </c>
      <c r="AF6" s="36">
        <f>VLOOKUP($A6,[26]HISTOJANV25!$A$6:$BR$51,60,0)</f>
        <v>72000</v>
      </c>
      <c r="AG6" s="36">
        <f>VLOOKUP($A6,[26]HISTOJANV25!$A$6:$CB$51,61,0)</f>
        <v>200000</v>
      </c>
      <c r="AH6" s="36">
        <f>VLOOKUP($A6,[26]HISTOJANV25!$A$6:$CB$51,62,0)</f>
        <v>0</v>
      </c>
      <c r="AI6" s="36">
        <f>VLOOKUP($A6,[26]HISTOJANV25!$A$6:$CB$51,63,0)</f>
        <v>0</v>
      </c>
      <c r="AJ6" s="36">
        <f>VLOOKUP($A6,[26]HISTOJANV25!$A$6:$BR$51,64,0)</f>
        <v>0</v>
      </c>
      <c r="AK6" s="36">
        <f>VLOOKUP($A6,[26]HISTOJANV25!$A$6:$BR$51,65,0)</f>
        <v>0</v>
      </c>
      <c r="AL6" s="36">
        <f>VLOOKUP($A6,[26]HISTOJANV25!$A$6:$BR$40,66,0)</f>
        <v>401000</v>
      </c>
      <c r="AM6" s="2" t="s">
        <v>343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VLOOKUP($A7,[26]HISTOJANV25!$A$6:$BA$51,48,0)</f>
        <v>0</v>
      </c>
      <c r="F7" s="36">
        <f>VLOOKUP(A7,MVTDEC24!A7:AM43,6,0)+MVTDEC24!H7-E7+L7</f>
        <v>876950.51035762951</v>
      </c>
      <c r="G7" s="5">
        <f>IF(MVTJANV25!F7&gt;800000,(MVTDEC24!I7-E7+L7),0)</f>
        <v>876950.51035762951</v>
      </c>
      <c r="H7" s="36">
        <f>VLOOKUP(A7,[27]MVTJANV25!$A$6:$AM$42,8,0)</f>
        <v>6448.9701348318131</v>
      </c>
      <c r="I7" s="6">
        <f t="shared" ref="I7:I42" si="1">F7+H7</f>
        <v>883399.48049246136</v>
      </c>
      <c r="J7" s="36">
        <f>VLOOKUP($A7,[26]HISTOJANV25!$A$6:$AQ$51,22,0)</f>
        <v>0</v>
      </c>
      <c r="K7" s="36">
        <f>VLOOKUP($A7,[26]HISTOJANV25!$A$6:$AU$51,45,0)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VLOOKUP($A7,[26]HISTOJANV25!$A$6:$AU$51,8,0)</f>
        <v>0</v>
      </c>
      <c r="Q7" s="36">
        <f>VLOOKUP($A7,[26]HISTOJANV25!$A$6:$AU$51,23,0)</f>
        <v>0</v>
      </c>
      <c r="R7" s="36">
        <f>VLOOKUP($A7,[26]HISTOJANV25!$A$6:$AU$51,46,0)</f>
        <v>0</v>
      </c>
      <c r="S7" s="36">
        <f>VLOOKUP($A7,[26]HISTOJANV25!$A$6:$AU$51,26,0)</f>
        <v>1000000</v>
      </c>
      <c r="T7" s="36">
        <f>VLOOKUP($A7,[26]HISTOJANV25!$A$6:$BG$51,58,0)</f>
        <v>110000</v>
      </c>
      <c r="U7" s="36">
        <f>VLOOKUP($A7,[26]HISTOJANV25!$A$6:$AU$51,28,0)</f>
        <v>0</v>
      </c>
      <c r="V7" s="36">
        <f>VLOOKUP($A7,[26]HISTOJANV25!$A$6:$AU$51,19,0)</f>
        <v>0</v>
      </c>
      <c r="W7" s="36">
        <f>VLOOKUP($A7,[26]HISTOJANV25!$A$6:$AU$51,20,0)</f>
        <v>0</v>
      </c>
      <c r="X7" s="36" t="str">
        <f>VLOOKUP($A7,[26]HISTOJANV25!$A$6:$AU$51,27,0)</f>
        <v>BANQUE</v>
      </c>
      <c r="Y7" s="36">
        <f>VLOOKUP($A7,[26]HISTOJANV25!$A$6:$BM$51,33,0)</f>
        <v>0</v>
      </c>
      <c r="Z7" s="36">
        <f>VLOOKUP($A7,[26]HISTOJANV25!$A$6:$BM$51,64,0)</f>
        <v>0</v>
      </c>
      <c r="AA7" s="36"/>
      <c r="AB7" s="36">
        <f>VLOOKUP($A7,[26]HISTOJANV25!$A$6:$AU$51,44,0)</f>
        <v>0</v>
      </c>
      <c r="AC7" s="36">
        <f>VLOOKUP($A7,[26]HISTOJANV25!$A$6:$AU$51,43,0)</f>
        <v>0</v>
      </c>
      <c r="AD7" s="36">
        <f>VLOOKUP($A7,[26]HISTOJANV25!$A$6:$BR$51,47,0)</f>
        <v>0</v>
      </c>
      <c r="AE7" s="36">
        <f>VLOOKUP(A7,[26]HISTOJANV25!$A$6:$BR$51,54,0)</f>
        <v>0</v>
      </c>
      <c r="AF7" s="36">
        <f>VLOOKUP($A7,[26]HISTOJANV25!$A$6:$BR$51,60,0)</f>
        <v>0</v>
      </c>
      <c r="AG7" s="36">
        <f>VLOOKUP($A7,[26]HISTOJANV25!$A$6:$CB$51,61,0)</f>
        <v>0</v>
      </c>
      <c r="AH7" s="36">
        <f>VLOOKUP($A7,[26]HISTOJANV25!$A$6:$CB$51,62,0)</f>
        <v>0</v>
      </c>
      <c r="AI7" s="36">
        <f>VLOOKUP($A7,[26]HISTOJANV25!$A$6:$CB$51,63,0)</f>
        <v>0</v>
      </c>
      <c r="AJ7" s="36">
        <f>VLOOKUP($A7,[26]HISTOJANV25!$A$6:$BR$51,64,0)</f>
        <v>0</v>
      </c>
      <c r="AK7" s="36">
        <f>VLOOKUP($A7,[26]HISTOJANV25!$A$6:$BR$51,65,0)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VLOOKUP($A8,[26]HISTOJANV25!$A$6:$BA$51,48,0)</f>
        <v>0</v>
      </c>
      <c r="F8" s="36">
        <f>VLOOKUP(A8,MVTDEC24!A8:AM44,6,0)+MVTDEC24!H8-E8+L8</f>
        <v>996505.25232744275</v>
      </c>
      <c r="G8" s="5">
        <f>IF(MVTJANV25!F8&gt;800000,(MVTDEC24!I8-E8+L8),0)</f>
        <v>996505.25232744275</v>
      </c>
      <c r="H8" s="36">
        <f>VLOOKUP(A8,[27]MVTJANV25!$A$6:$AM$42,8,0)</f>
        <v>7328.1588134796257</v>
      </c>
      <c r="I8" s="6">
        <f t="shared" si="1"/>
        <v>1003833.4111409223</v>
      </c>
      <c r="J8" s="36">
        <f>VLOOKUP($A8,[26]HISTOJANV25!$A$6:$AQ$51,22,0)</f>
        <v>0</v>
      </c>
      <c r="K8" s="36">
        <f>VLOOKUP($A8,[26]HISTOJANV25!$A$6:$AU$51,45,0)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VLOOKUP($A8,[26]HISTOJANV25!$A$6:$AU$51,8,0)</f>
        <v>0</v>
      </c>
      <c r="Q8" s="36">
        <f>VLOOKUP($A8,[26]HISTOJANV25!$A$6:$AU$51,23,0)</f>
        <v>0</v>
      </c>
      <c r="R8" s="36">
        <f>VLOOKUP($A8,[26]HISTOJANV25!$A$6:$AU$51,46,0)</f>
        <v>0</v>
      </c>
      <c r="S8" s="36">
        <f>VLOOKUP($A8,[26]HISTOJANV25!$A$6:$AU$51,26,0)</f>
        <v>0</v>
      </c>
      <c r="T8" s="36">
        <f>VLOOKUP($A8,[26]HISTOJANV25!$A$6:$BG$51,58,0)</f>
        <v>0</v>
      </c>
      <c r="U8" s="36">
        <f>VLOOKUP($A8,[26]HISTOJANV25!$A$6:$AU$51,28,0)</f>
        <v>0</v>
      </c>
      <c r="V8" s="36">
        <f>VLOOKUP($A8,[26]HISTOJANV25!$A$6:$AU$51,19,0)</f>
        <v>0</v>
      </c>
      <c r="W8" s="36">
        <f>VLOOKUP($A8,[26]HISTOJANV25!$A$6:$AU$51,20,0)</f>
        <v>0</v>
      </c>
      <c r="X8" s="36">
        <f>VLOOKUP($A8,[26]HISTOJANV25!$A$6:$AU$51,27,0)</f>
        <v>0</v>
      </c>
      <c r="Y8" s="36">
        <f>VLOOKUP($A8,[26]HISTOJANV25!$A$6:$BM$51,33,0)</f>
        <v>0</v>
      </c>
      <c r="Z8" s="36">
        <f>VLOOKUP($A8,[26]HISTOJANV25!$A$6:$BM$51,64,0)</f>
        <v>0</v>
      </c>
      <c r="AA8" s="36"/>
      <c r="AB8" s="36">
        <f>VLOOKUP($A8,[26]HISTOJANV25!$A$6:$AU$51,44,0)</f>
        <v>0</v>
      </c>
      <c r="AC8" s="36">
        <f>VLOOKUP($A8,[26]HISTOJANV25!$A$6:$AU$51,43,0)</f>
        <v>0</v>
      </c>
      <c r="AD8" s="36">
        <f>VLOOKUP($A8,[26]HISTOJANV25!$A$6:$BR$51,47,0)</f>
        <v>0</v>
      </c>
      <c r="AE8" s="36">
        <f>VLOOKUP(A8,[26]HISTOJANV25!$A$6:$BR$51,54,0)</f>
        <v>0</v>
      </c>
      <c r="AF8" s="36">
        <f>VLOOKUP($A8,[26]HISTOJANV25!$A$6:$BR$51,60,0)</f>
        <v>0</v>
      </c>
      <c r="AG8" s="36">
        <f>VLOOKUP($A8,[26]HISTOJANV25!$A$6:$CB$51,61,0)</f>
        <v>0</v>
      </c>
      <c r="AH8" s="36">
        <f>VLOOKUP($A8,[26]HISTOJANV25!$A$6:$CB$51,62,0)</f>
        <v>0</v>
      </c>
      <c r="AI8" s="36">
        <f>VLOOKUP($A8,[26]HISTOJANV25!$A$6:$CB$51,63,0)</f>
        <v>0</v>
      </c>
      <c r="AJ8" s="36">
        <f>VLOOKUP($A8,[26]HISTOJANV25!$A$6:$BR$51,64,0)</f>
        <v>0</v>
      </c>
      <c r="AK8" s="36">
        <f>VLOOKUP($A8,[26]HISTOJANV25!$A$6:$BR$51,65,0)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VLOOKUP($A9,[26]HISTOJANV25!$A$6:$BA$51,48,0)</f>
        <v>0</v>
      </c>
      <c r="F9" s="36">
        <f>VLOOKUP(A9,MVTDEC24!A9:AM45,6,0)+MVTDEC24!H9-E9+L9</f>
        <v>864420.79693135014</v>
      </c>
      <c r="G9" s="5">
        <f>IF(MVTJANV25!F9&gt;800000,(MVTDEC24!I9-E9+L9),0)</f>
        <v>864420.79693135014</v>
      </c>
      <c r="H9" s="36">
        <f>VLOOKUP(A9,[27]MVTJANV25!$A$6:$AM$42,8,0)</f>
        <v>6356.8283928182027</v>
      </c>
      <c r="I9" s="6">
        <f t="shared" si="1"/>
        <v>870777.62532416836</v>
      </c>
      <c r="J9" s="36">
        <f>VLOOKUP($A9,[26]HISTOJANV25!$A$6:$AQ$51,22,0)</f>
        <v>0</v>
      </c>
      <c r="K9" s="36">
        <f>VLOOKUP($A9,[26]HISTOJANV25!$A$6:$AU$51,45,0)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VLOOKUP($A9,[26]HISTOJANV25!$A$6:$AU$51,8,0)</f>
        <v>0</v>
      </c>
      <c r="Q9" s="36">
        <f>VLOOKUP($A9,[26]HISTOJANV25!$A$6:$AU$51,23,0)</f>
        <v>0</v>
      </c>
      <c r="R9" s="36">
        <f>VLOOKUP($A9,[26]HISTOJANV25!$A$6:$AU$51,46,0)</f>
        <v>0</v>
      </c>
      <c r="S9" s="36">
        <f>VLOOKUP($A9,[26]HISTOJANV25!$A$6:$AU$51,26,0)</f>
        <v>0</v>
      </c>
      <c r="T9" s="36">
        <f>VLOOKUP($A9,[26]HISTOJANV25!$A$6:$BG$51,58,0)</f>
        <v>0</v>
      </c>
      <c r="U9" s="36">
        <f>VLOOKUP($A9,[26]HISTOJANV25!$A$6:$AU$51,28,0)</f>
        <v>0</v>
      </c>
      <c r="V9" s="36">
        <f>VLOOKUP($A9,[26]HISTOJANV25!$A$6:$AU$51,19,0)</f>
        <v>0</v>
      </c>
      <c r="W9" s="36">
        <f>VLOOKUP($A9,[26]HISTOJANV25!$A$6:$AU$51,20,0)</f>
        <v>0</v>
      </c>
      <c r="X9" s="36">
        <f>VLOOKUP($A9,[26]HISTOJANV25!$A$6:$AU$51,27,0)</f>
        <v>0</v>
      </c>
      <c r="Y9" s="36">
        <f>VLOOKUP($A9,[26]HISTOJANV25!$A$6:$BM$51,33,0)</f>
        <v>0</v>
      </c>
      <c r="Z9" s="36">
        <f>VLOOKUP($A9,[26]HISTOJANV25!$A$6:$BM$51,64,0)</f>
        <v>0</v>
      </c>
      <c r="AA9" s="36"/>
      <c r="AB9" s="36">
        <f>VLOOKUP($A9,[26]HISTOJANV25!$A$6:$AU$51,44,0)</f>
        <v>0</v>
      </c>
      <c r="AC9" s="36">
        <f>VLOOKUP($A9,[26]HISTOJANV25!$A$6:$AU$51,43,0)</f>
        <v>0</v>
      </c>
      <c r="AD9" s="36">
        <f>VLOOKUP($A9,[26]HISTOJANV25!$A$6:$BR$51,47,0)</f>
        <v>0</v>
      </c>
      <c r="AE9" s="36">
        <f>VLOOKUP(A9,[26]HISTOJANV25!$A$6:$BR$51,54,0)</f>
        <v>0</v>
      </c>
      <c r="AF9" s="36">
        <f>VLOOKUP($A9,[26]HISTOJANV25!$A$6:$BR$51,60,0)</f>
        <v>0</v>
      </c>
      <c r="AG9" s="36">
        <f>VLOOKUP($A9,[26]HISTOJANV25!$A$6:$CB$51,61,0)</f>
        <v>0</v>
      </c>
      <c r="AH9" s="36">
        <f>VLOOKUP($A9,[26]HISTOJANV25!$A$6:$CB$51,62,0)</f>
        <v>0</v>
      </c>
      <c r="AI9" s="36">
        <f>VLOOKUP($A9,[26]HISTOJANV25!$A$6:$CB$51,63,0)</f>
        <v>0</v>
      </c>
      <c r="AJ9" s="36">
        <f>VLOOKUP($A9,[26]HISTOJANV25!$A$6:$BR$51,64,0)</f>
        <v>0</v>
      </c>
      <c r="AK9" s="36">
        <f>VLOOKUP($A9,[26]HISTOJANV25!$A$6:$BR$51,65,0)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VLOOKUP($A10,[26]HISTOJANV25!$A$6:$BA$51,48,0)</f>
        <v>0</v>
      </c>
      <c r="F10" s="36">
        <f>VLOOKUP(A10,MVTDEC24!A10:AM46,6,0)+MVTDEC24!H10-E10+L10</f>
        <v>865052.78498622647</v>
      </c>
      <c r="G10" s="5">
        <f>IF(MVTJANV25!F10&gt;800000,(MVTDEC24!I10-E10+L10),0)</f>
        <v>865052.78498622647</v>
      </c>
      <c r="H10" s="36">
        <f>VLOOKUP(A10,[27]MVTJANV25!$A$6:$AM$42,8,0)</f>
        <v>6361.4759436700815</v>
      </c>
      <c r="I10" s="6">
        <f t="shared" si="1"/>
        <v>871414.2609298965</v>
      </c>
      <c r="J10" s="36">
        <f>VLOOKUP($A10,[26]HISTOJANV25!$A$6:$AQ$51,22,0)</f>
        <v>0</v>
      </c>
      <c r="K10" s="36">
        <f>VLOOKUP($A10,[26]HISTOJANV25!$A$6:$AU$51,45,0)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VLOOKUP($A10,[26]HISTOJANV25!$A$6:$AU$51,8,0)</f>
        <v>0</v>
      </c>
      <c r="Q10" s="36">
        <f>VLOOKUP($A10,[26]HISTOJANV25!$A$6:$AU$51,23,0)</f>
        <v>0</v>
      </c>
      <c r="R10" s="36">
        <f>VLOOKUP($A10,[26]HISTOJANV25!$A$6:$AU$51,46,0)</f>
        <v>0</v>
      </c>
      <c r="S10" s="36">
        <f>VLOOKUP($A10,[26]HISTOJANV25!$A$6:$AU$51,26,0)</f>
        <v>0</v>
      </c>
      <c r="T10" s="36">
        <f>VLOOKUP($A10,[26]HISTOJANV25!$A$6:$BG$51,58,0)</f>
        <v>0</v>
      </c>
      <c r="U10" s="36">
        <f>VLOOKUP($A10,[26]HISTOJANV25!$A$6:$AU$51,28,0)</f>
        <v>0</v>
      </c>
      <c r="V10" s="36">
        <f>VLOOKUP($A10,[26]HISTOJANV25!$A$6:$AU$51,19,0)</f>
        <v>0</v>
      </c>
      <c r="W10" s="36">
        <f>VLOOKUP($A10,[26]HISTOJANV25!$A$6:$AU$51,20,0)</f>
        <v>0</v>
      </c>
      <c r="X10" s="36">
        <f>VLOOKUP($A10,[26]HISTOJANV25!$A$6:$AU$51,27,0)</f>
        <v>0</v>
      </c>
      <c r="Y10" s="36">
        <f>VLOOKUP($A10,[26]HISTOJANV25!$A$6:$BM$51,33,0)</f>
        <v>0</v>
      </c>
      <c r="Z10" s="36">
        <f>VLOOKUP($A10,[26]HISTOJANV25!$A$6:$BM$51,64,0)</f>
        <v>0</v>
      </c>
      <c r="AA10" s="36"/>
      <c r="AB10" s="36">
        <f>VLOOKUP($A10,[26]HISTOJANV25!$A$6:$AU$51,44,0)</f>
        <v>0</v>
      </c>
      <c r="AC10" s="36">
        <f>VLOOKUP($A10,[26]HISTOJANV25!$A$6:$AU$51,43,0)</f>
        <v>0</v>
      </c>
      <c r="AD10" s="36">
        <f>VLOOKUP($A10,[26]HISTOJANV25!$A$6:$BR$51,47,0)</f>
        <v>0</v>
      </c>
      <c r="AE10" s="36">
        <f>VLOOKUP(A10,[26]HISTOJANV25!$A$6:$BR$51,54,0)</f>
        <v>0</v>
      </c>
      <c r="AF10" s="36">
        <f>VLOOKUP($A10,[26]HISTOJANV25!$A$6:$BR$51,60,0)</f>
        <v>0</v>
      </c>
      <c r="AG10" s="36">
        <f>VLOOKUP($A10,[26]HISTOJANV25!$A$6:$CB$51,61,0)</f>
        <v>0</v>
      </c>
      <c r="AH10" s="36">
        <f>VLOOKUP($A10,[26]HISTOJANV25!$A$6:$CB$51,62,0)</f>
        <v>0</v>
      </c>
      <c r="AI10" s="36">
        <f>VLOOKUP($A10,[26]HISTOJANV25!$A$6:$CB$51,63,0)</f>
        <v>0</v>
      </c>
      <c r="AJ10" s="36">
        <f>VLOOKUP($A10,[26]HISTOJANV25!$A$6:$BR$51,64,0)</f>
        <v>0</v>
      </c>
      <c r="AK10" s="36">
        <f>VLOOKUP($A10,[26]HISTOJANV25!$A$6:$BR$51,65,0)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VLOOKUP($A11,[26]HISTOJANV25!$A$6:$BA$51,48,0)</f>
        <v>0</v>
      </c>
      <c r="F11" s="36">
        <f>VLOOKUP(A11,MVTDEC24!A11:AM47,6,0)+MVTDEC24!H11-E11+L11</f>
        <v>863780.4242919978</v>
      </c>
      <c r="G11" s="5">
        <f>IF(MVTJANV25!F11&gt;800000,(MVTDEC24!I11-E11+L11),0)</f>
        <v>863780.4242919978</v>
      </c>
      <c r="H11" s="36">
        <f>VLOOKUP(A11,[27]MVTJANV25!$A$6:$AM$42,8,0)</f>
        <v>6352.1191829168793</v>
      </c>
      <c r="I11" s="6">
        <f t="shared" si="1"/>
        <v>870132.54347491462</v>
      </c>
      <c r="J11" s="36">
        <f>VLOOKUP($A11,[26]HISTOJANV25!$A$6:$AQ$51,22,0)</f>
        <v>0</v>
      </c>
      <c r="K11" s="36">
        <f>VLOOKUP($A11,[26]HISTOJANV25!$A$6:$AU$51,45,0)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VLOOKUP($A11,[26]HISTOJANV25!$A$6:$AU$51,8,0)</f>
        <v>0</v>
      </c>
      <c r="Q11" s="36">
        <f>VLOOKUP($A11,[26]HISTOJANV25!$A$6:$AU$51,23,0)</f>
        <v>0</v>
      </c>
      <c r="R11" s="36">
        <f>VLOOKUP($A11,[26]HISTOJANV25!$A$6:$AU$51,46,0)</f>
        <v>0</v>
      </c>
      <c r="S11" s="36">
        <f>VLOOKUP($A11,[26]HISTOJANV25!$A$6:$AU$51,26,0)</f>
        <v>0</v>
      </c>
      <c r="T11" s="36">
        <f>VLOOKUP($A11,[26]HISTOJANV25!$A$6:$BG$51,58,0)</f>
        <v>0</v>
      </c>
      <c r="U11" s="36">
        <f>VLOOKUP($A11,[26]HISTOJANV25!$A$6:$AU$51,28,0)</f>
        <v>0</v>
      </c>
      <c r="V11" s="36">
        <f>VLOOKUP($A11,[26]HISTOJANV25!$A$6:$AU$51,19,0)</f>
        <v>0</v>
      </c>
      <c r="W11" s="36">
        <f>VLOOKUP($A11,[26]HISTOJANV25!$A$6:$AU$51,20,0)</f>
        <v>0</v>
      </c>
      <c r="X11" s="36">
        <f>VLOOKUP($A11,[26]HISTOJANV25!$A$6:$AU$51,27,0)</f>
        <v>0</v>
      </c>
      <c r="Y11" s="36">
        <f>VLOOKUP($A11,[26]HISTOJANV25!$A$6:$BM$51,33,0)</f>
        <v>0</v>
      </c>
      <c r="Z11" s="36">
        <f>VLOOKUP($A11,[26]HISTOJANV25!$A$6:$BM$51,64,0)</f>
        <v>0</v>
      </c>
      <c r="AA11" s="36"/>
      <c r="AB11" s="36">
        <f>VLOOKUP($A11,[26]HISTOJANV25!$A$6:$AU$51,44,0)</f>
        <v>0</v>
      </c>
      <c r="AC11" s="36">
        <f>VLOOKUP($A11,[26]HISTOJANV25!$A$6:$AU$51,43,0)</f>
        <v>0</v>
      </c>
      <c r="AD11" s="36">
        <f>VLOOKUP($A11,[26]HISTOJANV25!$A$6:$BR$51,47,0)</f>
        <v>0</v>
      </c>
      <c r="AE11" s="36">
        <f>VLOOKUP(A11,[26]HISTOJANV25!$A$6:$BR$51,54,0)</f>
        <v>0</v>
      </c>
      <c r="AF11" s="36">
        <f>VLOOKUP($A11,[26]HISTOJANV25!$A$6:$BR$51,60,0)</f>
        <v>0</v>
      </c>
      <c r="AG11" s="36">
        <f>VLOOKUP($A11,[26]HISTOJANV25!$A$6:$CB$51,61,0)</f>
        <v>0</v>
      </c>
      <c r="AH11" s="36">
        <f>VLOOKUP($A11,[26]HISTOJANV25!$A$6:$CB$51,62,0)</f>
        <v>0</v>
      </c>
      <c r="AI11" s="36">
        <f>VLOOKUP($A11,[26]HISTOJANV25!$A$6:$CB$51,63,0)</f>
        <v>0</v>
      </c>
      <c r="AJ11" s="36">
        <f>VLOOKUP($A11,[26]HISTOJANV25!$A$6:$BR$51,64,0)</f>
        <v>0</v>
      </c>
      <c r="AK11" s="36">
        <f>VLOOKUP($A11,[26]HISTOJANV25!$A$6:$BR$51,65,0)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VLOOKUP($A12,[26]HISTOJANV25!$A$6:$BA$51,48,0)</f>
        <v>0</v>
      </c>
      <c r="F12" s="36">
        <f>VLOOKUP(A12,MVTDEC24!A12:AM48,6,0)+MVTDEC24!H12-E12+L12</f>
        <v>882640.83393698034</v>
      </c>
      <c r="G12" s="5">
        <f>IF(MVTJANV25!F12&gt;800000,(MVTDEC24!I12-E12+L12),0)</f>
        <v>882640.83393698034</v>
      </c>
      <c r="H12" s="36">
        <f>VLOOKUP(A12,[27]MVTJANV25!$A$6:$AM$42,8,0)</f>
        <v>6490.8159703576948</v>
      </c>
      <c r="I12" s="6">
        <f t="shared" si="1"/>
        <v>889131.64990733808</v>
      </c>
      <c r="J12" s="36">
        <f>VLOOKUP($A12,[26]HISTOJANV25!$A$6:$AQ$51,22,0)</f>
        <v>0</v>
      </c>
      <c r="K12" s="36">
        <f>VLOOKUP($A12,[26]HISTOJANV25!$A$6:$AU$51,45,0)</f>
        <v>35000</v>
      </c>
      <c r="L12" s="36">
        <f t="shared" si="2"/>
        <v>29000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VLOOKUP($A12,[26]HISTOJANV25!$A$6:$AU$51,8,0)</f>
        <v>0</v>
      </c>
      <c r="Q12" s="36">
        <f>VLOOKUP($A12,[26]HISTOJANV25!$A$6:$AU$51,23,0)</f>
        <v>0</v>
      </c>
      <c r="R12" s="36">
        <f>VLOOKUP($A12,[26]HISTOJANV25!$A$6:$AU$51,46,0)</f>
        <v>0</v>
      </c>
      <c r="S12" s="36">
        <f>VLOOKUP($A12,[26]HISTOJANV25!$A$6:$AU$51,26,0)</f>
        <v>0</v>
      </c>
      <c r="T12" s="36">
        <f>VLOOKUP($A12,[26]HISTOJANV25!$A$6:$BG$51,58,0)</f>
        <v>0</v>
      </c>
      <c r="U12" s="36">
        <f>VLOOKUP($A12,[26]HISTOJANV25!$A$6:$AU$51,28,0)</f>
        <v>0</v>
      </c>
      <c r="V12" s="36">
        <f>VLOOKUP($A12,[26]HISTOJANV25!$A$6:$AU$51,19,0)</f>
        <v>0</v>
      </c>
      <c r="W12" s="36">
        <f>VLOOKUP($A12,[26]HISTOJANV25!$A$6:$AU$51,20,0)</f>
        <v>0</v>
      </c>
      <c r="X12" s="36">
        <f>VLOOKUP($A12,[26]HISTOJANV25!$A$6:$AU$51,27,0)</f>
        <v>0</v>
      </c>
      <c r="Y12" s="36">
        <f>VLOOKUP($A12,[26]HISTOJANV25!$A$6:$BM$51,33,0)</f>
        <v>0</v>
      </c>
      <c r="Z12" s="36">
        <f>VLOOKUP($A12,[26]HISTOJANV25!$A$6:$BM$51,64,0)</f>
        <v>0</v>
      </c>
      <c r="AA12" s="36"/>
      <c r="AB12" s="36">
        <f>VLOOKUP($A12,[26]HISTOJANV25!$A$6:$AU$51,44,0)</f>
        <v>0</v>
      </c>
      <c r="AC12" s="36">
        <f>VLOOKUP($A12,[26]HISTOJANV25!$A$6:$AU$51,43,0)</f>
        <v>0</v>
      </c>
      <c r="AD12" s="36">
        <f>VLOOKUP($A12,[26]HISTOJANV25!$A$6:$BR$51,47,0)</f>
        <v>0</v>
      </c>
      <c r="AE12" s="36">
        <f>VLOOKUP(A12,[26]HISTOJANV25!$A$6:$BR$51,54,0)</f>
        <v>0</v>
      </c>
      <c r="AF12" s="36">
        <f>VLOOKUP($A12,[26]HISTOJANV25!$A$6:$BR$51,60,0)</f>
        <v>0</v>
      </c>
      <c r="AG12" s="36">
        <f>VLOOKUP($A12,[26]HISTOJANV25!$A$6:$CB$51,61,0)</f>
        <v>0</v>
      </c>
      <c r="AH12" s="36">
        <f>VLOOKUP($A12,[26]HISTOJANV25!$A$6:$CB$51,62,0)</f>
        <v>0</v>
      </c>
      <c r="AI12" s="36">
        <f>VLOOKUP($A12,[26]HISTOJANV25!$A$6:$CB$51,63,0)</f>
        <v>0</v>
      </c>
      <c r="AJ12" s="36">
        <f>VLOOKUP($A12,[26]HISTOJANV25!$A$6:$BR$51,64,0)</f>
        <v>0</v>
      </c>
      <c r="AK12" s="36">
        <f>VLOOKUP($A12,[26]HISTOJANV25!$A$6:$BR$51,65,0)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VLOOKUP($A13,[26]HISTOJANV25!$A$6:$BA$51,48,0)</f>
        <v>0</v>
      </c>
      <c r="F13" s="36">
        <f>VLOOKUP(A13,MVTDEC24!A13:AM49,6,0)+MVTDEC24!H13-E13+L13</f>
        <v>864129.43262081011</v>
      </c>
      <c r="G13" s="5">
        <f>IF(MVTJANV25!F13&gt;800000,(MVTDEC24!I13-E13+L13),0)</f>
        <v>864129.43262081011</v>
      </c>
      <c r="H13" s="36">
        <f>VLOOKUP(A13,[27]MVTJANV25!$A$6:$AM$42,8,0)</f>
        <v>6354.6857408500064</v>
      </c>
      <c r="I13" s="6">
        <f t="shared" si="1"/>
        <v>870484.11836166016</v>
      </c>
      <c r="J13" s="36">
        <f>VLOOKUP($A13,[26]HISTOJANV25!$A$6:$AQ$51,22,0)</f>
        <v>0</v>
      </c>
      <c r="K13" s="36">
        <f>VLOOKUP($A13,[26]HISTOJANV25!$A$6:$AU$51,45,0)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VLOOKUP($A13,[26]HISTOJANV25!$A$6:$AU$51,8,0)</f>
        <v>0</v>
      </c>
      <c r="Q13" s="36">
        <f>VLOOKUP($A13,[26]HISTOJANV25!$A$6:$AU$51,23,0)</f>
        <v>0</v>
      </c>
      <c r="R13" s="36">
        <f>VLOOKUP($A13,[26]HISTOJANV25!$A$6:$AU$51,46,0)</f>
        <v>0</v>
      </c>
      <c r="S13" s="36">
        <f>VLOOKUP($A13,[26]HISTOJANV25!$A$6:$AU$51,26,0)</f>
        <v>0</v>
      </c>
      <c r="T13" s="36">
        <f>VLOOKUP($A13,[26]HISTOJANV25!$A$6:$BG$51,58,0)</f>
        <v>0</v>
      </c>
      <c r="U13" s="36">
        <f>VLOOKUP($A13,[26]HISTOJANV25!$A$6:$AU$51,28,0)</f>
        <v>0</v>
      </c>
      <c r="V13" s="36">
        <f>VLOOKUP($A13,[26]HISTOJANV25!$A$6:$AU$51,19,0)</f>
        <v>0</v>
      </c>
      <c r="W13" s="36">
        <f>VLOOKUP($A13,[26]HISTOJANV25!$A$6:$AU$51,20,0)</f>
        <v>0</v>
      </c>
      <c r="X13" s="36">
        <f>VLOOKUP($A13,[26]HISTOJANV25!$A$6:$AU$51,27,0)</f>
        <v>0</v>
      </c>
      <c r="Y13" s="36">
        <f>VLOOKUP($A13,[26]HISTOJANV25!$A$6:$BM$51,33,0)</f>
        <v>0</v>
      </c>
      <c r="Z13" s="36">
        <f>VLOOKUP($A13,[26]HISTOJANV25!$A$6:$BM$51,64,0)</f>
        <v>0</v>
      </c>
      <c r="AA13" s="36"/>
      <c r="AB13" s="36">
        <f>VLOOKUP($A13,[26]HISTOJANV25!$A$6:$AU$51,44,0)</f>
        <v>0</v>
      </c>
      <c r="AC13" s="36">
        <f>VLOOKUP($A13,[26]HISTOJANV25!$A$6:$AU$51,43,0)</f>
        <v>0</v>
      </c>
      <c r="AD13" s="36">
        <f>VLOOKUP($A13,[26]HISTOJANV25!$A$6:$BR$51,47,0)</f>
        <v>0</v>
      </c>
      <c r="AE13" s="36">
        <f>VLOOKUP(A13,[26]HISTOJANV25!$A$6:$BR$51,54,0)</f>
        <v>0</v>
      </c>
      <c r="AF13" s="36">
        <f>VLOOKUP($A13,[26]HISTOJANV25!$A$6:$BR$51,60,0)</f>
        <v>0</v>
      </c>
      <c r="AG13" s="36">
        <f>VLOOKUP($A13,[26]HISTOJANV25!$A$6:$CB$51,61,0)</f>
        <v>0</v>
      </c>
      <c r="AH13" s="36">
        <f>VLOOKUP($A13,[26]HISTOJANV25!$A$6:$CB$51,62,0)</f>
        <v>0</v>
      </c>
      <c r="AI13" s="36">
        <f>VLOOKUP($A13,[26]HISTOJANV25!$A$6:$CB$51,63,0)</f>
        <v>0</v>
      </c>
      <c r="AJ13" s="36">
        <f>VLOOKUP($A13,[26]HISTOJANV25!$A$6:$BR$51,64,0)</f>
        <v>0</v>
      </c>
      <c r="AK13" s="36">
        <f>VLOOKUP($A13,[26]HISTOJANV25!$A$6:$BR$51,65,0)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VLOOKUP($A14,[26]HISTOJANV25!$A$6:$BA$51,48,0)</f>
        <v>0</v>
      </c>
      <c r="F14" s="36">
        <f>VLOOKUP(A14,MVTDEC24!A14:AM50,6,0)+MVTDEC24!H14-E14+L14</f>
        <v>1593615.5319298476</v>
      </c>
      <c r="G14" s="5">
        <f>IF(MVTJANV25!F14&gt;800000,(MVTDEC24!I14-E14+L14),0)</f>
        <v>1593615.5319298476</v>
      </c>
      <c r="H14" s="36">
        <f>VLOOKUP(A14,[27]MVTJANV25!$A$6:$AM$42,8,0)</f>
        <v>11719.223434431393</v>
      </c>
      <c r="I14" s="6">
        <f t="shared" si="1"/>
        <v>1605334.755364279</v>
      </c>
      <c r="J14" s="36">
        <f>VLOOKUP($A14,[26]HISTOJANV25!$A$6:$AQ$51,22,0)</f>
        <v>0</v>
      </c>
      <c r="K14" s="36">
        <f>VLOOKUP($A14,[26]HISTOJANV25!$A$6:$AU$51,45,0)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VLOOKUP($A14,[26]HISTOJANV25!$A$6:$AU$51,8,0)</f>
        <v>0</v>
      </c>
      <c r="Q14" s="36">
        <f>VLOOKUP($A14,[26]HISTOJANV25!$A$6:$AU$51,23,0)</f>
        <v>0</v>
      </c>
      <c r="R14" s="36">
        <f>VLOOKUP($A14,[26]HISTOJANV25!$A$6:$AU$51,46,0)</f>
        <v>0</v>
      </c>
      <c r="S14" s="36">
        <f>VLOOKUP($A14,[26]HISTOJANV25!$A$6:$AU$51,26,0)</f>
        <v>0</v>
      </c>
      <c r="T14" s="36">
        <f>VLOOKUP($A14,[26]HISTOJANV25!$A$6:$BG$51,58,0)</f>
        <v>0</v>
      </c>
      <c r="U14" s="36">
        <f>VLOOKUP($A14,[26]HISTOJANV25!$A$6:$AU$51,28,0)</f>
        <v>0</v>
      </c>
      <c r="V14" s="36">
        <f>VLOOKUP($A14,[26]HISTOJANV25!$A$6:$AU$51,19,0)</f>
        <v>0</v>
      </c>
      <c r="W14" s="36">
        <f>VLOOKUP($A14,[26]HISTOJANV25!$A$6:$AU$51,20,0)</f>
        <v>0</v>
      </c>
      <c r="X14" s="36">
        <f>VLOOKUP($A14,[26]HISTOJANV25!$A$6:$AU$51,27,0)</f>
        <v>0</v>
      </c>
      <c r="Y14" s="36">
        <f>VLOOKUP($A14,[26]HISTOJANV25!$A$6:$BM$51,33,0)</f>
        <v>0</v>
      </c>
      <c r="Z14" s="36">
        <f>VLOOKUP($A14,[26]HISTOJANV25!$A$6:$BM$51,64,0)</f>
        <v>0</v>
      </c>
      <c r="AA14" s="36"/>
      <c r="AB14" s="36">
        <f>VLOOKUP($A14,[26]HISTOJANV25!$A$6:$AU$51,44,0)</f>
        <v>0</v>
      </c>
      <c r="AC14" s="36">
        <f>VLOOKUP($A14,[26]HISTOJANV25!$A$6:$AU$51,43,0)</f>
        <v>0</v>
      </c>
      <c r="AD14" s="36">
        <f>VLOOKUP($A14,[26]HISTOJANV25!$A$6:$BR$51,47,0)</f>
        <v>0</v>
      </c>
      <c r="AE14" s="36">
        <f>VLOOKUP(A14,[26]HISTOJANV25!$A$6:$BR$51,54,0)</f>
        <v>0</v>
      </c>
      <c r="AF14" s="36">
        <f>VLOOKUP($A14,[26]HISTOJANV25!$A$6:$BR$51,60,0)</f>
        <v>0</v>
      </c>
      <c r="AG14" s="36">
        <f>VLOOKUP($A14,[26]HISTOJANV25!$A$6:$CB$51,61,0)</f>
        <v>0</v>
      </c>
      <c r="AH14" s="36">
        <f>VLOOKUP($A14,[26]HISTOJANV25!$A$6:$CB$51,62,0)</f>
        <v>0</v>
      </c>
      <c r="AI14" s="36">
        <f>VLOOKUP($A14,[26]HISTOJANV25!$A$6:$CB$51,63,0)</f>
        <v>0</v>
      </c>
      <c r="AJ14" s="36">
        <f>VLOOKUP($A14,[26]HISTOJANV25!$A$6:$BR$51,64,0)</f>
        <v>0</v>
      </c>
      <c r="AK14" s="36">
        <f>VLOOKUP($A14,[26]HISTOJANV25!$A$6:$BR$51,65,0)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VLOOKUP($A15,[26]HISTOJANV25!$A$6:$BA$51,48,0)</f>
        <v>0</v>
      </c>
      <c r="F15" s="36">
        <f>VLOOKUP(A15,MVTDEC24!A15:AM51,6,0)+MVTDEC24!H15-E15+L15</f>
        <v>0</v>
      </c>
      <c r="G15" s="5">
        <f>IF(MVTJANV25!F15&gt;800000,(MVTDEC24!I15-E15+L15),0)</f>
        <v>0</v>
      </c>
      <c r="H15" s="36">
        <f>VLOOKUP(A15,[27]MVTJANV25!$A$6:$AM$42,8,0)</f>
        <v>0</v>
      </c>
      <c r="I15" s="6">
        <f t="shared" ref="I15" si="5">F15+H15</f>
        <v>0</v>
      </c>
      <c r="J15" s="36">
        <f>VLOOKUP($A15,[26]HISTOJANV25!$A$6:$AQ$51,22,0)</f>
        <v>0</v>
      </c>
      <c r="K15" s="36">
        <f>VLOOKUP($A15,[26]HISTOJANV25!$A$6:$AU$51,45,0)</f>
        <v>0</v>
      </c>
      <c r="L15" s="36">
        <f t="shared" si="2"/>
        <v>0</v>
      </c>
      <c r="M15" s="36">
        <f t="shared" ref="M15" si="6">IF(K15=0,0,1000)</f>
        <v>0</v>
      </c>
      <c r="N15" s="36">
        <f t="shared" ref="N15" si="7">IF(K15=0,0,1000)</f>
        <v>0</v>
      </c>
      <c r="O15" s="36">
        <f t="shared" ref="O15" si="8">IF(K15=0,0,4000)</f>
        <v>0</v>
      </c>
      <c r="P15" s="36">
        <f>VLOOKUP($A15,[26]HISTOJANV25!$A$6:$AU$51,8,0)</f>
        <v>0</v>
      </c>
      <c r="Q15" s="36">
        <f>VLOOKUP($A15,[26]HISTOJANV25!$A$6:$AU$51,23,0)</f>
        <v>0</v>
      </c>
      <c r="R15" s="36">
        <f>VLOOKUP($A15,[26]HISTOJANV25!$A$6:$AU$51,46,0)</f>
        <v>0</v>
      </c>
      <c r="S15" s="36">
        <f>VLOOKUP($A15,[26]HISTOJANV25!$A$6:$AU$51,26,0)</f>
        <v>0</v>
      </c>
      <c r="T15" s="36">
        <f>VLOOKUP($A15,[26]HISTOJANV25!$A$6:$BG$51,58,0)</f>
        <v>0</v>
      </c>
      <c r="U15" s="36">
        <f>VLOOKUP($A15,[26]HISTOJANV25!$A$6:$AU$51,28,0)</f>
        <v>0</v>
      </c>
      <c r="V15" s="36">
        <f>VLOOKUP($A15,[26]HISTOJANV25!$A$6:$AU$51,19,0)</f>
        <v>0</v>
      </c>
      <c r="W15" s="36">
        <f>VLOOKUP($A15,[26]HISTOJANV25!$A$6:$AU$51,20,0)</f>
        <v>0</v>
      </c>
      <c r="X15" s="36">
        <f>VLOOKUP($A15,[26]HISTOJANV25!$A$6:$AU$51,27,0)</f>
        <v>0</v>
      </c>
      <c r="Y15" s="36">
        <f>VLOOKUP($A15,[26]HISTOJANV25!$A$6:$BM$51,33,0)</f>
        <v>0</v>
      </c>
      <c r="Z15" s="36">
        <f>VLOOKUP($A15,[26]HISTOJANV25!$A$6:$BM$51,64,0)</f>
        <v>0</v>
      </c>
      <c r="AA15" s="36"/>
      <c r="AB15" s="36">
        <f>VLOOKUP($A15,[26]HISTOJANV25!$A$6:$AU$51,44,0)</f>
        <v>0</v>
      </c>
      <c r="AC15" s="36">
        <f>VLOOKUP($A15,[26]HISTOJANV25!$A$6:$AU$51,43,0)</f>
        <v>0</v>
      </c>
      <c r="AD15" s="36">
        <f>VLOOKUP($A15,[26]HISTOJANV25!$A$6:$BR$51,47,0)</f>
        <v>0</v>
      </c>
      <c r="AE15" s="36">
        <f>VLOOKUP(A15,[26]HISTOJANV25!$A$6:$BR$51,54,0)</f>
        <v>0</v>
      </c>
      <c r="AF15" s="36">
        <f>VLOOKUP($A15,[26]HISTOJANV25!$A$6:$BR$51,60,0)</f>
        <v>0</v>
      </c>
      <c r="AG15" s="36">
        <f>VLOOKUP($A15,[26]HISTOJANV25!$A$6:$CB$51,61,0)</f>
        <v>0</v>
      </c>
      <c r="AH15" s="36">
        <f>VLOOKUP($A15,[26]HISTOJANV25!$A$6:$CB$51,62,0)</f>
        <v>0</v>
      </c>
      <c r="AI15" s="36">
        <f>VLOOKUP($A15,[26]HISTOJANV25!$A$6:$CB$51,63,0)</f>
        <v>0</v>
      </c>
      <c r="AJ15" s="36">
        <f>VLOOKUP($A15,[26]HISTOJANV25!$A$6:$BR$51,64,0)</f>
        <v>0</v>
      </c>
      <c r="AK15" s="36">
        <f>VLOOKUP($A15,[26]HISTOJANV25!$A$6:$BR$51,65,0)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VLOOKUP($A16,[26]HISTOJANV25!$A$6:$BA$51,48,0)</f>
        <v>0</v>
      </c>
      <c r="F16" s="36">
        <f>VLOOKUP(A16,MVTDEC24!A16:AM52,6,0)+MVTDEC24!H16-E16+L16</f>
        <v>864944.83346109837</v>
      </c>
      <c r="G16" s="5">
        <f>IF(MVTJANV25!F16&gt;800000,(MVTDEC24!I16-E16+L16),0)</f>
        <v>864944.83346109837</v>
      </c>
      <c r="H16" s="36">
        <f>VLOOKUP(A16,[27]MVTJANV25!$A$6:$AM$42,8,0)</f>
        <v>6360.6820834084838</v>
      </c>
      <c r="I16" s="6">
        <f t="shared" si="1"/>
        <v>871305.51554450684</v>
      </c>
      <c r="J16" s="36">
        <f>VLOOKUP($A16,[26]HISTOJANV25!$A$6:$AQ$51,22,0)</f>
        <v>0</v>
      </c>
      <c r="K16" s="36">
        <f>VLOOKUP($A16,[26]HISTOJANV25!$A$6:$AU$51,45,0)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VLOOKUP($A16,[26]HISTOJANV25!$A$6:$AU$51,8,0)</f>
        <v>0</v>
      </c>
      <c r="Q16" s="36">
        <f>VLOOKUP($A16,[26]HISTOJANV25!$A$6:$AU$51,23,0)</f>
        <v>0</v>
      </c>
      <c r="R16" s="36">
        <f>VLOOKUP($A16,[26]HISTOJANV25!$A$6:$AU$51,46,0)</f>
        <v>0</v>
      </c>
      <c r="S16" s="36">
        <f>VLOOKUP($A16,[26]HISTOJANV25!$A$6:$AU$51,26,0)</f>
        <v>0</v>
      </c>
      <c r="T16" s="36">
        <f>VLOOKUP($A16,[26]HISTOJANV25!$A$6:$BG$51,58,0)</f>
        <v>0</v>
      </c>
      <c r="U16" s="36">
        <f>VLOOKUP($A16,[26]HISTOJANV25!$A$6:$AU$51,28,0)</f>
        <v>0</v>
      </c>
      <c r="V16" s="36">
        <f>VLOOKUP($A16,[26]HISTOJANV25!$A$6:$AU$51,19,0)</f>
        <v>0</v>
      </c>
      <c r="W16" s="36">
        <f>VLOOKUP($A16,[26]HISTOJANV25!$A$6:$AU$51,20,0)</f>
        <v>0</v>
      </c>
      <c r="X16" s="36">
        <f>VLOOKUP($A16,[26]HISTOJANV25!$A$6:$AU$51,27,0)</f>
        <v>0</v>
      </c>
      <c r="Y16" s="36">
        <f>VLOOKUP($A16,[26]HISTOJANV25!$A$6:$BM$51,33,0)</f>
        <v>0</v>
      </c>
      <c r="Z16" s="36">
        <f>VLOOKUP($A16,[26]HISTOJANV25!$A$6:$BM$51,64,0)</f>
        <v>0</v>
      </c>
      <c r="AA16" s="36"/>
      <c r="AB16" s="36">
        <f>VLOOKUP($A16,[26]HISTOJANV25!$A$6:$AU$51,44,0)</f>
        <v>0</v>
      </c>
      <c r="AC16" s="36">
        <f>VLOOKUP($A16,[26]HISTOJANV25!$A$6:$AU$51,43,0)</f>
        <v>0</v>
      </c>
      <c r="AD16" s="36">
        <f>VLOOKUP($A16,[26]HISTOJANV25!$A$6:$BR$51,47,0)</f>
        <v>0</v>
      </c>
      <c r="AE16" s="36">
        <f>VLOOKUP(A16,[26]HISTOJANV25!$A$6:$BR$51,54,0)</f>
        <v>0</v>
      </c>
      <c r="AF16" s="36">
        <f>VLOOKUP($A16,[26]HISTOJANV25!$A$6:$BR$51,60,0)</f>
        <v>0</v>
      </c>
      <c r="AG16" s="36">
        <f>VLOOKUP($A16,[26]HISTOJANV25!$A$6:$CB$51,61,0)</f>
        <v>0</v>
      </c>
      <c r="AH16" s="36">
        <f>VLOOKUP($A16,[26]HISTOJANV25!$A$6:$CB$51,62,0)</f>
        <v>0</v>
      </c>
      <c r="AI16" s="36">
        <f>VLOOKUP($A16,[26]HISTOJANV25!$A$6:$CB$51,63,0)</f>
        <v>0</v>
      </c>
      <c r="AJ16" s="36">
        <f>VLOOKUP($A16,[26]HISTOJANV25!$A$6:$BR$51,64,0)</f>
        <v>0</v>
      </c>
      <c r="AK16" s="36">
        <f>VLOOKUP($A16,[26]HISTOJANV25!$A$6:$BR$51,65,0)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VLOOKUP($A17,[26]HISTOJANV25!$A$6:$BA$51,48,0)</f>
        <v>0</v>
      </c>
      <c r="F17" s="36">
        <f>VLOOKUP(A17,MVTDEC24!A17:AM53,6,0)+MVTDEC24!H17-E17+L17</f>
        <v>914062.3559450024</v>
      </c>
      <c r="G17" s="5">
        <f>IF(MVTJANV25!F17&gt;800000,(MVTDEC24!I17-E17+L17),0)</f>
        <v>914062.3559450024</v>
      </c>
      <c r="H17" s="36">
        <f>VLOOKUP(A17,[27]MVTJANV25!$A$6:$AM$42,8,0)</f>
        <v>6721.8854031561968</v>
      </c>
      <c r="I17" s="6">
        <f t="shared" si="1"/>
        <v>920784.24134815857</v>
      </c>
      <c r="J17" s="36">
        <f>VLOOKUP($A17,[26]HISTOJANV25!$A$6:$AQ$51,22,0)</f>
        <v>0</v>
      </c>
      <c r="K17" s="36">
        <f>VLOOKUP($A17,[26]HISTOJANV25!$A$6:$AU$51,45,0)</f>
        <v>75000</v>
      </c>
      <c r="L17" s="36">
        <f t="shared" si="2"/>
        <v>69000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VLOOKUP($A17,[26]HISTOJANV25!$A$6:$AU$51,8,0)</f>
        <v>0</v>
      </c>
      <c r="Q17" s="36">
        <f>VLOOKUP($A17,[26]HISTOJANV25!$A$6:$AU$51,23,0)</f>
        <v>0</v>
      </c>
      <c r="R17" s="36">
        <f>VLOOKUP($A17,[26]HISTOJANV25!$A$6:$AU$51,46,0)</f>
        <v>0</v>
      </c>
      <c r="S17" s="36">
        <f>VLOOKUP($A17,[26]HISTOJANV25!$A$6:$AU$51,26,0)</f>
        <v>0</v>
      </c>
      <c r="T17" s="36">
        <f>VLOOKUP($A17,[26]HISTOJANV25!$A$6:$BG$51,58,0)</f>
        <v>0</v>
      </c>
      <c r="U17" s="36">
        <f>VLOOKUP($A17,[26]HISTOJANV25!$A$6:$AU$51,28,0)</f>
        <v>0</v>
      </c>
      <c r="V17" s="36">
        <f>VLOOKUP($A17,[26]HISTOJANV25!$A$6:$AU$51,19,0)</f>
        <v>0</v>
      </c>
      <c r="W17" s="36">
        <f>VLOOKUP($A17,[26]HISTOJANV25!$A$6:$AU$51,20,0)</f>
        <v>0</v>
      </c>
      <c r="X17" s="36">
        <f>VLOOKUP($A17,[26]HISTOJANV25!$A$6:$AU$51,27,0)</f>
        <v>0</v>
      </c>
      <c r="Y17" s="36">
        <f>VLOOKUP($A17,[26]HISTOJANV25!$A$6:$BM$51,33,0)</f>
        <v>0</v>
      </c>
      <c r="Z17" s="36">
        <f>VLOOKUP($A17,[26]HISTOJANV25!$A$6:$BM$51,64,0)</f>
        <v>0</v>
      </c>
      <c r="AA17" s="36"/>
      <c r="AB17" s="36">
        <f>VLOOKUP($A17,[26]HISTOJANV25!$A$6:$AU$51,44,0)</f>
        <v>0</v>
      </c>
      <c r="AC17" s="36">
        <f>VLOOKUP($A17,[26]HISTOJANV25!$A$6:$AU$51,43,0)</f>
        <v>0</v>
      </c>
      <c r="AD17" s="36">
        <f>VLOOKUP($A17,[26]HISTOJANV25!$A$6:$BR$51,47,0)</f>
        <v>0</v>
      </c>
      <c r="AE17" s="36">
        <f>VLOOKUP(A17,[26]HISTOJANV25!$A$6:$BR$51,54,0)</f>
        <v>0</v>
      </c>
      <c r="AF17" s="36">
        <f>VLOOKUP($A17,[26]HISTOJANV25!$A$6:$BR$51,60,0)</f>
        <v>0</v>
      </c>
      <c r="AG17" s="36">
        <f>VLOOKUP($A17,[26]HISTOJANV25!$A$6:$CB$51,61,0)</f>
        <v>0</v>
      </c>
      <c r="AH17" s="36">
        <f>VLOOKUP($A17,[26]HISTOJANV25!$A$6:$CB$51,62,0)</f>
        <v>0</v>
      </c>
      <c r="AI17" s="36">
        <f>VLOOKUP($A17,[26]HISTOJANV25!$A$6:$CB$51,63,0)</f>
        <v>0</v>
      </c>
      <c r="AJ17" s="36">
        <f>VLOOKUP($A17,[26]HISTOJANV25!$A$6:$BR$51,64,0)</f>
        <v>0</v>
      </c>
      <c r="AK17" s="36">
        <f>VLOOKUP($A17,[26]HISTOJANV25!$A$6:$BR$51,65,0)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VLOOKUP($A18,[26]HISTOJANV25!$A$6:$BA$51,48,0)</f>
        <v>0</v>
      </c>
      <c r="F18" s="36">
        <f>VLOOKUP(A18,MVTDEC24!A18:AM54,6,0)+MVTDEC24!H18-E18+L18</f>
        <v>864116.85574409622</v>
      </c>
      <c r="G18" s="5">
        <f>IF(MVTJANV25!F18&gt;800000,(MVTDEC24!I18-E18+L18),0)</f>
        <v>864116.85574409622</v>
      </c>
      <c r="H18" s="36">
        <f>VLOOKUP(A18,[27]MVTJANV25!$A$6:$AM$42,8,0)</f>
        <v>6354.5932522758403</v>
      </c>
      <c r="I18" s="6">
        <f t="shared" si="1"/>
        <v>870471.44899637206</v>
      </c>
      <c r="J18" s="36">
        <f>VLOOKUP($A18,[26]HISTOJANV25!$A$6:$AQ$51,22,0)</f>
        <v>0</v>
      </c>
      <c r="K18" s="36">
        <f>VLOOKUP($A18,[26]HISTOJANV25!$A$6:$AU$51,45,0)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VLOOKUP($A18,[26]HISTOJANV25!$A$6:$AU$51,8,0)</f>
        <v>0</v>
      </c>
      <c r="Q18" s="36">
        <f>VLOOKUP($A18,[26]HISTOJANV25!$A$6:$AU$51,23,0)</f>
        <v>0</v>
      </c>
      <c r="R18" s="36">
        <f>VLOOKUP($A18,[26]HISTOJANV25!$A$6:$AU$51,46,0)</f>
        <v>0</v>
      </c>
      <c r="S18" s="36">
        <f>VLOOKUP($A18,[26]HISTOJANV25!$A$6:$AU$51,26,0)</f>
        <v>0</v>
      </c>
      <c r="T18" s="13">
        <f>VLOOKUP($A18,[26]HISTOJANV25!$A$6:$BG$51,58,0)+16500</f>
        <v>16500</v>
      </c>
      <c r="U18" s="36">
        <f>VLOOKUP($A18,[26]HISTOJANV25!$A$6:$AU$51,28,0)</f>
        <v>0</v>
      </c>
      <c r="V18" s="36">
        <f>VLOOKUP($A18,[26]HISTOJANV25!$A$6:$AU$51,19,0)</f>
        <v>346500</v>
      </c>
      <c r="W18" s="36" t="str">
        <f>VLOOKUP($A18,[26]HISTOJANV25!$A$6:$AU$51,20,0)</f>
        <v>BANQUE</v>
      </c>
      <c r="X18" s="36">
        <f>VLOOKUP($A18,[26]HISTOJANV25!$A$6:$AU$51,27,0)</f>
        <v>0</v>
      </c>
      <c r="Y18" s="36">
        <f>VLOOKUP($A18,[26]HISTOJANV25!$A$6:$BM$51,33,0)</f>
        <v>0</v>
      </c>
      <c r="Z18" s="36">
        <f>VLOOKUP($A18,[26]HISTOJANV25!$A$6:$BM$51,64,0)</f>
        <v>0</v>
      </c>
      <c r="AA18" s="36"/>
      <c r="AB18" s="36">
        <f>VLOOKUP($A18,[26]HISTOJANV25!$A$6:$AU$51,44,0)</f>
        <v>0</v>
      </c>
      <c r="AC18" s="36">
        <f>VLOOKUP($A18,[26]HISTOJANV25!$A$6:$AU$51,43,0)</f>
        <v>0</v>
      </c>
      <c r="AD18" s="36">
        <f>VLOOKUP($A18,[26]HISTOJANV25!$A$6:$BR$51,47,0)</f>
        <v>0</v>
      </c>
      <c r="AE18" s="36">
        <f>VLOOKUP(A18,[26]HISTOJANV25!$A$6:$BR$51,54,0)</f>
        <v>0</v>
      </c>
      <c r="AF18" s="36">
        <f>VLOOKUP($A18,[26]HISTOJANV25!$A$6:$BR$51,60,0)</f>
        <v>0</v>
      </c>
      <c r="AG18" s="36">
        <f>VLOOKUP($A18,[26]HISTOJANV25!$A$6:$CB$51,61,0)</f>
        <v>0</v>
      </c>
      <c r="AH18" s="36">
        <f>VLOOKUP($A18,[26]HISTOJANV25!$A$6:$CB$51,62,0)</f>
        <v>0</v>
      </c>
      <c r="AI18" s="36">
        <f>VLOOKUP($A18,[26]HISTOJANV25!$A$6:$CB$51,63,0)</f>
        <v>0</v>
      </c>
      <c r="AJ18" s="36">
        <f>VLOOKUP($A18,[26]HISTOJANV25!$A$6:$BR$51,64,0)</f>
        <v>0</v>
      </c>
      <c r="AK18" s="36">
        <f>VLOOKUP($A18,[26]HISTOJANV25!$A$6:$BR$51,65,0)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VLOOKUP($A19,[26]HISTOJANV25!$A$6:$BA$51,48,0)</f>
        <v>0</v>
      </c>
      <c r="F19" s="36">
        <f>VLOOKUP(A19,MVTDEC24!A19:AM55,6,0)+MVTDEC24!H19-E19+L19</f>
        <v>877880.48610074772</v>
      </c>
      <c r="G19" s="5">
        <f>IF(MVTJANV25!F19&gt;800000,(MVTDEC24!I19-E19+L19),0)</f>
        <v>877880.48610074772</v>
      </c>
      <c r="H19" s="36">
        <f>VLOOKUP(A19,[27]MVTJANV25!$A$6:$AM$42,8,0)</f>
        <v>6455.8090450355849</v>
      </c>
      <c r="I19" s="6">
        <f t="shared" si="1"/>
        <v>884336.29514578334</v>
      </c>
      <c r="J19" s="36">
        <f>VLOOKUP($A19,[26]HISTOJANV25!$A$6:$AQ$51,22,0)</f>
        <v>0</v>
      </c>
      <c r="K19" s="36">
        <f>VLOOKUP($A19,[26]HISTOJANV25!$A$6:$AU$51,45,0)</f>
        <v>35000</v>
      </c>
      <c r="L19" s="36">
        <f t="shared" si="2"/>
        <v>29000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VLOOKUP($A19,[26]HISTOJANV25!$A$6:$AU$51,8,0)</f>
        <v>0</v>
      </c>
      <c r="Q19" s="36">
        <f>VLOOKUP($A19,[26]HISTOJANV25!$A$6:$AU$51,23,0)</f>
        <v>0</v>
      </c>
      <c r="R19" s="36">
        <f>VLOOKUP($A19,[26]HISTOJANV25!$A$6:$AU$51,46,0)</f>
        <v>0</v>
      </c>
      <c r="S19" s="36">
        <f>VLOOKUP($A19,[26]HISTOJANV25!$A$6:$AU$51,26,0)</f>
        <v>0</v>
      </c>
      <c r="T19" s="36">
        <f>VLOOKUP($A19,[26]HISTOJANV25!$A$6:$BG$51,58,0)</f>
        <v>0</v>
      </c>
      <c r="U19" s="36">
        <f>VLOOKUP($A19,[26]HISTOJANV25!$A$6:$AU$51,28,0)</f>
        <v>0</v>
      </c>
      <c r="V19" s="36">
        <f>VLOOKUP($A19,[26]HISTOJANV25!$A$6:$AU$51,19,0)</f>
        <v>0</v>
      </c>
      <c r="W19" s="36">
        <f>VLOOKUP($A19,[26]HISTOJANV25!$A$6:$AU$51,20,0)</f>
        <v>0</v>
      </c>
      <c r="X19" s="36">
        <f>VLOOKUP($A19,[26]HISTOJANV25!$A$6:$AU$51,27,0)</f>
        <v>0</v>
      </c>
      <c r="Y19" s="36">
        <f>VLOOKUP($A19,[26]HISTOJANV25!$A$6:$BM$51,33,0)</f>
        <v>0</v>
      </c>
      <c r="Z19" s="36">
        <f>VLOOKUP($A19,[26]HISTOJANV25!$A$6:$BM$51,64,0)</f>
        <v>0</v>
      </c>
      <c r="AA19" s="36"/>
      <c r="AB19" s="36">
        <f>VLOOKUP($A19,[26]HISTOJANV25!$A$6:$AU$51,44,0)</f>
        <v>0</v>
      </c>
      <c r="AC19" s="36">
        <f>VLOOKUP($A19,[26]HISTOJANV25!$A$6:$AU$51,43,0)</f>
        <v>0</v>
      </c>
      <c r="AD19" s="36">
        <f>VLOOKUP($A19,[26]HISTOJANV25!$A$6:$BR$51,47,0)</f>
        <v>0</v>
      </c>
      <c r="AE19" s="36">
        <f>VLOOKUP(A19,[26]HISTOJANV25!$A$6:$BR$51,54,0)</f>
        <v>0</v>
      </c>
      <c r="AF19" s="36">
        <f>VLOOKUP($A19,[26]HISTOJANV25!$A$6:$BR$51,60,0)</f>
        <v>0</v>
      </c>
      <c r="AG19" s="36">
        <f>VLOOKUP($A19,[26]HISTOJANV25!$A$6:$CB$51,61,0)</f>
        <v>0</v>
      </c>
      <c r="AH19" s="36">
        <f>VLOOKUP($A19,[26]HISTOJANV25!$A$6:$CB$51,62,0)</f>
        <v>0</v>
      </c>
      <c r="AI19" s="36">
        <f>VLOOKUP($A19,[26]HISTOJANV25!$A$6:$CB$51,63,0)</f>
        <v>0</v>
      </c>
      <c r="AJ19" s="36">
        <f>VLOOKUP($A19,[26]HISTOJANV25!$A$6:$BR$51,64,0)</f>
        <v>0</v>
      </c>
      <c r="AK19" s="36">
        <f>VLOOKUP($A19,[26]HISTOJANV25!$A$6:$BR$51,65,0)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VLOOKUP($A20,[26]HISTOJANV25!$A$6:$BA$51,48,0)</f>
        <v>0</v>
      </c>
      <c r="F20" s="36">
        <f>VLOOKUP(A20,MVTDEC24!A20:AM56,6,0)+MVTDEC24!H20-E20+L20</f>
        <v>676217</v>
      </c>
      <c r="G20" s="5">
        <f>IF(MVTJANV25!F20&gt;800000,(MVTDEC24!I20-E20+L20),0)</f>
        <v>0</v>
      </c>
      <c r="H20" s="36">
        <f>VLOOKUP(A20,[27]MVTJANV25!$A$6:$AM$42,8,0)</f>
        <v>0</v>
      </c>
      <c r="I20" s="6">
        <f t="shared" ref="I20" si="9">F20+H20</f>
        <v>676217</v>
      </c>
      <c r="J20" s="36">
        <f>VLOOKUP($A20,[26]HISTOJANV25!$A$6:$AQ$51,22,0)</f>
        <v>0</v>
      </c>
      <c r="K20" s="36">
        <f>VLOOKUP($A20,[26]HISTOJANV25!$A$6:$AU$51,45,0)</f>
        <v>0</v>
      </c>
      <c r="L20" s="36">
        <f t="shared" ref="L20" si="10">IF(K20=0,0,K20-(M20+N20+O20))</f>
        <v>0</v>
      </c>
      <c r="M20" s="36">
        <f t="shared" ref="M20" si="11">IF(K20=0,0,1000)</f>
        <v>0</v>
      </c>
      <c r="N20" s="36">
        <f t="shared" ref="N20" si="12">IF(K20=0,0,1000)</f>
        <v>0</v>
      </c>
      <c r="O20" s="36">
        <f t="shared" ref="O20" si="13">IF(K20=0,0,4000)</f>
        <v>0</v>
      </c>
      <c r="P20" s="36">
        <f>VLOOKUP($A20,[26]HISTOJANV25!$A$6:$AU$51,8,0)</f>
        <v>0</v>
      </c>
      <c r="Q20" s="36">
        <f>VLOOKUP($A20,[26]HISTOJANV25!$A$6:$AU$51,23,0)</f>
        <v>0</v>
      </c>
      <c r="R20" s="36">
        <f>VLOOKUP($A20,[26]HISTOJANV25!$A$6:$AU$51,46,0)</f>
        <v>0</v>
      </c>
      <c r="S20" s="36">
        <f>VLOOKUP($A20,[26]HISTOJANV25!$A$6:$AU$51,26,0)</f>
        <v>0</v>
      </c>
      <c r="T20" s="36">
        <f>VLOOKUP($A20,[26]HISTOJANV25!$A$6:$BG$51,58,0)</f>
        <v>0</v>
      </c>
      <c r="U20" s="36">
        <f>VLOOKUP($A20,[26]HISTOJANV25!$A$6:$AU$51,28,0)</f>
        <v>0</v>
      </c>
      <c r="V20" s="36">
        <f>VLOOKUP($A20,[26]HISTOJANV25!$A$6:$AU$51,19,0)</f>
        <v>0</v>
      </c>
      <c r="W20" s="36">
        <f>VLOOKUP($A20,[26]HISTOJANV25!$A$6:$AU$51,20,0)</f>
        <v>0</v>
      </c>
      <c r="X20" s="36">
        <f>VLOOKUP($A20,[26]HISTOJANV25!$A$6:$AU$51,27,0)</f>
        <v>0</v>
      </c>
      <c r="Y20" s="36">
        <f>VLOOKUP($A20,[26]HISTOJANV25!$A$6:$BM$51,33,0)</f>
        <v>0</v>
      </c>
      <c r="Z20" s="36">
        <f>VLOOKUP($A20,[26]HISTOJANV25!$A$6:$BM$51,64,0)</f>
        <v>0</v>
      </c>
      <c r="AA20" s="36"/>
      <c r="AB20" s="36">
        <f>VLOOKUP($A20,[26]HISTOJANV25!$A$6:$AU$51,44,0)</f>
        <v>0</v>
      </c>
      <c r="AC20" s="36">
        <f>VLOOKUP($A20,[26]HISTOJANV25!$A$6:$AU$51,43,0)</f>
        <v>0</v>
      </c>
      <c r="AD20" s="36">
        <f>VLOOKUP($A20,[26]HISTOJANV25!$A$6:$BR$51,47,0)</f>
        <v>0</v>
      </c>
      <c r="AE20" s="36">
        <f>VLOOKUP(A20,[26]HISTOJANV25!$A$6:$BR$51,54,0)</f>
        <v>0</v>
      </c>
      <c r="AF20" s="36">
        <f>VLOOKUP($A20,[26]HISTOJANV25!$A$6:$BR$51,60,0)</f>
        <v>0</v>
      </c>
      <c r="AG20" s="36">
        <f>VLOOKUP($A20,[26]HISTOJANV25!$A$6:$CB$51,61,0)</f>
        <v>0</v>
      </c>
      <c r="AH20" s="36">
        <f>VLOOKUP($A20,[26]HISTOJANV25!$A$6:$CB$51,62,0)</f>
        <v>0</v>
      </c>
      <c r="AI20" s="36">
        <f>VLOOKUP($A20,[26]HISTOJANV25!$A$6:$CB$51,63,0)</f>
        <v>0</v>
      </c>
      <c r="AJ20" s="36">
        <f>VLOOKUP($A20,[26]HISTOJANV25!$A$6:$BR$51,64,0)</f>
        <v>0</v>
      </c>
      <c r="AK20" s="36">
        <f>VLOOKUP($A20,[26]HISTOJANV25!$A$6:$BR$51,65,0)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VLOOKUP($A21,[26]HISTOJANV25!$A$6:$BA$51,48,0)</f>
        <v>0</v>
      </c>
      <c r="F21" s="36">
        <f>VLOOKUP(A21,MVTDEC24!A21:AM56,6,0)+MVTDEC24!H21-E21+L21</f>
        <v>1016250</v>
      </c>
      <c r="G21" s="5">
        <f>IF(MVTJANV25!F21&gt;800000,(MVTDEC24!I21-E21+L21),0)</f>
        <v>1016250</v>
      </c>
      <c r="H21" s="36">
        <f>VLOOKUP(A21,[27]MVTJANV25!$A$6:$AM$42,8,0)</f>
        <v>7473.3588978129865</v>
      </c>
      <c r="I21" s="6">
        <f t="shared" si="1"/>
        <v>1023723.358897813</v>
      </c>
      <c r="J21" s="36">
        <f>VLOOKUP($A21,[26]HISTOJANV25!$A$6:$AQ$51,22,0)</f>
        <v>0</v>
      </c>
      <c r="K21" s="36">
        <f>VLOOKUP($A21,[26]HISTOJANV25!$A$6:$AU$51,45,0)</f>
        <v>625000</v>
      </c>
      <c r="L21" s="36">
        <f>IF(K21=0,0,K21-(M21+N21+O21))+198625</f>
        <v>817625</v>
      </c>
      <c r="M21" s="36">
        <f t="shared" ref="M21" si="14">IF(K21=0,0,1000)</f>
        <v>1000</v>
      </c>
      <c r="N21" s="36">
        <f t="shared" ref="N21" si="15">IF(K21=0,0,1000)</f>
        <v>1000</v>
      </c>
      <c r="O21" s="36">
        <f t="shared" ref="O21" si="16">IF(K21=0,0,4000)</f>
        <v>4000</v>
      </c>
      <c r="P21" s="36">
        <f>VLOOKUP($A21,[26]HISTOJANV25!$A$6:$AU$51,8,0)</f>
        <v>0</v>
      </c>
      <c r="Q21" s="36">
        <f>VLOOKUP($A21,[26]HISTOJANV25!$A$6:$AU$51,23,0)</f>
        <v>0</v>
      </c>
      <c r="R21" s="36">
        <f>VLOOKUP($A21,[26]HISTOJANV25!$A$6:$AU$51,46,0)</f>
        <v>0</v>
      </c>
      <c r="S21" s="36">
        <f>VLOOKUP($A21,[26]HISTOJANV25!$A$6:$AU$51,26,0)</f>
        <v>0</v>
      </c>
      <c r="T21" s="36">
        <f>VLOOKUP($A21,[26]HISTOJANV25!$A$6:$BG$51,58,0)</f>
        <v>0</v>
      </c>
      <c r="U21" s="36">
        <f>VLOOKUP($A21,[26]HISTOJANV25!$A$6:$AU$51,28,0)</f>
        <v>0</v>
      </c>
      <c r="V21" s="36">
        <f>VLOOKUP($A21,[26]HISTOJANV25!$A$6:$AU$51,19,0)</f>
        <v>0</v>
      </c>
      <c r="W21" s="36">
        <f>VLOOKUP($A21,[26]HISTOJANV25!$A$6:$AU$51,20,0)</f>
        <v>0</v>
      </c>
      <c r="X21" s="36">
        <f>VLOOKUP($A21,[26]HISTOJANV25!$A$6:$AU$51,27,0)</f>
        <v>0</v>
      </c>
      <c r="Y21" s="36">
        <f>VLOOKUP($A21,[26]HISTOJANV25!$A$6:$BM$51,33,0)</f>
        <v>0</v>
      </c>
      <c r="Z21" s="36">
        <f>VLOOKUP($A21,[26]HISTOJANV25!$A$6:$BM$51,64,0)</f>
        <v>0</v>
      </c>
      <c r="AA21" s="36"/>
      <c r="AB21" s="36">
        <f>VLOOKUP($A21,[26]HISTOJANV25!$A$6:$AU$51,44,0)</f>
        <v>0</v>
      </c>
      <c r="AC21" s="36">
        <f>VLOOKUP($A21,[26]HISTOJANV25!$A$6:$AU$51,43,0)</f>
        <v>0</v>
      </c>
      <c r="AD21" s="36">
        <f>VLOOKUP($A21,[26]HISTOJANV25!$A$6:$BR$51,47,0)</f>
        <v>0</v>
      </c>
      <c r="AE21" s="36">
        <f>VLOOKUP(A21,[26]HISTOJANV25!$A$6:$BR$51,54,0)</f>
        <v>0</v>
      </c>
      <c r="AF21" s="36">
        <f>VLOOKUP($A21,[26]HISTOJANV25!$A$6:$BR$51,60,0)</f>
        <v>0</v>
      </c>
      <c r="AG21" s="36">
        <f>VLOOKUP($A21,[26]HISTOJANV25!$A$6:$CB$51,61,0)</f>
        <v>0</v>
      </c>
      <c r="AH21" s="36">
        <f>VLOOKUP($A21,[26]HISTOJANV25!$A$6:$CB$51,62,0)</f>
        <v>0</v>
      </c>
      <c r="AI21" s="36">
        <f>VLOOKUP($A21,[26]HISTOJANV25!$A$6:$CB$51,63,0)</f>
        <v>0</v>
      </c>
      <c r="AJ21" s="36">
        <f>VLOOKUP($A21,[26]HISTOJANV25!$A$6:$BR$51,64,0)</f>
        <v>0</v>
      </c>
      <c r="AK21" s="36">
        <f>VLOOKUP($A21,[26]HISTOJANV25!$A$6:$BR$51,65,0)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VLOOKUP($A22,[26]HISTOJANV25!$A$6:$BA$51,48,0)</f>
        <v>0</v>
      </c>
      <c r="F22" s="36">
        <f>VLOOKUP(A22,MVTDEC24!A22:AM57,6,0)+MVTDEC24!H22-E22+L22</f>
        <v>866368.11667589447</v>
      </c>
      <c r="G22" s="5">
        <f>IF(MVTJANV25!F22&gt;800000,(MVTDEC24!I22-E22+L22),0)</f>
        <v>866368.11667589447</v>
      </c>
      <c r="H22" s="36">
        <f>VLOOKUP(A22,[27]MVTJANV25!$A$6:$AM$42,8,0)</f>
        <v>6371.148707051686</v>
      </c>
      <c r="I22" s="6">
        <f t="shared" si="1"/>
        <v>872739.26538294612</v>
      </c>
      <c r="J22" s="36">
        <f>VLOOKUP($A22,[26]HISTOJANV25!$A$6:$AQ$51,22,0)</f>
        <v>0</v>
      </c>
      <c r="K22" s="36">
        <f>VLOOKUP($A22,[26]HISTOJANV25!$A$6:$AU$51,45,0)</f>
        <v>25000</v>
      </c>
      <c r="L22" s="36">
        <f t="shared" si="2"/>
        <v>19000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VLOOKUP($A22,[26]HISTOJANV25!$A$6:$AU$51,8,0)</f>
        <v>0</v>
      </c>
      <c r="Q22" s="36">
        <f>VLOOKUP($A22,[26]HISTOJANV25!$A$6:$AU$51,23,0)</f>
        <v>0</v>
      </c>
      <c r="R22" s="36">
        <f>VLOOKUP($A22,[26]HISTOJANV25!$A$6:$AU$51,46,0)</f>
        <v>0</v>
      </c>
      <c r="S22" s="36">
        <f>VLOOKUP($A22,[26]HISTOJANV25!$A$6:$AU$51,26,0)</f>
        <v>0</v>
      </c>
      <c r="T22" s="36">
        <f>VLOOKUP($A22,[26]HISTOJANV25!$A$6:$BG$51,58,0)</f>
        <v>0</v>
      </c>
      <c r="U22" s="36">
        <f>VLOOKUP($A22,[26]HISTOJANV25!$A$6:$AU$51,28,0)</f>
        <v>0</v>
      </c>
      <c r="V22" s="36">
        <f>VLOOKUP($A22,[26]HISTOJANV25!$A$6:$AU$51,19,0)</f>
        <v>0</v>
      </c>
      <c r="W22" s="36">
        <f>VLOOKUP($A22,[26]HISTOJANV25!$A$6:$AU$51,20,0)</f>
        <v>0</v>
      </c>
      <c r="X22" s="36">
        <f>VLOOKUP($A22,[26]HISTOJANV25!$A$6:$AU$51,27,0)</f>
        <v>0</v>
      </c>
      <c r="Y22" s="36">
        <f>VLOOKUP($A22,[26]HISTOJANV25!$A$6:$BM$51,33,0)</f>
        <v>0</v>
      </c>
      <c r="Z22" s="36">
        <f>VLOOKUP($A22,[26]HISTOJANV25!$A$6:$BM$51,64,0)</f>
        <v>0</v>
      </c>
      <c r="AA22" s="36"/>
      <c r="AB22" s="36">
        <f>VLOOKUP($A22,[26]HISTOJANV25!$A$6:$AU$51,44,0)</f>
        <v>0</v>
      </c>
      <c r="AC22" s="36">
        <f>VLOOKUP($A22,[26]HISTOJANV25!$A$6:$AU$51,43,0)</f>
        <v>0</v>
      </c>
      <c r="AD22" s="36">
        <f>VLOOKUP($A22,[26]HISTOJANV25!$A$6:$BR$51,47,0)</f>
        <v>0</v>
      </c>
      <c r="AE22" s="36">
        <f>VLOOKUP(A22,[26]HISTOJANV25!$A$6:$BR$51,54,0)</f>
        <v>0</v>
      </c>
      <c r="AF22" s="36">
        <f>VLOOKUP($A22,[26]HISTOJANV25!$A$6:$BR$51,60,0)</f>
        <v>0</v>
      </c>
      <c r="AG22" s="36">
        <f>VLOOKUP($A22,[26]HISTOJANV25!$A$6:$CB$51,61,0)</f>
        <v>0</v>
      </c>
      <c r="AH22" s="36">
        <f>VLOOKUP($A22,[26]HISTOJANV25!$A$6:$CB$51,62,0)</f>
        <v>0</v>
      </c>
      <c r="AI22" s="36">
        <f>VLOOKUP($A22,[26]HISTOJANV25!$A$6:$CB$51,63,0)</f>
        <v>0</v>
      </c>
      <c r="AJ22" s="36">
        <f>VLOOKUP($A22,[26]HISTOJANV25!$A$6:$BR$51,64,0)</f>
        <v>0</v>
      </c>
      <c r="AK22" s="36">
        <f>VLOOKUP($A22,[26]HISTOJANV25!$A$6:$BR$51,65,0)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VLOOKUP($A23,[26]HISTOJANV25!$A$6:$BA$51,48,0)</f>
        <v>0</v>
      </c>
      <c r="F23" s="36">
        <f>VLOOKUP(A23,MVTDEC24!A23:AM58,6,0)+MVTDEC24!H23-E23+L23</f>
        <v>865653.33084931783</v>
      </c>
      <c r="G23" s="5">
        <f>IF(MVTJANV25!F23&gt;800000,(MVTDEC24!I23-E23+L23),0)</f>
        <v>865653.33084931783</v>
      </c>
      <c r="H23" s="36">
        <f>VLOOKUP(A23,[27]MVTJANV25!$A$6:$AM$42,8,0)</f>
        <v>6365.8922730865424</v>
      </c>
      <c r="I23" s="6">
        <f t="shared" si="1"/>
        <v>872019.22312240442</v>
      </c>
      <c r="J23" s="36">
        <f>VLOOKUP($A23,[26]HISTOJANV25!$A$6:$AQ$51,22,0)</f>
        <v>0</v>
      </c>
      <c r="K23" s="36">
        <f>VLOOKUP($A23,[26]HISTOJANV25!$A$6:$AU$51,45,0)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VLOOKUP($A23,[26]HISTOJANV25!$A$6:$AU$51,8,0)</f>
        <v>0</v>
      </c>
      <c r="Q23" s="36">
        <f>VLOOKUP($A23,[26]HISTOJANV25!$A$6:$AU$51,23,0)</f>
        <v>0</v>
      </c>
      <c r="R23" s="36">
        <f>VLOOKUP($A23,[26]HISTOJANV25!$A$6:$AU$51,46,0)</f>
        <v>0</v>
      </c>
      <c r="S23" s="36">
        <f>VLOOKUP($A23,[26]HISTOJANV25!$A$6:$AU$51,26,0)</f>
        <v>0</v>
      </c>
      <c r="T23" s="36">
        <f>VLOOKUP($A23,[26]HISTOJANV25!$A$6:$BG$51,58,0)</f>
        <v>0</v>
      </c>
      <c r="U23" s="36">
        <f>VLOOKUP($A23,[26]HISTOJANV25!$A$6:$AU$51,28,0)</f>
        <v>0</v>
      </c>
      <c r="V23" s="36">
        <f>VLOOKUP($A23,[26]HISTOJANV25!$A$6:$AU$51,19,0)</f>
        <v>0</v>
      </c>
      <c r="W23" s="36">
        <f>VLOOKUP($A23,[26]HISTOJANV25!$A$6:$AU$51,20,0)</f>
        <v>0</v>
      </c>
      <c r="X23" s="36">
        <f>VLOOKUP($A23,[26]HISTOJANV25!$A$6:$AU$51,27,0)</f>
        <v>0</v>
      </c>
      <c r="Y23" s="36">
        <f>VLOOKUP($A23,[26]HISTOJANV25!$A$6:$BM$51,33,0)</f>
        <v>0</v>
      </c>
      <c r="Z23" s="36">
        <f>VLOOKUP($A23,[26]HISTOJANV25!$A$6:$BM$51,64,0)</f>
        <v>0</v>
      </c>
      <c r="AA23" s="36"/>
      <c r="AB23" s="36">
        <f>VLOOKUP($A23,[26]HISTOJANV25!$A$6:$AU$51,44,0)</f>
        <v>0</v>
      </c>
      <c r="AC23" s="36">
        <f>VLOOKUP($A23,[26]HISTOJANV25!$A$6:$AU$51,43,0)</f>
        <v>0</v>
      </c>
      <c r="AD23" s="36">
        <f>VLOOKUP($A23,[26]HISTOJANV25!$A$6:$BR$51,47,0)</f>
        <v>0</v>
      </c>
      <c r="AE23" s="36">
        <f>VLOOKUP(A23,[26]HISTOJANV25!$A$6:$BR$51,54,0)</f>
        <v>0</v>
      </c>
      <c r="AF23" s="36">
        <f>VLOOKUP($A23,[26]HISTOJANV25!$A$6:$BR$51,60,0)</f>
        <v>0</v>
      </c>
      <c r="AG23" s="36">
        <f>VLOOKUP($A23,[26]HISTOJANV25!$A$6:$CB$51,61,0)</f>
        <v>0</v>
      </c>
      <c r="AH23" s="36">
        <f>VLOOKUP($A23,[26]HISTOJANV25!$A$6:$CB$51,62,0)</f>
        <v>0</v>
      </c>
      <c r="AI23" s="36">
        <f>VLOOKUP($A23,[26]HISTOJANV25!$A$6:$CB$51,63,0)</f>
        <v>0</v>
      </c>
      <c r="AJ23" s="36">
        <f>VLOOKUP($A23,[26]HISTOJANV25!$A$6:$BR$51,64,0)</f>
        <v>0</v>
      </c>
      <c r="AK23" s="36">
        <f>VLOOKUP($A23,[26]HISTOJANV25!$A$6:$BR$51,65,0)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VLOOKUP($A24,[26]HISTOJANV25!$A$6:$BA$51,48,0)</f>
        <v>0</v>
      </c>
      <c r="F24" s="36">
        <f>VLOOKUP(A24,MVTDEC24!A24:AM59,6,0)+MVTDEC24!H24-E24+L24</f>
        <v>1118699.0422610678</v>
      </c>
      <c r="G24" s="5">
        <f>IF(MVTJANV25!F24&gt;800000,(MVTDEC24!I24-E24+L24),0)</f>
        <v>1118699.0422610678</v>
      </c>
      <c r="H24" s="36">
        <f>VLOOKUP(A24,[27]MVTJANV25!$A$6:$AM$42,8,0)</f>
        <v>8226.7546779400909</v>
      </c>
      <c r="I24" s="6">
        <f t="shared" si="1"/>
        <v>1126925.7969390079</v>
      </c>
      <c r="J24" s="36">
        <f>VLOOKUP($A24,[26]HISTOJANV25!$A$6:$AQ$51,22,0)</f>
        <v>0</v>
      </c>
      <c r="K24" s="36">
        <f>VLOOKUP($A24,[26]HISTOJANV25!$A$6:$AU$51,45,0)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VLOOKUP($A24,[26]HISTOJANV25!$A$6:$AU$51,8,0)</f>
        <v>0</v>
      </c>
      <c r="Q24" s="36">
        <f>VLOOKUP($A24,[26]HISTOJANV25!$A$6:$AU$51,23,0)</f>
        <v>0</v>
      </c>
      <c r="R24" s="36">
        <f>VLOOKUP($A24,[26]HISTOJANV25!$A$6:$AU$51,46,0)</f>
        <v>0</v>
      </c>
      <c r="S24" s="36">
        <f>VLOOKUP($A24,[26]HISTOJANV25!$A$6:$AU$51,26,0)</f>
        <v>0</v>
      </c>
      <c r="T24" s="36">
        <f>VLOOKUP($A24,[26]HISTOJANV25!$A$6:$BG$51,58,0)</f>
        <v>0</v>
      </c>
      <c r="U24" s="36">
        <f>VLOOKUP($A24,[26]HISTOJANV25!$A$6:$AU$51,28,0)</f>
        <v>0</v>
      </c>
      <c r="V24" s="36">
        <f>VLOOKUP($A24,[26]HISTOJANV25!$A$6:$AU$51,19,0)</f>
        <v>0</v>
      </c>
      <c r="W24" s="36">
        <f>VLOOKUP($A24,[26]HISTOJANV25!$A$6:$AU$51,20,0)</f>
        <v>0</v>
      </c>
      <c r="X24" s="36">
        <f>VLOOKUP($A24,[26]HISTOJANV25!$A$6:$AU$51,27,0)</f>
        <v>0</v>
      </c>
      <c r="Y24" s="36">
        <f>VLOOKUP($A24,[26]HISTOJANV25!$A$6:$BM$51,33,0)</f>
        <v>0</v>
      </c>
      <c r="Z24" s="36">
        <f>VLOOKUP($A24,[26]HISTOJANV25!$A$6:$BM$51,64,0)</f>
        <v>0</v>
      </c>
      <c r="AA24" s="36"/>
      <c r="AB24" s="36">
        <f>VLOOKUP($A24,[26]HISTOJANV25!$A$6:$AU$51,44,0)</f>
        <v>0</v>
      </c>
      <c r="AC24" s="36">
        <f>VLOOKUP($A24,[26]HISTOJANV25!$A$6:$AU$51,43,0)</f>
        <v>0</v>
      </c>
      <c r="AD24" s="36">
        <f>VLOOKUP($A24,[26]HISTOJANV25!$A$6:$BR$51,47,0)</f>
        <v>0</v>
      </c>
      <c r="AE24" s="36">
        <f>VLOOKUP(A24,[26]HISTOJANV25!$A$6:$BR$51,54,0)</f>
        <v>0</v>
      </c>
      <c r="AF24" s="36">
        <f>VLOOKUP($A24,[26]HISTOJANV25!$A$6:$BR$51,60,0)</f>
        <v>0</v>
      </c>
      <c r="AG24" s="36">
        <f>VLOOKUP($A24,[26]HISTOJANV25!$A$6:$CB$51,61,0)</f>
        <v>0</v>
      </c>
      <c r="AH24" s="36">
        <f>VLOOKUP($A24,[26]HISTOJANV25!$A$6:$CB$51,62,0)</f>
        <v>0</v>
      </c>
      <c r="AI24" s="36">
        <f>VLOOKUP($A24,[26]HISTOJANV25!$A$6:$CB$51,63,0)</f>
        <v>0</v>
      </c>
      <c r="AJ24" s="36">
        <f>VLOOKUP($A24,[26]HISTOJANV25!$A$6:$BR$51,64,0)</f>
        <v>0</v>
      </c>
      <c r="AK24" s="36">
        <f>VLOOKUP($A24,[26]HISTOJANV25!$A$6:$BR$51,65,0)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VLOOKUP($A25,[26]HISTOJANV25!$A$6:$BA$51,48,0)</f>
        <v>0</v>
      </c>
      <c r="F25" s="36">
        <f>VLOOKUP(A25,MVTDEC24!A25:AM60,6,0)+MVTDEC24!H25-E25+L25</f>
        <v>1135930.7463715931</v>
      </c>
      <c r="G25" s="5">
        <f>IF(MVTJANV25!F25&gt;800000,(MVTDEC24!I25-E25+L25),0)</f>
        <v>1135930.7463715931</v>
      </c>
      <c r="H25" s="36">
        <f>VLOOKUP(A25,[27]MVTJANV25!$A$6:$AM$42,8,0)</f>
        <v>8353.4741950263142</v>
      </c>
      <c r="I25" s="6">
        <f t="shared" si="1"/>
        <v>1144284.2205666194</v>
      </c>
      <c r="J25" s="36">
        <f>VLOOKUP($A25,[26]HISTOJANV25!$A$6:$AQ$51,22,0)</f>
        <v>0</v>
      </c>
      <c r="K25" s="36">
        <f>VLOOKUP($A25,[26]HISTOJANV25!$A$6:$AU$51,45,0)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VLOOKUP($A25,[26]HISTOJANV25!$A$6:$AU$51,8,0)</f>
        <v>0</v>
      </c>
      <c r="Q25" s="36">
        <f>VLOOKUP($A25,[26]HISTOJANV25!$A$6:$AU$51,23,0)</f>
        <v>0</v>
      </c>
      <c r="R25" s="36">
        <f>VLOOKUP($A25,[26]HISTOJANV25!$A$6:$AU$51,46,0)</f>
        <v>0</v>
      </c>
      <c r="S25" s="36">
        <f>VLOOKUP($A25,[26]HISTOJANV25!$A$6:$AU$51,26,0)</f>
        <v>0</v>
      </c>
      <c r="T25" s="36">
        <f>VLOOKUP($A25,[26]HISTOJANV25!$A$6:$BG$51,58,0)</f>
        <v>0</v>
      </c>
      <c r="U25" s="36">
        <f>VLOOKUP($A25,[26]HISTOJANV25!$A$6:$AU$51,28,0)</f>
        <v>0</v>
      </c>
      <c r="V25" s="36">
        <f>VLOOKUP($A25,[26]HISTOJANV25!$A$6:$AU$51,19,0)</f>
        <v>0</v>
      </c>
      <c r="W25" s="36">
        <f>VLOOKUP($A25,[26]HISTOJANV25!$A$6:$AU$51,20,0)</f>
        <v>0</v>
      </c>
      <c r="X25" s="36">
        <f>VLOOKUP($A25,[26]HISTOJANV25!$A$6:$AU$51,27,0)</f>
        <v>0</v>
      </c>
      <c r="Y25" s="36">
        <f>VLOOKUP($A25,[26]HISTOJANV25!$A$6:$BM$51,33,0)</f>
        <v>0</v>
      </c>
      <c r="Z25" s="36">
        <f>VLOOKUP($A25,[26]HISTOJANV25!$A$6:$BM$51,64,0)</f>
        <v>0</v>
      </c>
      <c r="AA25" s="36"/>
      <c r="AB25" s="36">
        <f>VLOOKUP($A25,[26]HISTOJANV25!$A$6:$AU$51,44,0)</f>
        <v>0</v>
      </c>
      <c r="AC25" s="36">
        <f>VLOOKUP($A25,[26]HISTOJANV25!$A$6:$AU$51,43,0)</f>
        <v>0</v>
      </c>
      <c r="AD25" s="36">
        <f>VLOOKUP($A25,[26]HISTOJANV25!$A$6:$BR$51,47,0)</f>
        <v>0</v>
      </c>
      <c r="AE25" s="36">
        <f>VLOOKUP(A25,[26]HISTOJANV25!$A$6:$BR$51,54,0)</f>
        <v>0</v>
      </c>
      <c r="AF25" s="36">
        <f>VLOOKUP($A25,[26]HISTOJANV25!$A$6:$BR$51,60,0)</f>
        <v>0</v>
      </c>
      <c r="AG25" s="36">
        <f>VLOOKUP($A25,[26]HISTOJANV25!$A$6:$CB$51,61,0)</f>
        <v>0</v>
      </c>
      <c r="AH25" s="36">
        <f>VLOOKUP($A25,[26]HISTOJANV25!$A$6:$CB$51,62,0)</f>
        <v>0</v>
      </c>
      <c r="AI25" s="36">
        <f>VLOOKUP($A25,[26]HISTOJANV25!$A$6:$CB$51,63,0)</f>
        <v>0</v>
      </c>
      <c r="AJ25" s="36">
        <f>VLOOKUP($A25,[26]HISTOJANV25!$A$6:$BR$51,64,0)</f>
        <v>0</v>
      </c>
      <c r="AK25" s="36">
        <f>VLOOKUP($A25,[26]HISTOJANV25!$A$6:$BR$51,65,0)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VLOOKUP($A26,[26]HISTOJANV25!$A$6:$BA$51,48,0)</f>
        <v>0</v>
      </c>
      <c r="F26" s="36">
        <f>VLOOKUP(A26,MVTDEC24!A26:AM61,6,0)+MVTDEC24!H26-E26+L26</f>
        <v>1242801.3516085236</v>
      </c>
      <c r="G26" s="5">
        <f>IF(MVTJANV25!F26&gt;800000,(MVTDEC24!I26-E26+L26),0)</f>
        <v>1242801.3516085236</v>
      </c>
      <c r="H26" s="36">
        <f>VLOOKUP(A26,[27]MVTJANV25!$A$6:$AM$42,8,0)</f>
        <v>9139.3855244846909</v>
      </c>
      <c r="I26" s="6">
        <f t="shared" si="1"/>
        <v>1251940.7371330084</v>
      </c>
      <c r="J26" s="36">
        <f>VLOOKUP($A26,[26]HISTOJANV25!$A$6:$AQ$51,22,0)</f>
        <v>0</v>
      </c>
      <c r="K26" s="36">
        <f>VLOOKUP($A26,[26]HISTOJANV25!$A$6:$AU$51,45,0)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VLOOKUP($A26,[26]HISTOJANV25!$A$6:$AU$51,8,0)</f>
        <v>0</v>
      </c>
      <c r="Q26" s="36">
        <f>VLOOKUP($A26,[26]HISTOJANV25!$A$6:$AU$51,23,0)</f>
        <v>0</v>
      </c>
      <c r="R26" s="36">
        <f>VLOOKUP($A26,[26]HISTOJANV25!$A$6:$AU$51,46,0)</f>
        <v>0</v>
      </c>
      <c r="S26" s="36">
        <f>VLOOKUP($A26,[26]HISTOJANV25!$A$6:$AU$51,26,0)</f>
        <v>1000000</v>
      </c>
      <c r="T26" s="36">
        <f>VLOOKUP($A26,[26]HISTOJANV25!$A$6:$BG$51,58,0)</f>
        <v>110000</v>
      </c>
      <c r="U26" s="36">
        <f>VLOOKUP($A26,[26]HISTOJANV25!$A$6:$AU$51,28,0)</f>
        <v>0</v>
      </c>
      <c r="V26" s="36">
        <f>VLOOKUP($A26,[26]HISTOJANV25!$A$6:$AU$51,19,0)</f>
        <v>0</v>
      </c>
      <c r="W26" s="36">
        <f>VLOOKUP($A26,[26]HISTOJANV25!$A$6:$AU$51,20,0)</f>
        <v>0</v>
      </c>
      <c r="X26" s="36" t="str">
        <f>VLOOKUP($A26,[26]HISTOJANV25!$A$6:$AU$51,27,0)</f>
        <v>BANQUE</v>
      </c>
      <c r="Y26" s="36">
        <f>VLOOKUP($A26,[26]HISTOJANV25!$A$6:$BM$51,33,0)</f>
        <v>0</v>
      </c>
      <c r="Z26" s="36">
        <f>VLOOKUP($A26,[26]HISTOJANV25!$A$6:$BM$51,64,0)</f>
        <v>0</v>
      </c>
      <c r="AA26" s="36"/>
      <c r="AB26" s="36">
        <f>VLOOKUP($A26,[26]HISTOJANV25!$A$6:$AU$51,44,0)</f>
        <v>0</v>
      </c>
      <c r="AC26" s="36">
        <f>VLOOKUP($A26,[26]HISTOJANV25!$A$6:$AU$51,43,0)</f>
        <v>0</v>
      </c>
      <c r="AD26" s="36">
        <f>VLOOKUP($A26,[26]HISTOJANV25!$A$6:$BR$51,47,0)</f>
        <v>0</v>
      </c>
      <c r="AE26" s="36">
        <f>VLOOKUP(A26,[26]HISTOJANV25!$A$6:$BR$51,54,0)</f>
        <v>0</v>
      </c>
      <c r="AF26" s="36">
        <f>VLOOKUP($A26,[26]HISTOJANV25!$A$6:$BR$51,60,0)</f>
        <v>0</v>
      </c>
      <c r="AG26" s="36">
        <f>VLOOKUP($A26,[26]HISTOJANV25!$A$6:$CB$51,61,0)</f>
        <v>0</v>
      </c>
      <c r="AH26" s="36">
        <f>VLOOKUP($A26,[26]HISTOJANV25!$A$6:$CB$51,62,0)</f>
        <v>0</v>
      </c>
      <c r="AI26" s="36">
        <f>VLOOKUP($A26,[26]HISTOJANV25!$A$6:$CB$51,63,0)</f>
        <v>0</v>
      </c>
      <c r="AJ26" s="36">
        <f>VLOOKUP($A26,[26]HISTOJANV25!$A$6:$BR$51,64,0)</f>
        <v>0</v>
      </c>
      <c r="AK26" s="36">
        <f>VLOOKUP($A26,[26]HISTOJANV25!$A$6:$BR$51,65,0)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VLOOKUP($A27,[26]HISTOJANV25!$A$6:$BA$51,48,0)</f>
        <v>0</v>
      </c>
      <c r="F27" s="36">
        <f>VLOOKUP(A27,MVTDEC24!A27:AM62,6,0)+MVTDEC24!H27-E27+L27</f>
        <v>867074.51791799499</v>
      </c>
      <c r="G27" s="5">
        <f>IF(MVTJANV25!F27&gt;800000,(MVTDEC24!I27-E27+L27),0)</f>
        <v>867074.51791799499</v>
      </c>
      <c r="H27" s="36">
        <f>VLOOKUP(A27,[27]MVTJANV25!$A$6:$AM$42,8,0)</f>
        <v>6376.3434819673839</v>
      </c>
      <c r="I27" s="6">
        <f t="shared" si="1"/>
        <v>873450.86139996233</v>
      </c>
      <c r="J27" s="36">
        <f>VLOOKUP($A27,[26]HISTOJANV25!$A$6:$AQ$51,22,0)</f>
        <v>0</v>
      </c>
      <c r="K27" s="36">
        <f>VLOOKUP($A27,[26]HISTOJANV25!$A$6:$AU$51,45,0)</f>
        <v>25000</v>
      </c>
      <c r="L27" s="36">
        <f t="shared" si="2"/>
        <v>19000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VLOOKUP($A27,[26]HISTOJANV25!$A$6:$AU$51,8,0)</f>
        <v>0</v>
      </c>
      <c r="Q27" s="36">
        <f>VLOOKUP($A27,[26]HISTOJANV25!$A$6:$AU$51,23,0)</f>
        <v>0</v>
      </c>
      <c r="R27" s="36">
        <f>VLOOKUP($A27,[26]HISTOJANV25!$A$6:$AU$51,46,0)</f>
        <v>0</v>
      </c>
      <c r="S27" s="36">
        <f>VLOOKUP($A27,[26]HISTOJANV25!$A$6:$AU$51,26,0)</f>
        <v>0</v>
      </c>
      <c r="T27" s="36">
        <f>VLOOKUP($A27,[26]HISTOJANV25!$A$6:$BG$51,58,0)</f>
        <v>0</v>
      </c>
      <c r="U27" s="36">
        <f>VLOOKUP($A27,[26]HISTOJANV25!$A$6:$AU$51,28,0)</f>
        <v>0</v>
      </c>
      <c r="V27" s="36">
        <f>VLOOKUP($A27,[26]HISTOJANV25!$A$6:$AU$51,19,0)</f>
        <v>0</v>
      </c>
      <c r="W27" s="36">
        <f>VLOOKUP($A27,[26]HISTOJANV25!$A$6:$AU$51,20,0)</f>
        <v>0</v>
      </c>
      <c r="X27" s="36">
        <f>VLOOKUP($A27,[26]HISTOJANV25!$A$6:$AU$51,27,0)</f>
        <v>0</v>
      </c>
      <c r="Y27" s="36">
        <f>VLOOKUP($A27,[26]HISTOJANV25!$A$6:$BM$51,33,0)</f>
        <v>0</v>
      </c>
      <c r="Z27" s="36">
        <f>VLOOKUP($A27,[26]HISTOJANV25!$A$6:$BM$51,64,0)</f>
        <v>0</v>
      </c>
      <c r="AA27" s="36"/>
      <c r="AB27" s="36">
        <f>VLOOKUP($A27,[26]HISTOJANV25!$A$6:$AU$51,44,0)</f>
        <v>0</v>
      </c>
      <c r="AC27" s="36">
        <f>VLOOKUP($A27,[26]HISTOJANV25!$A$6:$AU$51,43,0)</f>
        <v>0</v>
      </c>
      <c r="AD27" s="36">
        <f>VLOOKUP($A27,[26]HISTOJANV25!$A$6:$BR$51,47,0)</f>
        <v>0</v>
      </c>
      <c r="AE27" s="36">
        <f>VLOOKUP(A27,[26]HISTOJANV25!$A$6:$BR$51,54,0)</f>
        <v>0</v>
      </c>
      <c r="AF27" s="36">
        <f>VLOOKUP($A27,[26]HISTOJANV25!$A$6:$BR$51,60,0)</f>
        <v>0</v>
      </c>
      <c r="AG27" s="36">
        <f>VLOOKUP($A27,[26]HISTOJANV25!$A$6:$CB$51,61,0)</f>
        <v>0</v>
      </c>
      <c r="AH27" s="36">
        <f>VLOOKUP($A27,[26]HISTOJANV25!$A$6:$CB$51,62,0)</f>
        <v>0</v>
      </c>
      <c r="AI27" s="36">
        <f>VLOOKUP($A27,[26]HISTOJANV25!$A$6:$CB$51,63,0)</f>
        <v>0</v>
      </c>
      <c r="AJ27" s="36">
        <f>VLOOKUP($A27,[26]HISTOJANV25!$A$6:$BR$51,64,0)</f>
        <v>0</v>
      </c>
      <c r="AK27" s="36">
        <f>VLOOKUP($A27,[26]HISTOJANV25!$A$6:$BR$51,65,0)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VLOOKUP($A28,[26]HISTOJANV25!$A$6:$BA$51,48,0)</f>
        <v>0</v>
      </c>
      <c r="F28" s="36">
        <f>VLOOKUP(A28,MVTDEC24!A28:AM63,6,0)+MVTDEC24!H28-E28+L28</f>
        <v>868495.70498667215</v>
      </c>
      <c r="G28" s="5">
        <f>IF(MVTJANV25!F28&gt;800000,(MVTDEC24!I28-E28+L28),0)</f>
        <v>868495.70498667215</v>
      </c>
      <c r="H28" s="36">
        <f>VLOOKUP(A28,[27]MVTJANV25!$A$6:$AM$42,8,0)</f>
        <v>6386.7946908482254</v>
      </c>
      <c r="I28" s="6">
        <f t="shared" si="1"/>
        <v>874882.49967752036</v>
      </c>
      <c r="J28" s="36">
        <f>VLOOKUP($A28,[26]HISTOJANV25!$A$6:$AQ$51,22,0)</f>
        <v>0</v>
      </c>
      <c r="K28" s="36">
        <f>VLOOKUP($A28,[26]HISTOJANV25!$A$6:$AU$51,45,0)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VLOOKUP($A28,[26]HISTOJANV25!$A$6:$AU$51,8,0)</f>
        <v>0</v>
      </c>
      <c r="Q28" s="36">
        <f>VLOOKUP($A28,[26]HISTOJANV25!$A$6:$AU$51,23,0)</f>
        <v>0</v>
      </c>
      <c r="R28" s="36">
        <f>VLOOKUP($A28,[26]HISTOJANV25!$A$6:$AU$51,46,0)</f>
        <v>0</v>
      </c>
      <c r="S28" s="36">
        <f>VLOOKUP($A28,[26]HISTOJANV25!$A$6:$AU$51,26,0)</f>
        <v>0</v>
      </c>
      <c r="T28" s="36">
        <f>VLOOKUP($A28,[26]HISTOJANV25!$A$6:$BG$51,58,0)</f>
        <v>0</v>
      </c>
      <c r="U28" s="36">
        <f>VLOOKUP($A28,[26]HISTOJANV25!$A$6:$AU$51,28,0)</f>
        <v>0</v>
      </c>
      <c r="V28" s="36">
        <f>VLOOKUP($A28,[26]HISTOJANV25!$A$6:$AU$51,19,0)</f>
        <v>0</v>
      </c>
      <c r="W28" s="36">
        <f>VLOOKUP($A28,[26]HISTOJANV25!$A$6:$AU$51,20,0)</f>
        <v>0</v>
      </c>
      <c r="X28" s="36">
        <f>VLOOKUP($A28,[26]HISTOJANV25!$A$6:$AU$51,27,0)</f>
        <v>0</v>
      </c>
      <c r="Y28" s="36">
        <f>VLOOKUP($A28,[26]HISTOJANV25!$A$6:$BM$51,33,0)</f>
        <v>0</v>
      </c>
      <c r="Z28" s="36">
        <f>VLOOKUP($A28,[26]HISTOJANV25!$A$6:$BM$51,64,0)</f>
        <v>0</v>
      </c>
      <c r="AA28" s="36"/>
      <c r="AB28" s="36">
        <f>VLOOKUP($A28,[26]HISTOJANV25!$A$6:$AU$51,44,0)</f>
        <v>0</v>
      </c>
      <c r="AC28" s="36">
        <f>VLOOKUP($A28,[26]HISTOJANV25!$A$6:$AU$51,43,0)</f>
        <v>0</v>
      </c>
      <c r="AD28" s="36">
        <f>VLOOKUP($A28,[26]HISTOJANV25!$A$6:$BR$51,47,0)</f>
        <v>0</v>
      </c>
      <c r="AE28" s="36">
        <f>VLOOKUP(A28,[26]HISTOJANV25!$A$6:$BR$51,54,0)</f>
        <v>0</v>
      </c>
      <c r="AF28" s="36">
        <f>VLOOKUP($A28,[26]HISTOJANV25!$A$6:$BR$51,60,0)</f>
        <v>0</v>
      </c>
      <c r="AG28" s="36">
        <f>VLOOKUP($A28,[26]HISTOJANV25!$A$6:$CB$51,61,0)</f>
        <v>0</v>
      </c>
      <c r="AH28" s="36">
        <f>VLOOKUP($A28,[26]HISTOJANV25!$A$6:$CB$51,62,0)</f>
        <v>0</v>
      </c>
      <c r="AI28" s="36">
        <f>VLOOKUP($A28,[26]HISTOJANV25!$A$6:$CB$51,63,0)</f>
        <v>0</v>
      </c>
      <c r="AJ28" s="36">
        <f>VLOOKUP($A28,[26]HISTOJANV25!$A$6:$BR$51,64,0)</f>
        <v>0</v>
      </c>
      <c r="AK28" s="36">
        <f>VLOOKUP($A28,[26]HISTOJANV25!$A$6:$BR$51,65,0)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VLOOKUP($A29,[26]HISTOJANV25!$A$6:$BA$51,48,0)</f>
        <v>0</v>
      </c>
      <c r="F29" s="36">
        <f>VLOOKUP(A29,MVTDEC24!A29:AM64,6,0)+MVTDEC24!H29-E29+L29</f>
        <v>839474.56196921691</v>
      </c>
      <c r="G29" s="5">
        <f>IF(MVTJANV25!F29&gt;800000,(MVTDEC24!I29-E29+L29),0)</f>
        <v>839474.56196921691</v>
      </c>
      <c r="H29" s="36">
        <f>VLOOKUP(A29,[27]MVTJANV25!$A$6:$AM$42,8,0)</f>
        <v>6173.3773059584819</v>
      </c>
      <c r="I29" s="6">
        <f t="shared" si="1"/>
        <v>845647.93927517545</v>
      </c>
      <c r="J29" s="36">
        <f>VLOOKUP($A29,[26]HISTOJANV25!$A$6:$AQ$51,22,0)</f>
        <v>0</v>
      </c>
      <c r="K29" s="36">
        <f>VLOOKUP($A29,[26]HISTOJANV25!$A$6:$AU$51,45,0)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VLOOKUP($A29,[26]HISTOJANV25!$A$6:$AU$51,8,0)</f>
        <v>0</v>
      </c>
      <c r="Q29" s="36">
        <f>VLOOKUP($A29,[26]HISTOJANV25!$A$6:$AU$51,23,0)</f>
        <v>0</v>
      </c>
      <c r="R29" s="36">
        <f>VLOOKUP($A29,[26]HISTOJANV25!$A$6:$AU$51,46,0)</f>
        <v>0</v>
      </c>
      <c r="S29" s="36">
        <f>VLOOKUP($A29,[26]HISTOJANV25!$A$6:$AU$51,26,0)</f>
        <v>0</v>
      </c>
      <c r="T29" s="36">
        <f>VLOOKUP($A29,[26]HISTOJANV25!$A$6:$BG$51,58,0)</f>
        <v>0</v>
      </c>
      <c r="U29" s="36">
        <f>VLOOKUP($A29,[26]HISTOJANV25!$A$6:$AU$51,28,0)</f>
        <v>0</v>
      </c>
      <c r="V29" s="36">
        <f>VLOOKUP($A29,[26]HISTOJANV25!$A$6:$AU$51,19,0)</f>
        <v>0</v>
      </c>
      <c r="W29" s="36">
        <f>VLOOKUP($A29,[26]HISTOJANV25!$A$6:$AU$51,20,0)</f>
        <v>0</v>
      </c>
      <c r="X29" s="36">
        <f>VLOOKUP($A29,[26]HISTOJANV25!$A$6:$AU$51,27,0)</f>
        <v>0</v>
      </c>
      <c r="Y29" s="36">
        <f>VLOOKUP($A29,[26]HISTOJANV25!$A$6:$BM$51,33,0)</f>
        <v>0</v>
      </c>
      <c r="Z29" s="36">
        <f>VLOOKUP($A29,[26]HISTOJANV25!$A$6:$BM$51,64,0)</f>
        <v>0</v>
      </c>
      <c r="AA29" s="36"/>
      <c r="AB29" s="36">
        <f>VLOOKUP($A29,[26]HISTOJANV25!$A$6:$AU$51,44,0)</f>
        <v>0</v>
      </c>
      <c r="AC29" s="36">
        <f>VLOOKUP($A29,[26]HISTOJANV25!$A$6:$AU$51,43,0)</f>
        <v>0</v>
      </c>
      <c r="AD29" s="36">
        <f>VLOOKUP($A29,[26]HISTOJANV25!$A$6:$BR$51,47,0)</f>
        <v>0</v>
      </c>
      <c r="AE29" s="36">
        <f>VLOOKUP(A29,[26]HISTOJANV25!$A$6:$BR$51,54,0)</f>
        <v>0</v>
      </c>
      <c r="AF29" s="36">
        <f>VLOOKUP($A29,[26]HISTOJANV25!$A$6:$BR$51,60,0)</f>
        <v>0</v>
      </c>
      <c r="AG29" s="36">
        <f>VLOOKUP($A29,[26]HISTOJANV25!$A$6:$CB$51,61,0)</f>
        <v>0</v>
      </c>
      <c r="AH29" s="36">
        <f>VLOOKUP($A29,[26]HISTOJANV25!$A$6:$CB$51,62,0)</f>
        <v>0</v>
      </c>
      <c r="AI29" s="36">
        <f>VLOOKUP($A29,[26]HISTOJANV25!$A$6:$CB$51,63,0)</f>
        <v>0</v>
      </c>
      <c r="AJ29" s="36">
        <f>VLOOKUP($A29,[26]HISTOJANV25!$A$6:$BR$51,64,0)</f>
        <v>0</v>
      </c>
      <c r="AK29" s="36">
        <f>VLOOKUP($A29,[26]HISTOJANV25!$A$6:$BR$51,65,0)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VLOOKUP($A30,[26]HISTOJANV25!$A$6:$BA$51,48,0)</f>
        <v>0</v>
      </c>
      <c r="F30" s="36">
        <f>VLOOKUP(A30,MVTDEC24!A30:AM65,6,0)+MVTDEC24!H30-E30+L30</f>
        <v>997210.60549648385</v>
      </c>
      <c r="G30" s="5">
        <f>IF(MVTJANV25!F30&gt;800000,(MVTDEC24!I30-E30+L30),0)</f>
        <v>997210.60549648385</v>
      </c>
      <c r="H30" s="36">
        <f>VLOOKUP(A30,[27]MVTJANV25!$A$6:$AM$42,8,0)</f>
        <v>7333.3458810141437</v>
      </c>
      <c r="I30" s="6">
        <f t="shared" si="1"/>
        <v>1004543.951377498</v>
      </c>
      <c r="J30" s="36">
        <f>VLOOKUP($A30,[26]HISTOJANV25!$A$6:$AQ$51,22,0)</f>
        <v>0</v>
      </c>
      <c r="K30" s="36">
        <f>VLOOKUP($A30,[26]HISTOJANV25!$A$6:$AU$51,45,0)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VLOOKUP($A30,[26]HISTOJANV25!$A$6:$AU$51,8,0)</f>
        <v>0</v>
      </c>
      <c r="Q30" s="36">
        <f>VLOOKUP($A30,[26]HISTOJANV25!$A$6:$AU$51,23,0)</f>
        <v>0</v>
      </c>
      <c r="R30" s="36">
        <f>VLOOKUP($A30,[26]HISTOJANV25!$A$6:$AU$51,46,0)</f>
        <v>0</v>
      </c>
      <c r="S30" s="36">
        <f>VLOOKUP($A30,[26]HISTOJANV25!$A$6:$AU$51,26,0)</f>
        <v>0</v>
      </c>
      <c r="T30" s="36">
        <f>VLOOKUP($A30,[26]HISTOJANV25!$A$6:$BG$51,58,0)</f>
        <v>0</v>
      </c>
      <c r="U30" s="36">
        <f>VLOOKUP($A30,[26]HISTOJANV25!$A$6:$AU$51,28,0)</f>
        <v>0</v>
      </c>
      <c r="V30" s="36">
        <f>VLOOKUP($A30,[26]HISTOJANV25!$A$6:$AU$51,19,0)</f>
        <v>0</v>
      </c>
      <c r="W30" s="36">
        <f>VLOOKUP($A30,[26]HISTOJANV25!$A$6:$AU$51,20,0)</f>
        <v>0</v>
      </c>
      <c r="X30" s="36">
        <f>VLOOKUP($A30,[26]HISTOJANV25!$A$6:$AU$51,27,0)</f>
        <v>0</v>
      </c>
      <c r="Y30" s="36">
        <f>VLOOKUP($A30,[26]HISTOJANV25!$A$6:$BM$51,33,0)</f>
        <v>0</v>
      </c>
      <c r="Z30" s="36">
        <f>VLOOKUP($A30,[26]HISTOJANV25!$A$6:$BM$51,64,0)</f>
        <v>0</v>
      </c>
      <c r="AA30" s="36"/>
      <c r="AB30" s="36">
        <f>VLOOKUP($A30,[26]HISTOJANV25!$A$6:$AU$51,44,0)</f>
        <v>0</v>
      </c>
      <c r="AC30" s="36">
        <f>VLOOKUP($A30,[26]HISTOJANV25!$A$6:$AU$51,43,0)</f>
        <v>0</v>
      </c>
      <c r="AD30" s="36">
        <f>VLOOKUP($A30,[26]HISTOJANV25!$A$6:$BR$51,47,0)</f>
        <v>0</v>
      </c>
      <c r="AE30" s="36">
        <f>VLOOKUP(A30,[26]HISTOJANV25!$A$6:$BR$51,54,0)</f>
        <v>0</v>
      </c>
      <c r="AF30" s="36">
        <f>VLOOKUP($A30,[26]HISTOJANV25!$A$6:$BR$51,60,0)</f>
        <v>0</v>
      </c>
      <c r="AG30" s="36">
        <f>VLOOKUP($A30,[26]HISTOJANV25!$A$6:$CB$51,61,0)</f>
        <v>0</v>
      </c>
      <c r="AH30" s="36">
        <f>VLOOKUP($A30,[26]HISTOJANV25!$A$6:$CB$51,62,0)</f>
        <v>0</v>
      </c>
      <c r="AI30" s="36">
        <f>VLOOKUP($A30,[26]HISTOJANV25!$A$6:$CB$51,63,0)</f>
        <v>0</v>
      </c>
      <c r="AJ30" s="36">
        <f>VLOOKUP($A30,[26]HISTOJANV25!$A$6:$BR$51,64,0)</f>
        <v>0</v>
      </c>
      <c r="AK30" s="36">
        <f>VLOOKUP($A30,[26]HISTOJANV25!$A$6:$BR$51,65,0)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VLOOKUP($A31,[26]HISTOJANV25!$A$6:$BA$51,48,0)</f>
        <v>0</v>
      </c>
      <c r="F31" s="36">
        <f>VLOOKUP(A31,MVTDEC24!A31:AM66,6,0)+MVTDEC24!H31-E31+L31</f>
        <v>847001.82268252003</v>
      </c>
      <c r="G31" s="5">
        <f>IF(MVTJANV25!F31&gt;800000,(MVTDEC24!I31-E31+L31),0)</f>
        <v>847001.82268252003</v>
      </c>
      <c r="H31" s="36">
        <f>VLOOKUP(A31,[27]MVTJANV25!$A$6:$AM$42,8,0)</f>
        <v>6228.731717597273</v>
      </c>
      <c r="I31" s="6">
        <f t="shared" si="1"/>
        <v>853230.55440011725</v>
      </c>
      <c r="J31" s="36">
        <f>VLOOKUP($A31,[26]HISTOJANV25!$A$6:$AQ$51,22,0)</f>
        <v>0</v>
      </c>
      <c r="K31" s="36">
        <f>VLOOKUP($A31,[26]HISTOJANV25!$A$6:$AU$51,45,0)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VLOOKUP($A31,[26]HISTOJANV25!$A$6:$AU$51,8,0)</f>
        <v>0</v>
      </c>
      <c r="Q31" s="36">
        <f>VLOOKUP($A31,[26]HISTOJANV25!$A$6:$AU$51,23,0)</f>
        <v>0</v>
      </c>
      <c r="R31" s="36">
        <f>VLOOKUP($A31,[26]HISTOJANV25!$A$6:$AU$51,46,0)</f>
        <v>0</v>
      </c>
      <c r="S31" s="36">
        <f>VLOOKUP($A31,[26]HISTOJANV25!$A$6:$AU$51,26,0)</f>
        <v>0</v>
      </c>
      <c r="T31" s="36">
        <f>VLOOKUP($A31,[26]HISTOJANV25!$A$6:$BG$51,58,0)</f>
        <v>0</v>
      </c>
      <c r="U31" s="36">
        <f>VLOOKUP($A31,[26]HISTOJANV25!$A$6:$AU$51,28,0)</f>
        <v>0</v>
      </c>
      <c r="V31" s="36">
        <f>VLOOKUP($A31,[26]HISTOJANV25!$A$6:$AU$51,19,0)</f>
        <v>0</v>
      </c>
      <c r="W31" s="36">
        <f>VLOOKUP($A31,[26]HISTOJANV25!$A$6:$AU$51,20,0)</f>
        <v>0</v>
      </c>
      <c r="X31" s="36">
        <f>VLOOKUP($A31,[26]HISTOJANV25!$A$6:$AU$51,27,0)</f>
        <v>0</v>
      </c>
      <c r="Y31" s="36">
        <f>VLOOKUP($A31,[26]HISTOJANV25!$A$6:$BM$51,33,0)</f>
        <v>0</v>
      </c>
      <c r="Z31" s="36">
        <f>VLOOKUP($A31,[26]HISTOJANV25!$A$6:$BM$51,64,0)</f>
        <v>0</v>
      </c>
      <c r="AA31" s="36"/>
      <c r="AB31" s="36">
        <f>VLOOKUP($A31,[26]HISTOJANV25!$A$6:$AU$51,44,0)</f>
        <v>0</v>
      </c>
      <c r="AC31" s="36">
        <f>VLOOKUP($A31,[26]HISTOJANV25!$A$6:$AU$51,43,0)</f>
        <v>0</v>
      </c>
      <c r="AD31" s="36">
        <f>VLOOKUP($A31,[26]HISTOJANV25!$A$6:$BR$51,47,0)</f>
        <v>0</v>
      </c>
      <c r="AE31" s="36">
        <f>VLOOKUP(A31,[26]HISTOJANV25!$A$6:$BR$51,54,0)</f>
        <v>0</v>
      </c>
      <c r="AF31" s="36">
        <f>VLOOKUP($A31,[26]HISTOJANV25!$A$6:$BR$51,60,0)</f>
        <v>0</v>
      </c>
      <c r="AG31" s="36">
        <f>VLOOKUP($A31,[26]HISTOJANV25!$A$6:$CB$51,61,0)</f>
        <v>0</v>
      </c>
      <c r="AH31" s="36">
        <f>VLOOKUP($A31,[26]HISTOJANV25!$A$6:$CB$51,62,0)</f>
        <v>0</v>
      </c>
      <c r="AI31" s="36">
        <f>VLOOKUP($A31,[26]HISTOJANV25!$A$6:$CB$51,63,0)</f>
        <v>0</v>
      </c>
      <c r="AJ31" s="36">
        <f>VLOOKUP($A31,[26]HISTOJANV25!$A$6:$BR$51,64,0)</f>
        <v>0</v>
      </c>
      <c r="AK31" s="36">
        <f>VLOOKUP($A31,[26]HISTOJANV25!$A$6:$BR$51,65,0)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VLOOKUP($A32,[26]HISTOJANV25!$A$6:$BA$51,48,0)</f>
        <v>0</v>
      </c>
      <c r="F32" s="36">
        <f>VLOOKUP(A32,MVTDEC24!A32:AM67,6,0)+MVTDEC24!H32-E32+L32</f>
        <v>940367.3150416374</v>
      </c>
      <c r="G32" s="5">
        <f>IF(MVTJANV25!F32&gt;800000,(MVTDEC24!I32-E32+L32),0)</f>
        <v>940367.3150416374</v>
      </c>
      <c r="H32" s="36">
        <f>VLOOKUP(A32,[27]MVTJANV25!$A$6:$AM$42,8,0)</f>
        <v>6915.3283553052188</v>
      </c>
      <c r="I32" s="6">
        <f t="shared" si="1"/>
        <v>947282.64339694264</v>
      </c>
      <c r="J32" s="36">
        <f>VLOOKUP($A32,[26]HISTOJANV25!$A$6:$AQ$51,22,0)</f>
        <v>0</v>
      </c>
      <c r="K32" s="36">
        <f>VLOOKUP($A32,[26]HISTOJANV25!$A$6:$AU$51,45,0)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VLOOKUP($A32,[26]HISTOJANV25!$A$6:$AU$51,8,0)</f>
        <v>0</v>
      </c>
      <c r="Q32" s="36">
        <f>VLOOKUP($A32,[26]HISTOJANV25!$A$6:$AU$51,23,0)</f>
        <v>0</v>
      </c>
      <c r="R32" s="36">
        <f>VLOOKUP($A32,[26]HISTOJANV25!$A$6:$AU$51,46,0)</f>
        <v>0</v>
      </c>
      <c r="S32" s="36">
        <f>VLOOKUP($A32,[26]HISTOJANV25!$A$6:$AU$51,26,0)</f>
        <v>0</v>
      </c>
      <c r="T32" s="36">
        <f>VLOOKUP($A32,[26]HISTOJANV25!$A$6:$BG$51,58,0)</f>
        <v>0</v>
      </c>
      <c r="U32" s="36">
        <f>VLOOKUP($A32,[26]HISTOJANV25!$A$6:$AU$51,28,0)</f>
        <v>0</v>
      </c>
      <c r="V32" s="36">
        <f>VLOOKUP($A32,[26]HISTOJANV25!$A$6:$AU$51,19,0)</f>
        <v>0</v>
      </c>
      <c r="W32" s="36">
        <f>VLOOKUP($A32,[26]HISTOJANV25!$A$6:$AU$51,20,0)</f>
        <v>0</v>
      </c>
      <c r="X32" s="36">
        <f>VLOOKUP($A32,[26]HISTOJANV25!$A$6:$AU$51,27,0)</f>
        <v>0</v>
      </c>
      <c r="Y32" s="36">
        <f>VLOOKUP($A32,[26]HISTOJANV25!$A$6:$BM$51,33,0)</f>
        <v>0</v>
      </c>
      <c r="Z32" s="36">
        <f>VLOOKUP($A32,[26]HISTOJANV25!$A$6:$BM$51,64,0)</f>
        <v>0</v>
      </c>
      <c r="AA32" s="36"/>
      <c r="AB32" s="36">
        <f>VLOOKUP($A32,[26]HISTOJANV25!$A$6:$AU$51,44,0)</f>
        <v>0</v>
      </c>
      <c r="AC32" s="36">
        <f>VLOOKUP($A32,[26]HISTOJANV25!$A$6:$AU$51,43,0)</f>
        <v>0</v>
      </c>
      <c r="AD32" s="36">
        <f>VLOOKUP($A32,[26]HISTOJANV25!$A$6:$BR$51,47,0)</f>
        <v>0</v>
      </c>
      <c r="AE32" s="36">
        <f>VLOOKUP(A32,[26]HISTOJANV25!$A$6:$BR$51,54,0)</f>
        <v>0</v>
      </c>
      <c r="AF32" s="36">
        <f>VLOOKUP($A32,[26]HISTOJANV25!$A$6:$BR$51,60,0)</f>
        <v>0</v>
      </c>
      <c r="AG32" s="36">
        <f>VLOOKUP($A32,[26]HISTOJANV25!$A$6:$CB$51,61,0)</f>
        <v>0</v>
      </c>
      <c r="AH32" s="36">
        <f>VLOOKUP($A32,[26]HISTOJANV25!$A$6:$CB$51,62,0)</f>
        <v>0</v>
      </c>
      <c r="AI32" s="36">
        <f>VLOOKUP($A32,[26]HISTOJANV25!$A$6:$CB$51,63,0)</f>
        <v>0</v>
      </c>
      <c r="AJ32" s="36">
        <f>VLOOKUP($A32,[26]HISTOJANV25!$A$6:$BR$51,64,0)</f>
        <v>0</v>
      </c>
      <c r="AK32" s="36">
        <f>VLOOKUP($A32,[26]HISTOJANV25!$A$6:$BR$51,65,0)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VLOOKUP($A33,[26]HISTOJANV25!$A$6:$BA$51,48,0)</f>
        <v>0</v>
      </c>
      <c r="F33" s="36">
        <f>VLOOKUP(A33,MVTDEC24!A33:AM68,6,0)+MVTDEC24!H33-E33+L33</f>
        <v>19000</v>
      </c>
      <c r="G33" s="5">
        <f>IF(MVTJANV25!F33&gt;800000,(MVTDEC24!I33-E33+L33),0)</f>
        <v>0</v>
      </c>
      <c r="H33" s="36">
        <f>VLOOKUP(A33,[27]MVTJANV25!$A$6:$AM$42,8,0)</f>
        <v>0</v>
      </c>
      <c r="I33" s="6">
        <f t="shared" ref="I33" si="17">F33+H33</f>
        <v>19000</v>
      </c>
      <c r="J33" s="36">
        <f>VLOOKUP($A33,[26]HISTOJANV25!$A$6:$AQ$51,22,0)</f>
        <v>0</v>
      </c>
      <c r="K33" s="36">
        <f>VLOOKUP($A33,[26]HISTOJANV25!$A$6:$AU$51,45,0)</f>
        <v>25000</v>
      </c>
      <c r="L33" s="36">
        <f t="shared" si="2"/>
        <v>19000</v>
      </c>
      <c r="M33" s="36">
        <f t="shared" ref="M33" si="18">IF(K33=0,0,1000)</f>
        <v>1000</v>
      </c>
      <c r="N33" s="36">
        <f t="shared" ref="N33" si="19">IF(K33=0,0,1000)</f>
        <v>1000</v>
      </c>
      <c r="O33" s="36">
        <f t="shared" ref="O33" si="20">IF(K33=0,0,4000)</f>
        <v>4000</v>
      </c>
      <c r="P33" s="36">
        <f>VLOOKUP($A33,[26]HISTOJANV25!$A$6:$AU$51,8,0)</f>
        <v>0</v>
      </c>
      <c r="Q33" s="36">
        <f>VLOOKUP($A33,[26]HISTOJANV25!$A$6:$AU$51,23,0)</f>
        <v>0</v>
      </c>
      <c r="R33" s="36">
        <f>VLOOKUP($A33,[26]HISTOJANV25!$A$6:$AU$51,46,0)</f>
        <v>0</v>
      </c>
      <c r="S33" s="36">
        <f>VLOOKUP($A33,[26]HISTOJANV25!$A$6:$AU$51,26,0)</f>
        <v>0</v>
      </c>
      <c r="T33" s="36">
        <f>VLOOKUP($A33,[26]HISTOJANV25!$A$6:$BG$51,58,0)</f>
        <v>0</v>
      </c>
      <c r="U33" s="36">
        <f>VLOOKUP($A33,[26]HISTOJANV25!$A$6:$AU$51,28,0)</f>
        <v>0</v>
      </c>
      <c r="V33" s="36">
        <f>VLOOKUP($A33,[26]HISTOJANV25!$A$6:$AU$51,19,0)</f>
        <v>0</v>
      </c>
      <c r="W33" s="36">
        <f>VLOOKUP($A33,[26]HISTOJANV25!$A$6:$AU$51,20,0)</f>
        <v>0</v>
      </c>
      <c r="X33" s="36">
        <f>VLOOKUP($A33,[26]HISTOJANV25!$A$6:$AU$51,27,0)</f>
        <v>0</v>
      </c>
      <c r="Y33" s="36">
        <f>VLOOKUP($A33,[26]HISTOJANV25!$A$6:$BM$51,33,0)</f>
        <v>0</v>
      </c>
      <c r="Z33" s="36">
        <f>VLOOKUP($A33,[26]HISTOJANV25!$A$6:$BM$51,64,0)</f>
        <v>0</v>
      </c>
      <c r="AA33" s="36"/>
      <c r="AB33" s="36">
        <f>VLOOKUP($A33,[26]HISTOJANV25!$A$6:$AU$51,44,0)</f>
        <v>0</v>
      </c>
      <c r="AC33" s="36">
        <f>VLOOKUP($A33,[26]HISTOJANV25!$A$6:$AU$51,43,0)</f>
        <v>0</v>
      </c>
      <c r="AD33" s="36">
        <f>VLOOKUP($A33,[26]HISTOJANV25!$A$6:$BR$51,47,0)</f>
        <v>0</v>
      </c>
      <c r="AE33" s="36">
        <f>VLOOKUP(A33,[26]HISTOJANV25!$A$6:$BR$51,54,0)</f>
        <v>0</v>
      </c>
      <c r="AF33" s="36">
        <f>VLOOKUP($A33,[26]HISTOJANV25!$A$6:$BR$51,60,0)</f>
        <v>0</v>
      </c>
      <c r="AG33" s="36">
        <f>VLOOKUP($A33,[26]HISTOJANV25!$A$6:$CB$51,61,0)</f>
        <v>0</v>
      </c>
      <c r="AH33" s="36">
        <f>VLOOKUP($A33,[26]HISTOJANV25!$A$6:$CB$51,62,0)</f>
        <v>0</v>
      </c>
      <c r="AI33" s="36">
        <f>VLOOKUP($A33,[26]HISTOJANV25!$A$6:$CB$51,63,0)</f>
        <v>0</v>
      </c>
      <c r="AJ33" s="36">
        <f>VLOOKUP($A33,[26]HISTOJANV25!$A$6:$BR$51,64,0)</f>
        <v>0</v>
      </c>
      <c r="AK33" s="36">
        <f>VLOOKUP($A33,[26]HISTOJANV25!$A$6:$BR$51,65,0)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VLOOKUP($A34,[26]HISTOJANV25!$A$6:$BA$51,48,0)</f>
        <v>0</v>
      </c>
      <c r="F34" s="36">
        <f>VLOOKUP(A34,MVTDEC24!A34:AM69,6,0)+MVTDEC24!H34-E34+L34</f>
        <v>906394.02681806171</v>
      </c>
      <c r="G34" s="5">
        <f>IF(MVTJANV25!F34&gt;800000,(MVTDEC24!I34-E34+L34),0)</f>
        <v>906394.02681806171</v>
      </c>
      <c r="H34" s="36">
        <f>VLOOKUP(A34,[27]MVTJANV25!$A$6:$AM$42,8,0)</f>
        <v>6665.493594337323</v>
      </c>
      <c r="I34" s="6">
        <f t="shared" si="1"/>
        <v>913059.52041239908</v>
      </c>
      <c r="J34" s="36">
        <f>VLOOKUP($A34,[26]HISTOJANV25!$A$6:$AQ$51,22,0)</f>
        <v>0</v>
      </c>
      <c r="K34" s="36">
        <f>VLOOKUP($A34,[26]HISTOJANV25!$A$6:$AU$51,45,0)</f>
        <v>25000</v>
      </c>
      <c r="L34" s="36">
        <f t="shared" si="2"/>
        <v>19000</v>
      </c>
      <c r="M34" s="36">
        <f t="shared" si="3"/>
        <v>1000</v>
      </c>
      <c r="N34" s="36">
        <f t="shared" si="0"/>
        <v>1000</v>
      </c>
      <c r="O34" s="36">
        <f t="shared" si="4"/>
        <v>4000</v>
      </c>
      <c r="P34" s="36">
        <f>VLOOKUP($A34,[26]HISTOJANV25!$A$6:$AU$51,8,0)</f>
        <v>0</v>
      </c>
      <c r="Q34" s="36">
        <f>VLOOKUP($A34,[26]HISTOJANV25!$A$6:$AU$51,23,0)</f>
        <v>0</v>
      </c>
      <c r="R34" s="36">
        <f>VLOOKUP($A34,[26]HISTOJANV25!$A$6:$AU$51,46,0)</f>
        <v>0</v>
      </c>
      <c r="S34" s="36">
        <f>VLOOKUP($A34,[26]HISTOJANV25!$A$6:$AU$51,26,0)</f>
        <v>0</v>
      </c>
      <c r="T34" s="36">
        <f>VLOOKUP($A34,[26]HISTOJANV25!$A$6:$BG$51,58,0)</f>
        <v>0</v>
      </c>
      <c r="U34" s="36">
        <f>VLOOKUP($A34,[26]HISTOJANV25!$A$6:$AU$51,28,0)</f>
        <v>0</v>
      </c>
      <c r="V34" s="36">
        <f>VLOOKUP($A34,[26]HISTOJANV25!$A$6:$AU$51,19,0)</f>
        <v>0</v>
      </c>
      <c r="W34" s="36">
        <f>VLOOKUP($A34,[26]HISTOJANV25!$A$6:$AU$51,20,0)</f>
        <v>0</v>
      </c>
      <c r="X34" s="36">
        <f>VLOOKUP($A34,[26]HISTOJANV25!$A$6:$AU$51,27,0)</f>
        <v>0</v>
      </c>
      <c r="Y34" s="36">
        <f>VLOOKUP($A34,[26]HISTOJANV25!$A$6:$BM$51,33,0)</f>
        <v>0</v>
      </c>
      <c r="Z34" s="36">
        <f>VLOOKUP($A34,[26]HISTOJANV25!$A$6:$BM$51,64,0)</f>
        <v>0</v>
      </c>
      <c r="AA34" s="36"/>
      <c r="AB34" s="36">
        <f>VLOOKUP($A34,[26]HISTOJANV25!$A$6:$AU$51,44,0)</f>
        <v>0</v>
      </c>
      <c r="AC34" s="36">
        <f>VLOOKUP($A34,[26]HISTOJANV25!$A$6:$AU$51,43,0)</f>
        <v>0</v>
      </c>
      <c r="AD34" s="36">
        <f>VLOOKUP($A34,[26]HISTOJANV25!$A$6:$BR$51,47,0)</f>
        <v>0</v>
      </c>
      <c r="AE34" s="36">
        <f>VLOOKUP(A34,[26]HISTOJANV25!$A$6:$BR$51,54,0)</f>
        <v>0</v>
      </c>
      <c r="AF34" s="36">
        <f>VLOOKUP($A34,[26]HISTOJANV25!$A$6:$BR$51,60,0)</f>
        <v>0</v>
      </c>
      <c r="AG34" s="36">
        <f>VLOOKUP($A34,[26]HISTOJANV25!$A$6:$CB$51,61,0)</f>
        <v>0</v>
      </c>
      <c r="AH34" s="36">
        <f>VLOOKUP($A34,[26]HISTOJANV25!$A$6:$CB$51,62,0)</f>
        <v>0</v>
      </c>
      <c r="AI34" s="36">
        <f>VLOOKUP($A34,[26]HISTOJANV25!$A$6:$CB$51,63,0)</f>
        <v>0</v>
      </c>
      <c r="AJ34" s="36">
        <f>VLOOKUP($A34,[26]HISTOJANV25!$A$6:$BR$51,64,0)</f>
        <v>0</v>
      </c>
      <c r="AK34" s="36">
        <f>VLOOKUP($A34,[26]HISTOJANV25!$A$6:$BR$51,65,0)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VLOOKUP($A35,[26]HISTOJANV25!$A$6:$BA$51,48,0)</f>
        <v>0</v>
      </c>
      <c r="F35" s="36">
        <f>VLOOKUP(A35,MVTDEC24!A35:AM70,6,0)+MVTDEC24!H35-E35+L35</f>
        <v>863799.28960706876</v>
      </c>
      <c r="G35" s="5">
        <f>IF(MVTJANV25!F35&gt;800000,(MVTDEC24!I35-E35+L35),0)</f>
        <v>863799.28960706876</v>
      </c>
      <c r="H35" s="36">
        <f>VLOOKUP(A35,[27]MVTJANV25!$A$6:$AM$42,8,0)</f>
        <v>6352.2579157781302</v>
      </c>
      <c r="I35" s="6">
        <f t="shared" si="1"/>
        <v>870151.54752284684</v>
      </c>
      <c r="J35" s="36">
        <f>VLOOKUP($A35,[26]HISTOJANV25!$A$6:$AQ$51,22,0)</f>
        <v>0</v>
      </c>
      <c r="K35" s="36">
        <f>VLOOKUP($A35,[26]HISTOJANV25!$A$6:$AU$51,45,0)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VLOOKUP($A35,[26]HISTOJANV25!$A$6:$AU$51,8,0)</f>
        <v>0</v>
      </c>
      <c r="Q35" s="36">
        <f>VLOOKUP($A35,[26]HISTOJANV25!$A$6:$AU$51,23,0)</f>
        <v>0</v>
      </c>
      <c r="R35" s="36">
        <f>VLOOKUP($A35,[26]HISTOJANV25!$A$6:$AU$51,46,0)</f>
        <v>0</v>
      </c>
      <c r="S35" s="36">
        <f>VLOOKUP($A35,[26]HISTOJANV25!$A$6:$AU$51,26,0)</f>
        <v>0</v>
      </c>
      <c r="T35" s="36">
        <f>VLOOKUP($A35,[26]HISTOJANV25!$A$6:$BG$51,58,0)</f>
        <v>0</v>
      </c>
      <c r="U35" s="36">
        <f>VLOOKUP($A35,[26]HISTOJANV25!$A$6:$AU$51,28,0)</f>
        <v>0</v>
      </c>
      <c r="V35" s="36">
        <f>VLOOKUP($A35,[26]HISTOJANV25!$A$6:$AU$51,19,0)</f>
        <v>0</v>
      </c>
      <c r="W35" s="36">
        <f>VLOOKUP($A35,[26]HISTOJANV25!$A$6:$AU$51,20,0)</f>
        <v>0</v>
      </c>
      <c r="X35" s="36">
        <f>VLOOKUP($A35,[26]HISTOJANV25!$A$6:$AU$51,27,0)</f>
        <v>0</v>
      </c>
      <c r="Y35" s="36">
        <f>VLOOKUP($A35,[26]HISTOJANV25!$A$6:$BM$51,33,0)</f>
        <v>0</v>
      </c>
      <c r="Z35" s="36">
        <f>VLOOKUP($A35,[26]HISTOJANV25!$A$6:$BM$51,64,0)</f>
        <v>0</v>
      </c>
      <c r="AA35" s="36"/>
      <c r="AB35" s="36">
        <f>VLOOKUP($A35,[26]HISTOJANV25!$A$6:$AU$51,44,0)</f>
        <v>0</v>
      </c>
      <c r="AC35" s="36">
        <f>VLOOKUP($A35,[26]HISTOJANV25!$A$6:$AU$51,43,0)</f>
        <v>0</v>
      </c>
      <c r="AD35" s="36">
        <f>VLOOKUP($A35,[26]HISTOJANV25!$A$6:$BR$51,47,0)</f>
        <v>0</v>
      </c>
      <c r="AE35" s="36">
        <f>VLOOKUP(A35,[26]HISTOJANV25!$A$6:$BR$51,54,0)</f>
        <v>0</v>
      </c>
      <c r="AF35" s="36">
        <f>VLOOKUP($A35,[26]HISTOJANV25!$A$6:$BR$51,60,0)</f>
        <v>0</v>
      </c>
      <c r="AG35" s="36">
        <f>VLOOKUP($A35,[26]HISTOJANV25!$A$6:$CB$51,61,0)</f>
        <v>0</v>
      </c>
      <c r="AH35" s="36">
        <f>VLOOKUP($A35,[26]HISTOJANV25!$A$6:$CB$51,62,0)</f>
        <v>0</v>
      </c>
      <c r="AI35" s="36">
        <f>VLOOKUP($A35,[26]HISTOJANV25!$A$6:$CB$51,63,0)</f>
        <v>0</v>
      </c>
      <c r="AJ35" s="36">
        <f>VLOOKUP($A35,[26]HISTOJANV25!$A$6:$BR$51,64,0)</f>
        <v>0</v>
      </c>
      <c r="AK35" s="36">
        <f>VLOOKUP($A35,[26]HISTOJANV25!$A$6:$BR$51,65,0)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VLOOKUP($A36,[26]HISTOJANV25!$A$6:$BA$51,48,0)</f>
        <v>0</v>
      </c>
      <c r="F36" s="36">
        <f>VLOOKUP(A36,MVTDEC24!A36:AM71,6,0)+MVTDEC24!H36-E36+L36</f>
        <v>853903.38377930375</v>
      </c>
      <c r="G36" s="5">
        <f>IF(MVTJANV25!F36&gt;800000,(MVTDEC24!I36-E36+L36),0)</f>
        <v>853903.38377930375</v>
      </c>
      <c r="H36" s="36">
        <f>VLOOKUP(A36,[27]MVTJANV25!$A$6:$AM$42,8,0)</f>
        <v>6279.4848226712693</v>
      </c>
      <c r="I36" s="6">
        <f t="shared" si="1"/>
        <v>860182.86860197503</v>
      </c>
      <c r="J36" s="36">
        <f>VLOOKUP($A36,[26]HISTOJANV25!$A$6:$AQ$51,22,0)</f>
        <v>0</v>
      </c>
      <c r="K36" s="36">
        <f>VLOOKUP($A36,[26]HISTOJANV25!$A$6:$AU$51,45,0)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VLOOKUP($A36,[26]HISTOJANV25!$A$6:$AU$51,8,0)</f>
        <v>0</v>
      </c>
      <c r="Q36" s="36">
        <f>VLOOKUP($A36,[26]HISTOJANV25!$A$6:$AU$51,23,0)</f>
        <v>0</v>
      </c>
      <c r="R36" s="36">
        <f>VLOOKUP($A36,[26]HISTOJANV25!$A$6:$AU$51,46,0)</f>
        <v>0</v>
      </c>
      <c r="S36" s="36">
        <f>VLOOKUP($A36,[26]HISTOJANV25!$A$6:$AU$51,26,0)</f>
        <v>0</v>
      </c>
      <c r="T36" s="36">
        <f>VLOOKUP($A36,[26]HISTOJANV25!$A$6:$BG$51,58,0)</f>
        <v>0</v>
      </c>
      <c r="U36" s="36">
        <f>VLOOKUP($A36,[26]HISTOJANV25!$A$6:$AU$51,28,0)</f>
        <v>0</v>
      </c>
      <c r="V36" s="36">
        <f>VLOOKUP($A36,[26]HISTOJANV25!$A$6:$AU$51,19,0)</f>
        <v>0</v>
      </c>
      <c r="W36" s="36">
        <f>VLOOKUP($A36,[26]HISTOJANV25!$A$6:$AU$51,20,0)</f>
        <v>0</v>
      </c>
      <c r="X36" s="36">
        <f>VLOOKUP($A36,[26]HISTOJANV25!$A$6:$AU$51,27,0)</f>
        <v>0</v>
      </c>
      <c r="Y36" s="36">
        <f>VLOOKUP($A36,[26]HISTOJANV25!$A$6:$BM$51,33,0)</f>
        <v>0</v>
      </c>
      <c r="Z36" s="36">
        <f>VLOOKUP($A36,[26]HISTOJANV25!$A$6:$BM$51,64,0)</f>
        <v>0</v>
      </c>
      <c r="AA36" s="36"/>
      <c r="AB36" s="36">
        <f>VLOOKUP($A36,[26]HISTOJANV25!$A$6:$AU$51,44,0)</f>
        <v>0</v>
      </c>
      <c r="AC36" s="36">
        <f>VLOOKUP($A36,[26]HISTOJANV25!$A$6:$AU$51,43,0)</f>
        <v>0</v>
      </c>
      <c r="AD36" s="36">
        <f>VLOOKUP($A36,[26]HISTOJANV25!$A$6:$BR$51,47,0)</f>
        <v>0</v>
      </c>
      <c r="AE36" s="36">
        <f>VLOOKUP(A36,[26]HISTOJANV25!$A$6:$BR$51,54,0)</f>
        <v>0</v>
      </c>
      <c r="AF36" s="36">
        <f>VLOOKUP($A36,[26]HISTOJANV25!$A$6:$BR$51,60,0)</f>
        <v>0</v>
      </c>
      <c r="AG36" s="36">
        <f>VLOOKUP($A36,[26]HISTOJANV25!$A$6:$CB$51,61,0)</f>
        <v>0</v>
      </c>
      <c r="AH36" s="36">
        <f>VLOOKUP($A36,[26]HISTOJANV25!$A$6:$CB$51,62,0)</f>
        <v>0</v>
      </c>
      <c r="AI36" s="36">
        <f>VLOOKUP($A36,[26]HISTOJANV25!$A$6:$CB$51,63,0)</f>
        <v>0</v>
      </c>
      <c r="AJ36" s="36">
        <f>VLOOKUP($A36,[26]HISTOJANV25!$A$6:$BR$51,64,0)</f>
        <v>0</v>
      </c>
      <c r="AK36" s="36">
        <f>VLOOKUP($A36,[26]HISTOJANV25!$A$6:$BR$51,65,0)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VLOOKUP($A37,[26]HISTOJANV25!$A$6:$BA$51,48,0)</f>
        <v>0</v>
      </c>
      <c r="F37" s="36">
        <f>VLOOKUP(A37,MVTDEC24!A37:AM72,6,0)+MVTDEC24!H37-E37+L37</f>
        <v>506750</v>
      </c>
      <c r="G37" s="5">
        <f>IF(MVTJANV25!F37&gt;800000,(MVTDEC24!I37-E37+L37),0)</f>
        <v>0</v>
      </c>
      <c r="H37" s="36">
        <f>VLOOKUP(A37,[27]MVTJANV25!$A$6:$AM$42,8,0)</f>
        <v>0</v>
      </c>
      <c r="I37" s="6">
        <f t="shared" si="1"/>
        <v>506750</v>
      </c>
      <c r="J37" s="36">
        <f>VLOOKUP($A37,[26]HISTOJANV25!$A$6:$AQ$51,22,0)</f>
        <v>0</v>
      </c>
      <c r="K37" s="36">
        <f>VLOOKUP($A37,[26]HISTOJANV25!$A$6:$AU$51,45,0)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VLOOKUP($A37,[26]HISTOJANV25!$A$6:$AU$51,8,0)</f>
        <v>0</v>
      </c>
      <c r="Q37" s="36">
        <f>VLOOKUP($A37,[26]HISTOJANV25!$A$6:$AU$51,23,0)</f>
        <v>0</v>
      </c>
      <c r="R37" s="36">
        <f>VLOOKUP($A37,[26]HISTOJANV25!$A$6:$AU$51,46,0)</f>
        <v>0</v>
      </c>
      <c r="S37" s="36">
        <f>VLOOKUP($A37,[26]HISTOJANV25!$A$6:$AU$51,26,0)</f>
        <v>0</v>
      </c>
      <c r="T37" s="36">
        <f>VLOOKUP($A37,[26]HISTOJANV25!$A$6:$BG$51,58,0)</f>
        <v>0</v>
      </c>
      <c r="U37" s="36">
        <f>VLOOKUP($A37,[26]HISTOJANV25!$A$6:$AU$51,28,0)</f>
        <v>0</v>
      </c>
      <c r="V37" s="36">
        <f>VLOOKUP($A37,[26]HISTOJANV25!$A$6:$AU$51,19,0)</f>
        <v>0</v>
      </c>
      <c r="W37" s="36">
        <f>VLOOKUP($A37,[26]HISTOJANV25!$A$6:$AU$51,20,0)</f>
        <v>0</v>
      </c>
      <c r="X37" s="36">
        <f>VLOOKUP($A37,[26]HISTOJANV25!$A$6:$AU$51,27,0)</f>
        <v>0</v>
      </c>
      <c r="Y37" s="36">
        <f>VLOOKUP($A37,[26]HISTOJANV25!$A$6:$BM$51,33,0)</f>
        <v>0</v>
      </c>
      <c r="Z37" s="36">
        <f>VLOOKUP($A37,[26]HISTOJANV25!$A$6:$BM$51,64,0)</f>
        <v>0</v>
      </c>
      <c r="AA37" s="36"/>
      <c r="AB37" s="36">
        <f>VLOOKUP($A37,[26]HISTOJANV25!$A$6:$AU$51,44,0)</f>
        <v>0</v>
      </c>
      <c r="AC37" s="36">
        <f>VLOOKUP($A37,[26]HISTOJANV25!$A$6:$AU$51,43,0)</f>
        <v>0</v>
      </c>
      <c r="AD37" s="36">
        <f>VLOOKUP($A37,[26]HISTOJANV25!$A$6:$BR$51,47,0)</f>
        <v>0</v>
      </c>
      <c r="AE37" s="36">
        <f>VLOOKUP(A37,[26]HISTOJANV25!$A$6:$BR$51,54,0)</f>
        <v>0</v>
      </c>
      <c r="AF37" s="36">
        <f>VLOOKUP($A37,[26]HISTOJANV25!$A$6:$BR$51,60,0)</f>
        <v>0</v>
      </c>
      <c r="AG37" s="36">
        <f>VLOOKUP($A37,[26]HISTOJANV25!$A$6:$CB$51,61,0)</f>
        <v>0</v>
      </c>
      <c r="AH37" s="36">
        <f>VLOOKUP($A37,[26]HISTOJANV25!$A$6:$CB$51,62,0)</f>
        <v>0</v>
      </c>
      <c r="AI37" s="36">
        <f>VLOOKUP($A37,[26]HISTOJANV25!$A$6:$CB$51,63,0)</f>
        <v>0</v>
      </c>
      <c r="AJ37" s="36">
        <f>VLOOKUP($A37,[26]HISTOJANV25!$A$6:$BR$51,64,0)</f>
        <v>0</v>
      </c>
      <c r="AK37" s="36">
        <f>VLOOKUP($A37,[26]HISTOJANV25!$A$6:$BR$51,65,0)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VLOOKUP($A38,[26]HISTOJANV25!$A$6:$BA$51,48,0)</f>
        <v>0</v>
      </c>
      <c r="F38" s="36">
        <f>VLOOKUP(A38,MVTDEC24!A38:AM73,6,0)+MVTDEC24!H38-E38+L38</f>
        <v>19000</v>
      </c>
      <c r="G38" s="5">
        <f>IF(MVTJANV25!F38&gt;800000,(MVTDEC24!I38-E38+L38),0)</f>
        <v>0</v>
      </c>
      <c r="H38" s="36">
        <f>VLOOKUP(A38,[27]MVTJANV25!$A$6:$AM$42,8,0)</f>
        <v>0</v>
      </c>
      <c r="I38" s="6">
        <f t="shared" ref="I38" si="21">F38+H38</f>
        <v>19000</v>
      </c>
      <c r="J38" s="36">
        <f>VLOOKUP($A38,[26]HISTOJANV25!$A$6:$AQ$51,22,0)</f>
        <v>0</v>
      </c>
      <c r="K38" s="36">
        <f>VLOOKUP($A38,[26]HISTOJANV25!$A$6:$AU$51,45,0)</f>
        <v>25000</v>
      </c>
      <c r="L38" s="36">
        <f t="shared" si="2"/>
        <v>19000</v>
      </c>
      <c r="M38" s="36">
        <f t="shared" ref="M38" si="22">IF(K38=0,0,1000)</f>
        <v>1000</v>
      </c>
      <c r="N38" s="36">
        <f t="shared" ref="N38" si="23">IF(K38=0,0,1000)</f>
        <v>1000</v>
      </c>
      <c r="O38" s="36">
        <f t="shared" ref="O38" si="24">IF(K38=0,0,4000)</f>
        <v>4000</v>
      </c>
      <c r="P38" s="36">
        <f>VLOOKUP($A38,[26]HISTOJANV25!$A$6:$AU$51,8,0)</f>
        <v>0</v>
      </c>
      <c r="Q38" s="36">
        <f>VLOOKUP($A38,[26]HISTOJANV25!$A$6:$AU$51,23,0)</f>
        <v>0</v>
      </c>
      <c r="R38" s="36">
        <f>VLOOKUP($A38,[26]HISTOJANV25!$A$6:$AU$51,46,0)</f>
        <v>0</v>
      </c>
      <c r="S38" s="36">
        <f>VLOOKUP($A38,[26]HISTOJANV25!$A$6:$AU$51,26,0)</f>
        <v>0</v>
      </c>
      <c r="T38" s="36">
        <f>VLOOKUP($A38,[26]HISTOJANV25!$A$6:$BG$51,58,0)</f>
        <v>0</v>
      </c>
      <c r="U38" s="36">
        <f>VLOOKUP($A38,[26]HISTOJANV25!$A$6:$AU$51,28,0)</f>
        <v>0</v>
      </c>
      <c r="V38" s="36">
        <f>VLOOKUP($A38,[26]HISTOJANV25!$A$6:$AU$51,19,0)</f>
        <v>0</v>
      </c>
      <c r="W38" s="36">
        <f>VLOOKUP($A38,[26]HISTOJANV25!$A$6:$AU$51,20,0)</f>
        <v>0</v>
      </c>
      <c r="X38" s="36">
        <f>VLOOKUP($A38,[26]HISTOJANV25!$A$6:$AU$51,27,0)</f>
        <v>0</v>
      </c>
      <c r="Y38" s="36">
        <f>VLOOKUP($A38,[26]HISTOJANV25!$A$6:$BM$51,33,0)</f>
        <v>0</v>
      </c>
      <c r="Z38" s="36">
        <f>VLOOKUP($A38,[26]HISTOJANV25!$A$6:$BM$51,64,0)</f>
        <v>0</v>
      </c>
      <c r="AA38" s="36"/>
      <c r="AB38" s="36">
        <f>VLOOKUP($A38,[26]HISTOJANV25!$A$6:$AU$51,44,0)</f>
        <v>0</v>
      </c>
      <c r="AC38" s="36">
        <f>VLOOKUP($A38,[26]HISTOJANV25!$A$6:$AU$51,43,0)</f>
        <v>0</v>
      </c>
      <c r="AD38" s="36">
        <f>VLOOKUP($A38,[26]HISTOJANV25!$A$6:$BR$51,47,0)</f>
        <v>0</v>
      </c>
      <c r="AE38" s="36">
        <f>VLOOKUP(A38,[26]HISTOJANV25!$A$6:$BR$51,54,0)</f>
        <v>0</v>
      </c>
      <c r="AF38" s="36">
        <f>VLOOKUP($A38,[26]HISTOJANV25!$A$6:$BR$51,60,0)</f>
        <v>0</v>
      </c>
      <c r="AG38" s="36">
        <f>VLOOKUP($A38,[26]HISTOJANV25!$A$6:$CB$51,61,0)</f>
        <v>0</v>
      </c>
      <c r="AH38" s="36">
        <f>VLOOKUP($A38,[26]HISTOJANV25!$A$6:$CB$51,62,0)</f>
        <v>0</v>
      </c>
      <c r="AI38" s="36">
        <f>VLOOKUP($A38,[26]HISTOJANV25!$A$6:$CB$51,63,0)</f>
        <v>0</v>
      </c>
      <c r="AJ38" s="36">
        <f>VLOOKUP($A38,[26]HISTOJANV25!$A$6:$BR$51,64,0)</f>
        <v>0</v>
      </c>
      <c r="AK38" s="36">
        <f>VLOOKUP($A38,[26]HISTOJANV25!$A$6:$BR$51,65,0)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VLOOKUP($A39,[26]HISTOJANV25!$A$6:$BA$51,48,0)</f>
        <v>0</v>
      </c>
      <c r="F39" s="36">
        <f>VLOOKUP(A39,MVTDEC24!A39:AM74,6,0)+MVTDEC24!H39-E39+L39</f>
        <v>823399.2173826613</v>
      </c>
      <c r="G39" s="5">
        <f>IF(MVTJANV25!F39&gt;800000,(MVTDEC24!I39-E39+L39),0)</f>
        <v>823399.2173826613</v>
      </c>
      <c r="H39" s="36">
        <f>VLOOKUP(A39,[27]MVTJANV25!$A$6:$AM$42,8,0)</f>
        <v>6055.1614934110321</v>
      </c>
      <c r="I39" s="6">
        <f t="shared" si="1"/>
        <v>829454.37887607235</v>
      </c>
      <c r="J39" s="36">
        <f>VLOOKUP($A39,[26]HISTOJANV25!$A$6:$AQ$51,22,0)</f>
        <v>0</v>
      </c>
      <c r="K39" s="36">
        <f>VLOOKUP($A39,[26]HISTOJANV25!$A$6:$AU$51,45,0)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VLOOKUP($A39,[26]HISTOJANV25!$A$6:$AU$51,8,0)</f>
        <v>0</v>
      </c>
      <c r="Q39" s="36">
        <f>VLOOKUP($A39,[26]HISTOJANV25!$A$6:$AU$51,23,0)</f>
        <v>0</v>
      </c>
      <c r="R39" s="36">
        <f>VLOOKUP($A39,[26]HISTOJANV25!$A$6:$AU$51,46,0)</f>
        <v>0</v>
      </c>
      <c r="S39" s="36">
        <f>VLOOKUP($A39,[26]HISTOJANV25!$A$6:$AU$51,26,0)</f>
        <v>0</v>
      </c>
      <c r="T39" s="36">
        <f>VLOOKUP($A39,[26]HISTOJANV25!$A$6:$BG$51,58,0)</f>
        <v>0</v>
      </c>
      <c r="U39" s="36">
        <f>VLOOKUP($A39,[26]HISTOJANV25!$A$6:$AU$51,28,0)</f>
        <v>0</v>
      </c>
      <c r="V39" s="36">
        <f>VLOOKUP($A39,[26]HISTOJANV25!$A$6:$AU$51,19,0)</f>
        <v>0</v>
      </c>
      <c r="W39" s="36">
        <f>VLOOKUP($A39,[26]HISTOJANV25!$A$6:$AU$51,20,0)</f>
        <v>0</v>
      </c>
      <c r="X39" s="36">
        <f>VLOOKUP($A39,[26]HISTOJANV25!$A$6:$AU$51,27,0)</f>
        <v>0</v>
      </c>
      <c r="Y39" s="36">
        <f>VLOOKUP($A39,[26]HISTOJANV25!$A$6:$BM$51,33,0)</f>
        <v>0</v>
      </c>
      <c r="Z39" s="36">
        <f>VLOOKUP($A39,[26]HISTOJANV25!$A$6:$BM$51,64,0)</f>
        <v>0</v>
      </c>
      <c r="AA39" s="36"/>
      <c r="AB39" s="36">
        <f>VLOOKUP($A39,[26]HISTOJANV25!$A$6:$AU$51,44,0)</f>
        <v>0</v>
      </c>
      <c r="AC39" s="36">
        <f>VLOOKUP($A39,[26]HISTOJANV25!$A$6:$AU$51,43,0)</f>
        <v>0</v>
      </c>
      <c r="AD39" s="36">
        <f>VLOOKUP($A39,[26]HISTOJANV25!$A$6:$BR$51,47,0)</f>
        <v>0</v>
      </c>
      <c r="AE39" s="36">
        <f>VLOOKUP(A39,[26]HISTOJANV25!$A$6:$BR$51,54,0)</f>
        <v>0</v>
      </c>
      <c r="AF39" s="36">
        <f>VLOOKUP($A39,[26]HISTOJANV25!$A$6:$BR$51,60,0)</f>
        <v>0</v>
      </c>
      <c r="AG39" s="36">
        <f>VLOOKUP($A39,[26]HISTOJANV25!$A$6:$CB$51,61,0)</f>
        <v>0</v>
      </c>
      <c r="AH39" s="36">
        <f>VLOOKUP($A39,[26]HISTOJANV25!$A$6:$CB$51,62,0)</f>
        <v>0</v>
      </c>
      <c r="AI39" s="36">
        <f>VLOOKUP($A39,[26]HISTOJANV25!$A$6:$CB$51,63,0)</f>
        <v>0</v>
      </c>
      <c r="AJ39" s="36">
        <f>VLOOKUP($A39,[26]HISTOJANV25!$A$6:$BR$51,64,0)</f>
        <v>0</v>
      </c>
      <c r="AK39" s="36">
        <f>VLOOKUP($A39,[26]HISTOJANV25!$A$6:$BR$51,65,0)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VLOOKUP($A40,[26]HISTOJANV25!$A$6:$BA$51,48,0)</f>
        <v>0</v>
      </c>
      <c r="F40" s="36">
        <f>VLOOKUP(A40,MVTDEC24!A40:AM75,6,0)+MVTDEC24!H40-E40+L40</f>
        <v>1632658.3495422073</v>
      </c>
      <c r="G40" s="5">
        <f>IF(MVTJANV25!F40&gt;800000,(MVTDEC24!I40-E40+L40),0)</f>
        <v>1632658.3495422073</v>
      </c>
      <c r="H40" s="36">
        <f>VLOOKUP(A40,[27]MVTJANV25!$A$6:$AM$42,8,0)</f>
        <v>12006.338798169663</v>
      </c>
      <c r="I40" s="6">
        <f t="shared" si="1"/>
        <v>1644664.6883403771</v>
      </c>
      <c r="J40" s="36">
        <f>VLOOKUP($A40,[26]HISTOJANV25!$A$6:$AQ$51,22,0)</f>
        <v>0</v>
      </c>
      <c r="K40" s="36">
        <f>VLOOKUP($A40,[26]HISTOJANV25!$A$6:$AU$51,45,0)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VLOOKUP($A40,[26]HISTOJANV25!$A$6:$AU$51,8,0)</f>
        <v>0</v>
      </c>
      <c r="Q40" s="36">
        <f>VLOOKUP($A40,[26]HISTOJANV25!$A$6:$AU$51,23,0)</f>
        <v>0</v>
      </c>
      <c r="R40" s="36">
        <f>VLOOKUP($A40,[26]HISTOJANV25!$A$6:$AU$51,46,0)</f>
        <v>0</v>
      </c>
      <c r="S40" s="36">
        <f>VLOOKUP($A40,[26]HISTOJANV25!$A$6:$AU$51,26,0)</f>
        <v>0</v>
      </c>
      <c r="T40" s="36">
        <f>VLOOKUP($A40,[26]HISTOJANV25!$A$6:$BG$51,58,0)</f>
        <v>0</v>
      </c>
      <c r="U40" s="36">
        <f>VLOOKUP($A40,[26]HISTOJANV25!$A$6:$AU$51,28,0)</f>
        <v>0</v>
      </c>
      <c r="V40" s="36">
        <f>VLOOKUP($A40,[26]HISTOJANV25!$A$6:$AU$51,19,0)</f>
        <v>0</v>
      </c>
      <c r="W40" s="36">
        <f>VLOOKUP($A40,[26]HISTOJANV25!$A$6:$AU$51,20,0)</f>
        <v>0</v>
      </c>
      <c r="X40" s="36">
        <f>VLOOKUP($A40,[26]HISTOJANV25!$A$6:$AU$51,27,0)</f>
        <v>0</v>
      </c>
      <c r="Y40" s="36">
        <f>VLOOKUP($A40,[26]HISTOJANV25!$A$6:$BM$51,33,0)</f>
        <v>0</v>
      </c>
      <c r="Z40" s="36">
        <f>VLOOKUP($A40,[26]HISTOJANV25!$A$6:$BM$51,64,0)</f>
        <v>0</v>
      </c>
      <c r="AA40" s="36"/>
      <c r="AB40" s="36">
        <f>VLOOKUP($A40,[26]HISTOJANV25!$A$6:$AU$51,44,0)</f>
        <v>0</v>
      </c>
      <c r="AC40" s="36">
        <f>VLOOKUP($A40,[26]HISTOJANV25!$A$6:$AU$51,43,0)</f>
        <v>0</v>
      </c>
      <c r="AD40" s="36">
        <f>VLOOKUP($A40,[26]HISTOJANV25!$A$6:$BR$51,47,0)</f>
        <v>0</v>
      </c>
      <c r="AE40" s="36">
        <f>VLOOKUP(A40,[26]HISTOJANV25!$A$6:$BR$51,54,0)</f>
        <v>0</v>
      </c>
      <c r="AF40" s="36">
        <f>VLOOKUP($A40,[26]HISTOJANV25!$A$6:$BR$51,60,0)</f>
        <v>0</v>
      </c>
      <c r="AG40" s="36">
        <f>VLOOKUP($A40,[26]HISTOJANV25!$A$6:$CB$51,61,0)</f>
        <v>0</v>
      </c>
      <c r="AH40" s="36">
        <f>VLOOKUP($A40,[26]HISTOJANV25!$A$6:$CB$51,62,0)</f>
        <v>0</v>
      </c>
      <c r="AI40" s="36">
        <f>VLOOKUP($A40,[26]HISTOJANV25!$A$6:$CB$51,63,0)</f>
        <v>0</v>
      </c>
      <c r="AJ40" s="36">
        <f>VLOOKUP($A40,[26]HISTOJANV25!$A$6:$BR$51,64,0)</f>
        <v>0</v>
      </c>
      <c r="AK40" s="36">
        <f>VLOOKUP($A40,[26]HISTOJANV25!$A$6:$BR$51,65,0)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VLOOKUP($A41,[26]HISTOJANV25!$A$6:$BA$51,48,0)</f>
        <v>0</v>
      </c>
      <c r="F41" s="36">
        <f>VLOOKUP(A41,MVTDEC24!A41:AM76,6,0)+MVTDEC24!H41-E41+L41</f>
        <v>857711.03320445423</v>
      </c>
      <c r="G41" s="5">
        <f>IF(MVTJANV25!F41&gt;800000,(MVTDEC24!I41-E41+L41),0)</f>
        <v>857711.03320445423</v>
      </c>
      <c r="H41" s="36">
        <f>VLOOKUP(A41,[27]MVTJANV25!$A$6:$AM$42,8,0)</f>
        <v>6307.4857385002488</v>
      </c>
      <c r="I41" s="6">
        <f t="shared" si="1"/>
        <v>864018.51894295448</v>
      </c>
      <c r="J41" s="36">
        <f>VLOOKUP($A41,[26]HISTOJANV25!$A$6:$AQ$51,22,0)</f>
        <v>0</v>
      </c>
      <c r="K41" s="36">
        <f>VLOOKUP($A41,[26]HISTOJANV25!$A$6:$AU$51,45,0)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VLOOKUP($A41,[26]HISTOJANV25!$A$6:$AU$51,8,0)</f>
        <v>0</v>
      </c>
      <c r="Q41" s="36">
        <f>VLOOKUP($A41,[26]HISTOJANV25!$A$6:$AU$51,23,0)</f>
        <v>0</v>
      </c>
      <c r="R41" s="36">
        <f>VLOOKUP($A41,[26]HISTOJANV25!$A$6:$AU$51,46,0)</f>
        <v>0</v>
      </c>
      <c r="S41" s="36">
        <f>VLOOKUP($A41,[26]HISTOJANV25!$A$6:$AU$51,26,0)</f>
        <v>0</v>
      </c>
      <c r="T41" s="36">
        <f>VLOOKUP($A41,[26]HISTOJANV25!$A$6:$BG$51,58,0)</f>
        <v>0</v>
      </c>
      <c r="U41" s="36">
        <f>VLOOKUP($A41,[26]HISTOJANV25!$A$6:$AU$51,28,0)</f>
        <v>0</v>
      </c>
      <c r="V41" s="36">
        <f>VLOOKUP($A41,[26]HISTOJANV25!$A$6:$AU$51,19,0)</f>
        <v>0</v>
      </c>
      <c r="W41" s="36">
        <f>VLOOKUP($A41,[26]HISTOJANV25!$A$6:$AU$51,20,0)</f>
        <v>0</v>
      </c>
      <c r="X41" s="36">
        <f>VLOOKUP($A41,[26]HISTOJANV25!$A$6:$AU$51,27,0)</f>
        <v>0</v>
      </c>
      <c r="Y41" s="36">
        <f>VLOOKUP($A41,[26]HISTOJANV25!$A$6:$BM$51,33,0)</f>
        <v>0</v>
      </c>
      <c r="Z41" s="36">
        <f>VLOOKUP($A41,[26]HISTOJANV25!$A$6:$BM$51,64,0)</f>
        <v>0</v>
      </c>
      <c r="AA41" s="36"/>
      <c r="AB41" s="36">
        <f>VLOOKUP($A41,[26]HISTOJANV25!$A$6:$AU$51,44,0)</f>
        <v>0</v>
      </c>
      <c r="AC41" s="36">
        <f>VLOOKUP($A41,[26]HISTOJANV25!$A$6:$AU$51,43,0)</f>
        <v>0</v>
      </c>
      <c r="AD41" s="36">
        <f>VLOOKUP($A41,[26]HISTOJANV25!$A$6:$BR$51,47,0)</f>
        <v>0</v>
      </c>
      <c r="AE41" s="36">
        <f>VLOOKUP(A41,[26]HISTOJANV25!$A$6:$BR$51,54,0)</f>
        <v>0</v>
      </c>
      <c r="AF41" s="36">
        <f>VLOOKUP($A41,[26]HISTOJANV25!$A$6:$BR$51,60,0)</f>
        <v>0</v>
      </c>
      <c r="AG41" s="36">
        <f>VLOOKUP($A41,[26]HISTOJANV25!$A$6:$CB$51,61,0)</f>
        <v>0</v>
      </c>
      <c r="AH41" s="36">
        <f>VLOOKUP($A41,[26]HISTOJANV25!$A$6:$CB$51,62,0)</f>
        <v>0</v>
      </c>
      <c r="AI41" s="36">
        <f>VLOOKUP($A41,[26]HISTOJANV25!$A$6:$CB$51,63,0)</f>
        <v>100000</v>
      </c>
      <c r="AJ41" s="36">
        <f>VLOOKUP($A41,[26]HISTOJANV25!$A$6:$BR$51,64,0)</f>
        <v>0</v>
      </c>
      <c r="AK41" s="36">
        <f>VLOOKUP($A41,[26]HISTOJANV25!$A$6:$BR$51,65,0)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VLOOKUP($A42,[26]HISTOJANV25!$A$6:$BA$51,48,0)</f>
        <v>0</v>
      </c>
      <c r="F42" s="36">
        <f>VLOOKUP(A42,MVTDEC24!A42:AM77,6,0)+MVTDEC24!H42-E42+L42</f>
        <v>2216375.3035173076</v>
      </c>
      <c r="G42" s="5">
        <f>IF(MVTJANV25!F42&gt;800000,(MVTDEC24!I42-E42+L42),0)</f>
        <v>2216375.3035173076</v>
      </c>
      <c r="H42" s="36">
        <f>VLOOKUP(A42,[27]MVTJANV25!$A$6:$AM$42,8,0)</f>
        <v>16298.910795015036</v>
      </c>
      <c r="I42" s="6">
        <f t="shared" si="1"/>
        <v>2232674.2143123224</v>
      </c>
      <c r="J42" s="36">
        <f>VLOOKUP($A42,[26]HISTOJANV25!$A$6:$AQ$51,22,0)</f>
        <v>0</v>
      </c>
      <c r="K42" s="36">
        <f>VLOOKUP($A42,[26]HISTOJANV25!$A$6:$AU$51,45,0)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VLOOKUP($A42,[26]HISTOJANV25!$A$6:$AU$51,8,0)</f>
        <v>0</v>
      </c>
      <c r="Q42" s="36">
        <f>VLOOKUP($A42,[26]HISTOJANV25!$A$6:$AU$51,23,0)</f>
        <v>0</v>
      </c>
      <c r="R42" s="36">
        <f>VLOOKUP($A42,[26]HISTOJANV25!$A$6:$AU$51,46,0)</f>
        <v>0</v>
      </c>
      <c r="S42" s="36">
        <f>VLOOKUP($A42,[26]HISTOJANV25!$A$6:$AU$51,26,0)</f>
        <v>0</v>
      </c>
      <c r="T42" s="36">
        <f>VLOOKUP($A42,[26]HISTOJANV25!$A$6:$BG$51,58,0)</f>
        <v>0</v>
      </c>
      <c r="U42" s="36">
        <f>VLOOKUP($A42,[26]HISTOJANV25!$A$6:$AU$51,28,0)</f>
        <v>0</v>
      </c>
      <c r="V42" s="36">
        <f>VLOOKUP($A42,[26]HISTOJANV25!$A$6:$AU$51,19,0)</f>
        <v>0</v>
      </c>
      <c r="W42" s="36">
        <f>VLOOKUP($A42,[26]HISTOJANV25!$A$6:$AU$51,20,0)</f>
        <v>0</v>
      </c>
      <c r="X42" s="36">
        <f>VLOOKUP($A42,[26]HISTOJANV25!$A$6:$AU$51,27,0)</f>
        <v>0</v>
      </c>
      <c r="Y42" s="36">
        <f>VLOOKUP($A42,[26]HISTOJANV25!$A$6:$BM$51,33,0)</f>
        <v>0</v>
      </c>
      <c r="Z42" s="36">
        <f>VLOOKUP($A42,[26]HISTOJANV25!$A$6:$BM$51,64,0)</f>
        <v>0</v>
      </c>
      <c r="AA42" s="36"/>
      <c r="AB42" s="36">
        <f>VLOOKUP($A42,[26]HISTOJANV25!$A$6:$AU$51,44,0)</f>
        <v>0</v>
      </c>
      <c r="AC42" s="36">
        <f>VLOOKUP($A42,[26]HISTOJANV25!$A$6:$AU$51,43,0)</f>
        <v>0</v>
      </c>
      <c r="AD42" s="36">
        <f>VLOOKUP($A42,[26]HISTOJANV25!$A$6:$BR$51,47,0)</f>
        <v>0</v>
      </c>
      <c r="AE42" s="36">
        <f>VLOOKUP(A42,[26]HISTOJANV25!$A$6:$BR$51,54,0)</f>
        <v>0</v>
      </c>
      <c r="AF42" s="36">
        <f>VLOOKUP($A42,[26]HISTOJANV25!$A$6:$BR$51,60,0)</f>
        <v>0</v>
      </c>
      <c r="AG42" s="36">
        <f>VLOOKUP($A42,[26]HISTOJANV25!$A$6:$CB$51,61,0)</f>
        <v>0</v>
      </c>
      <c r="AH42" s="36">
        <f>VLOOKUP($A42,[26]HISTOJANV25!$A$6:$CB$51,62,0)</f>
        <v>0</v>
      </c>
      <c r="AI42" s="36">
        <f>VLOOKUP($A42,[26]HISTOJANV25!$A$6:$CB$51,63,0)</f>
        <v>0</v>
      </c>
      <c r="AJ42" s="36">
        <f>VLOOKUP($A42,[26]HISTOJANV25!$A$6:$BR$51,64,0)</f>
        <v>0</v>
      </c>
      <c r="AK42" s="36">
        <f>VLOOKUP($A42,[26]HISTOJANV25!$A$6:$BR$51,65,0)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75"/>
      <c r="L43" s="175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25">SUM(C6:C43)</f>
        <v>0</v>
      </c>
      <c r="D44" s="9">
        <f t="shared" si="25"/>
        <v>0</v>
      </c>
      <c r="E44" s="9">
        <f t="shared" si="25"/>
        <v>0</v>
      </c>
      <c r="F44" s="9">
        <f t="shared" si="25"/>
        <v>33380954.000000004</v>
      </c>
      <c r="G44" s="9">
        <f>SUM(G6:G43)</f>
        <v>32159987.000000004</v>
      </c>
      <c r="H44" s="36">
        <f t="shared" si="25"/>
        <v>236499.99999999994</v>
      </c>
      <c r="I44" s="9">
        <f t="shared" si="25"/>
        <v>33617454</v>
      </c>
      <c r="J44" s="9">
        <f t="shared" si="25"/>
        <v>0</v>
      </c>
      <c r="K44" s="9">
        <f t="shared" si="25"/>
        <v>1545000</v>
      </c>
      <c r="L44" s="9">
        <f t="shared" si="25"/>
        <v>1539625</v>
      </c>
      <c r="M44" s="9">
        <f t="shared" si="25"/>
        <v>34000</v>
      </c>
      <c r="N44" s="9">
        <f t="shared" si="25"/>
        <v>34000</v>
      </c>
      <c r="O44" s="9">
        <f t="shared" si="25"/>
        <v>136000</v>
      </c>
      <c r="P44" s="9">
        <f t="shared" si="25"/>
        <v>0</v>
      </c>
      <c r="Q44" s="9">
        <f t="shared" si="25"/>
        <v>0</v>
      </c>
      <c r="R44" s="9">
        <f t="shared" si="25"/>
        <v>0</v>
      </c>
      <c r="S44" s="9">
        <f t="shared" si="25"/>
        <v>2000000</v>
      </c>
      <c r="T44" s="9">
        <f t="shared" si="25"/>
        <v>236500</v>
      </c>
      <c r="U44" s="9">
        <f t="shared" si="25"/>
        <v>0</v>
      </c>
      <c r="V44" s="9">
        <f t="shared" si="25"/>
        <v>346500</v>
      </c>
      <c r="W44" s="9"/>
      <c r="X44" s="9">
        <f t="shared" si="25"/>
        <v>0</v>
      </c>
      <c r="Y44" s="9">
        <f t="shared" si="25"/>
        <v>0</v>
      </c>
      <c r="Z44" s="9">
        <f t="shared" si="25"/>
        <v>0</v>
      </c>
      <c r="AA44" s="9">
        <f t="shared" si="25"/>
        <v>0</v>
      </c>
      <c r="AB44" s="9">
        <f t="shared" si="25"/>
        <v>0</v>
      </c>
      <c r="AC44" s="9">
        <f t="shared" si="25"/>
        <v>0</v>
      </c>
      <c r="AD44" s="9">
        <f t="shared" si="25"/>
        <v>0</v>
      </c>
      <c r="AE44" s="9">
        <f t="shared" si="25"/>
        <v>0</v>
      </c>
      <c r="AF44" s="9">
        <f t="shared" si="25"/>
        <v>72000</v>
      </c>
      <c r="AG44" s="9">
        <f t="shared" si="25"/>
        <v>200000</v>
      </c>
      <c r="AH44" s="9">
        <f t="shared" si="25"/>
        <v>0</v>
      </c>
      <c r="AI44" s="9">
        <f t="shared" si="25"/>
        <v>100000</v>
      </c>
      <c r="AJ44" s="9">
        <f t="shared" si="25"/>
        <v>0</v>
      </c>
      <c r="AK44" s="9">
        <f t="shared" si="25"/>
        <v>0</v>
      </c>
      <c r="AL44" s="9">
        <f t="shared" si="25"/>
        <v>401000</v>
      </c>
    </row>
    <row r="46" spans="1:38" x14ac:dyDescent="0.35">
      <c r="M46" s="2">
        <v>34000</v>
      </c>
      <c r="N46" s="2">
        <v>34000</v>
      </c>
      <c r="O46" s="2">
        <v>136000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75"/>
      <c r="L47" s="175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B69F-72DB-4E25-8B11-E6CE2A4445B8}">
  <dimension ref="A1:AM47"/>
  <sheetViews>
    <sheetView workbookViewId="0">
      <pane xSplit="2" ySplit="5" topLeftCell="G36" activePane="bottomRight" state="frozen"/>
      <selection activeCell="B43" sqref="B43"/>
      <selection pane="topRight" activeCell="B43" sqref="B43"/>
      <selection pane="bottomLeft" activeCell="B43" sqref="B43"/>
      <selection pane="bottomRight" activeCell="A37" sqref="A37:XFD3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79" bestFit="1" customWidth="1"/>
    <col min="12" max="12" width="17.54296875" style="179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78"/>
      <c r="K4" s="192">
        <v>45705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VLOOKUP(A6,MVTJANV25!A6:AM42,6,0)+MVTJANV25!H6-E6+L6</f>
        <v>1080204.8653915767</v>
      </c>
      <c r="G6" s="5">
        <f>IF(MVTFEV25!F6&gt;800000,(MVTJANV25!I6-E6+L6),0)</f>
        <v>1080204.8653915767</v>
      </c>
      <c r="H6" s="36">
        <f>VLOOKUP(A6,[27]MVTFEV25!$A$6:$AM$42,8,0)</f>
        <v>955.55686757766159</v>
      </c>
      <c r="I6" s="6">
        <f>F6+H6</f>
        <v>1081160.4222591543</v>
      </c>
      <c r="J6" s="36">
        <f>VLOOKUP($A6,[26]HISTOFEV25!$A$6:$AQ$51,22,0)</f>
        <v>0</v>
      </c>
      <c r="K6" s="36">
        <f>VLOOKUP($A6,[26]HISTOFEV25!$A$6:$AU$51,45,0)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VLOOKUP($A6,[26]HISTOFEV25!$A$6:$AU$51,8,0)</f>
        <v>0</v>
      </c>
      <c r="Q6" s="36">
        <f>VLOOKUP($A6,[26]HISTOFEV25!$A$6:$AU$51,23,0)</f>
        <v>0</v>
      </c>
      <c r="R6" s="36">
        <f>VLOOKUP($A6,[26]HISTOFEV25!$A$6:$AU$51,46,0)</f>
        <v>0</v>
      </c>
      <c r="S6" s="36">
        <f>VLOOKUP($A6,[26]HISTOFEV25!$A$6:$AU$51,26,0)</f>
        <v>0</v>
      </c>
      <c r="T6" s="36">
        <f>VLOOKUP($A6,[26]HISTOFEV25!$A$6:$BG$51,58,0)</f>
        <v>0</v>
      </c>
      <c r="U6" s="36">
        <f>VLOOKUP($A6,[26]HISTOFEV25!$A$6:$AU$51,28,0)</f>
        <v>0</v>
      </c>
      <c r="V6" s="36">
        <f>VLOOKUP($A6,[26]HISTOFEV25!$A$6:$AU$51,19,0)</f>
        <v>0</v>
      </c>
      <c r="W6" s="36">
        <f>VLOOKUP($A6,[26]HISTOFEV25!$A$6:$AU$51,20,0)</f>
        <v>0</v>
      </c>
      <c r="X6" s="36">
        <f>VLOOKUP($A6,[26]HISTOFEV25!$A$6:$AU$51,27,0)</f>
        <v>0</v>
      </c>
      <c r="Y6" s="36">
        <f>VLOOKUP($A6,[26]HISTOFEV25!$A$6:$BM$51,33,0)</f>
        <v>0</v>
      </c>
      <c r="Z6" s="36">
        <f>VLOOKUP($A6,[26]HISTOFEV25!$A$6:$BM$51,64,0)</f>
        <v>0</v>
      </c>
      <c r="AA6" s="36"/>
      <c r="AB6" s="36">
        <f>VLOOKUP($A6,[26]HISTOFEV25!$A$6:$AU$51,44,0)</f>
        <v>0</v>
      </c>
      <c r="AC6" s="36">
        <f>VLOOKUP($A6,[26]HISTOFEV25!$A$6:$AU$51,43,0)</f>
        <v>0</v>
      </c>
      <c r="AD6" s="36">
        <f>VLOOKUP($A6,[26]HISTOFEV25!$A$6:$BR$51,47,0)</f>
        <v>0</v>
      </c>
      <c r="AE6" s="36">
        <f>VLOOKUP(A6,[26]HISTOFEV25!$A$6:$BR$51,54,0)</f>
        <v>0</v>
      </c>
      <c r="AF6" s="36">
        <f>VLOOKUP($A6,[26]HISTOFEV25!$A$6:$BR$51,60,0)</f>
        <v>36000</v>
      </c>
      <c r="AG6" s="36">
        <f>VLOOKUP($A6,[26]HISTOFEV25!$A$6:$CB$51,61,0)</f>
        <v>0</v>
      </c>
      <c r="AH6" s="36">
        <f>VLOOKUP($A6,[26]HISTOFEV25!$A$6:$CB$51,62,0)</f>
        <v>0</v>
      </c>
      <c r="AI6" s="36">
        <f>VLOOKUP($A6,[26]HISTOFEV25!$A$6:$CB$51,63,0)</f>
        <v>0</v>
      </c>
      <c r="AJ6" s="36">
        <f>VLOOKUP($A6,[26]HISTOFEV25!$A$6:$BR$51,64,0)</f>
        <v>0</v>
      </c>
      <c r="AK6" s="36">
        <f>VLOOKUP($A6,[26]HISTOFEV25!$A$6:$BR$51,65,0)</f>
        <v>0</v>
      </c>
      <c r="AL6" s="36">
        <f>VLOOKUP($A6,[26]HISTOFEV25!$A$6:$BR$40,66,0)</f>
        <v>0</v>
      </c>
      <c r="AM6" s="2" t="s">
        <v>343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VLOOKUP($A7,[26]HISTOFEV25!$A$6:$BA$51,48,0)</f>
        <v>0</v>
      </c>
      <c r="F7" s="36">
        <f>VLOOKUP(A7,MVTJANV25!A7:AM43,6,0)+MVTJANV25!H7-E7+L7</f>
        <v>902399.48049246136</v>
      </c>
      <c r="G7" s="5">
        <f>IF(MVTFEV25!F7&gt;800000,(MVTJANV25!I7-E7+L7),0)</f>
        <v>902399.48049246136</v>
      </c>
      <c r="H7" s="36">
        <f>VLOOKUP(A7,[27]MVTFEV25!$A$6:$AM$42,8,0)</f>
        <v>798.26896592481285</v>
      </c>
      <c r="I7" s="6">
        <f t="shared" ref="I7:I42" si="1">F7+H7</f>
        <v>903197.74945838621</v>
      </c>
      <c r="J7" s="36">
        <f>VLOOKUP($A7,[26]HISTOFEV25!$A$6:$AQ$51,22,0)</f>
        <v>0</v>
      </c>
      <c r="K7" s="36">
        <f>VLOOKUP($A7,[26]HISTOFEV25!$A$6:$AU$51,45,0)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VLOOKUP($A7,[26]HISTOFEV25!$A$6:$AU$51,8,0)</f>
        <v>0</v>
      </c>
      <c r="Q7" s="36">
        <f>VLOOKUP($A7,[26]HISTOFEV25!$A$6:$AU$51,23,0)</f>
        <v>0</v>
      </c>
      <c r="R7" s="36">
        <f>VLOOKUP($A7,[26]HISTOFEV25!$A$6:$AU$51,46,0)</f>
        <v>0</v>
      </c>
      <c r="S7" s="36">
        <f>VLOOKUP($A7,[26]HISTOFEV25!$A$6:$AU$51,26,0)</f>
        <v>0</v>
      </c>
      <c r="T7" s="36">
        <f>VLOOKUP($A7,[26]HISTOFEV25!$A$6:$BG$51,58,0)</f>
        <v>0</v>
      </c>
      <c r="U7" s="36">
        <f>VLOOKUP($A7,[26]HISTOFEV25!$A$6:$AU$51,28,0)</f>
        <v>0</v>
      </c>
      <c r="V7" s="36">
        <f>VLOOKUP($A7,[26]HISTOFEV25!$A$6:$AU$51,19,0)</f>
        <v>0</v>
      </c>
      <c r="W7" s="36">
        <f>VLOOKUP($A7,[26]HISTOFEV25!$A$6:$AU$51,20,0)</f>
        <v>0</v>
      </c>
      <c r="X7" s="36">
        <f>VLOOKUP($A7,[26]HISTOFEV25!$A$6:$AU$51,27,0)</f>
        <v>0</v>
      </c>
      <c r="Y7" s="36">
        <f>VLOOKUP($A7,[26]HISTOFEV25!$A$6:$BM$51,33,0)</f>
        <v>0</v>
      </c>
      <c r="Z7" s="36">
        <f>VLOOKUP($A7,[26]HISTOFEV25!$A$6:$BM$51,64,0)</f>
        <v>0</v>
      </c>
      <c r="AA7" s="36"/>
      <c r="AB7" s="36">
        <f>VLOOKUP($A7,[26]HISTOFEV25!$A$6:$AU$51,44,0)</f>
        <v>0</v>
      </c>
      <c r="AC7" s="36">
        <f>VLOOKUP($A7,[26]HISTOFEV25!$A$6:$AU$51,43,0)</f>
        <v>0</v>
      </c>
      <c r="AD7" s="36">
        <f>VLOOKUP($A7,[26]HISTOFEV25!$A$6:$BR$51,47,0)</f>
        <v>0</v>
      </c>
      <c r="AE7" s="36">
        <f>VLOOKUP(A7,[26]HISTOFEV25!$A$6:$BR$51,54,0)</f>
        <v>0</v>
      </c>
      <c r="AF7" s="36">
        <f>VLOOKUP($A7,[26]HISTOFEV25!$A$6:$BR$51,60,0)</f>
        <v>0</v>
      </c>
      <c r="AG7" s="36">
        <f>VLOOKUP($A7,[26]HISTOFEV25!$A$6:$CB$51,61,0)</f>
        <v>0</v>
      </c>
      <c r="AH7" s="36">
        <f>VLOOKUP($A7,[26]HISTOFEV25!$A$6:$CB$51,62,0)</f>
        <v>0</v>
      </c>
      <c r="AI7" s="36">
        <f>VLOOKUP($A7,[26]HISTOFEV25!$A$6:$CB$51,63,0)</f>
        <v>0</v>
      </c>
      <c r="AJ7" s="36">
        <f>VLOOKUP($A7,[26]HISTOFEV25!$A$6:$BR$51,64,0)</f>
        <v>0</v>
      </c>
      <c r="AK7" s="36">
        <f>VLOOKUP($A7,[26]HISTOFEV25!$A$6:$BR$51,65,0)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VLOOKUP($A8,[26]HISTOFEV25!$A$6:$BA$51,48,0)</f>
        <v>0</v>
      </c>
      <c r="F8" s="36">
        <f>VLOOKUP(A8,MVTJANV25!A8:AM44,6,0)+MVTJANV25!H8-E8+L8</f>
        <v>1022833.4111409223</v>
      </c>
      <c r="G8" s="5">
        <f>IF(MVTFEV25!F8&gt;800000,(MVTJANV25!I8-E8+L8),0)</f>
        <v>1022833.4111409223</v>
      </c>
      <c r="H8" s="36">
        <f>VLOOKUP(A8,[27]MVTFEV25!$A$6:$AM$42,8,0)</f>
        <v>904.80567318060866</v>
      </c>
      <c r="I8" s="6">
        <f t="shared" si="1"/>
        <v>1023738.216814103</v>
      </c>
      <c r="J8" s="36">
        <f>VLOOKUP($A8,[26]HISTOFEV25!$A$6:$AQ$51,22,0)</f>
        <v>0</v>
      </c>
      <c r="K8" s="36">
        <f>VLOOKUP($A8,[26]HISTOFEV25!$A$6:$AU$51,45,0)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VLOOKUP($A8,[26]HISTOFEV25!$A$6:$AU$51,8,0)</f>
        <v>0</v>
      </c>
      <c r="Q8" s="36">
        <f>VLOOKUP($A8,[26]HISTOFEV25!$A$6:$AU$51,23,0)</f>
        <v>0</v>
      </c>
      <c r="R8" s="36">
        <f>VLOOKUP($A8,[26]HISTOFEV25!$A$6:$AU$51,46,0)</f>
        <v>0</v>
      </c>
      <c r="S8" s="36">
        <f>VLOOKUP($A8,[26]HISTOFEV25!$A$6:$AU$51,26,0)</f>
        <v>0</v>
      </c>
      <c r="T8" s="36">
        <f>VLOOKUP($A8,[26]HISTOFEV25!$A$6:$BG$51,58,0)</f>
        <v>0</v>
      </c>
      <c r="U8" s="36">
        <f>VLOOKUP($A8,[26]HISTOFEV25!$A$6:$AU$51,28,0)</f>
        <v>0</v>
      </c>
      <c r="V8" s="36">
        <f>VLOOKUP($A8,[26]HISTOFEV25!$A$6:$AU$51,19,0)</f>
        <v>0</v>
      </c>
      <c r="W8" s="36">
        <f>VLOOKUP($A8,[26]HISTOFEV25!$A$6:$AU$51,20,0)</f>
        <v>0</v>
      </c>
      <c r="X8" s="36">
        <f>VLOOKUP($A8,[26]HISTOFEV25!$A$6:$AU$51,27,0)</f>
        <v>0</v>
      </c>
      <c r="Y8" s="36">
        <f>VLOOKUP($A8,[26]HISTOFEV25!$A$6:$BM$51,33,0)</f>
        <v>0</v>
      </c>
      <c r="Z8" s="36">
        <f>VLOOKUP($A8,[26]HISTOFEV25!$A$6:$BM$51,64,0)</f>
        <v>0</v>
      </c>
      <c r="AA8" s="36"/>
      <c r="AB8" s="36">
        <f>VLOOKUP($A8,[26]HISTOFEV25!$A$6:$AU$51,44,0)</f>
        <v>0</v>
      </c>
      <c r="AC8" s="36">
        <f>VLOOKUP($A8,[26]HISTOFEV25!$A$6:$AU$51,43,0)</f>
        <v>0</v>
      </c>
      <c r="AD8" s="36">
        <f>VLOOKUP($A8,[26]HISTOFEV25!$A$6:$BR$51,47,0)</f>
        <v>0</v>
      </c>
      <c r="AE8" s="36">
        <f>VLOOKUP(A8,[26]HISTOFEV25!$A$6:$BR$51,54,0)</f>
        <v>0</v>
      </c>
      <c r="AF8" s="36">
        <f>VLOOKUP($A8,[26]HISTOFEV25!$A$6:$BR$51,60,0)</f>
        <v>0</v>
      </c>
      <c r="AG8" s="36">
        <f>VLOOKUP($A8,[26]HISTOFEV25!$A$6:$CB$51,61,0)</f>
        <v>0</v>
      </c>
      <c r="AH8" s="36">
        <f>VLOOKUP($A8,[26]HISTOFEV25!$A$6:$CB$51,62,0)</f>
        <v>0</v>
      </c>
      <c r="AI8" s="36">
        <f>VLOOKUP($A8,[26]HISTOFEV25!$A$6:$CB$51,63,0)</f>
        <v>0</v>
      </c>
      <c r="AJ8" s="36">
        <f>VLOOKUP($A8,[26]HISTOFEV25!$A$6:$BR$51,64,0)</f>
        <v>0</v>
      </c>
      <c r="AK8" s="36">
        <f>VLOOKUP($A8,[26]HISTOFEV25!$A$6:$BR$51,65,0)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VLOOKUP($A9,[26]HISTOFEV25!$A$6:$BA$51,48,0)</f>
        <v>0</v>
      </c>
      <c r="F9" s="36">
        <f>VLOOKUP(A9,MVTJANV25!A9:AM45,6,0)+MVTJANV25!H9-E9+L9</f>
        <v>889777.62532416836</v>
      </c>
      <c r="G9" s="5">
        <f>IF(MVTFEV25!F9&gt;800000,(MVTJANV25!I9-E9+L9),0)</f>
        <v>889777.62532416836</v>
      </c>
      <c r="H9" s="36">
        <f>VLOOKUP(A9,[27]MVTFEV25!$A$6:$AM$42,8,0)</f>
        <v>787.10358352926062</v>
      </c>
      <c r="I9" s="6">
        <f t="shared" si="1"/>
        <v>890564.7289076976</v>
      </c>
      <c r="J9" s="36">
        <f>VLOOKUP($A9,[26]HISTOFEV25!$A$6:$AQ$51,22,0)</f>
        <v>0</v>
      </c>
      <c r="K9" s="36">
        <f>VLOOKUP($A9,[26]HISTOFEV25!$A$6:$AU$51,45,0)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VLOOKUP($A9,[26]HISTOFEV25!$A$6:$AU$51,8,0)</f>
        <v>0</v>
      </c>
      <c r="Q9" s="36">
        <f>VLOOKUP($A9,[26]HISTOFEV25!$A$6:$AU$51,23,0)</f>
        <v>0</v>
      </c>
      <c r="R9" s="36">
        <f>VLOOKUP($A9,[26]HISTOFEV25!$A$6:$AU$51,46,0)</f>
        <v>0</v>
      </c>
      <c r="S9" s="36">
        <f>VLOOKUP($A9,[26]HISTOFEV25!$A$6:$AU$51,26,0)</f>
        <v>0</v>
      </c>
      <c r="T9" s="36">
        <f>VLOOKUP($A9,[26]HISTOFEV25!$A$6:$BG$51,58,0)</f>
        <v>0</v>
      </c>
      <c r="U9" s="36">
        <f>VLOOKUP($A9,[26]HISTOFEV25!$A$6:$AU$51,28,0)</f>
        <v>0</v>
      </c>
      <c r="V9" s="36">
        <f>VLOOKUP($A9,[26]HISTOFEV25!$A$6:$AU$51,19,0)</f>
        <v>0</v>
      </c>
      <c r="W9" s="36">
        <f>VLOOKUP($A9,[26]HISTOFEV25!$A$6:$AU$51,20,0)</f>
        <v>0</v>
      </c>
      <c r="X9" s="36">
        <f>VLOOKUP($A9,[26]HISTOFEV25!$A$6:$AU$51,27,0)</f>
        <v>0</v>
      </c>
      <c r="Y9" s="36">
        <f>VLOOKUP($A9,[26]HISTOFEV25!$A$6:$BM$51,33,0)</f>
        <v>0</v>
      </c>
      <c r="Z9" s="36">
        <f>VLOOKUP($A9,[26]HISTOFEV25!$A$6:$BM$51,64,0)</f>
        <v>0</v>
      </c>
      <c r="AA9" s="36"/>
      <c r="AB9" s="36">
        <f>VLOOKUP($A9,[26]HISTOFEV25!$A$6:$AU$51,44,0)</f>
        <v>0</v>
      </c>
      <c r="AC9" s="36">
        <f>VLOOKUP($A9,[26]HISTOFEV25!$A$6:$AU$51,43,0)</f>
        <v>0</v>
      </c>
      <c r="AD9" s="36">
        <f>VLOOKUP($A9,[26]HISTOFEV25!$A$6:$BR$51,47,0)</f>
        <v>0</v>
      </c>
      <c r="AE9" s="36">
        <f>VLOOKUP(A9,[26]HISTOFEV25!$A$6:$BR$51,54,0)</f>
        <v>0</v>
      </c>
      <c r="AF9" s="36">
        <f>VLOOKUP($A9,[26]HISTOFEV25!$A$6:$BR$51,60,0)</f>
        <v>0</v>
      </c>
      <c r="AG9" s="36">
        <f>VLOOKUP($A9,[26]HISTOFEV25!$A$6:$CB$51,61,0)</f>
        <v>0</v>
      </c>
      <c r="AH9" s="36">
        <f>VLOOKUP($A9,[26]HISTOFEV25!$A$6:$CB$51,62,0)</f>
        <v>0</v>
      </c>
      <c r="AI9" s="36">
        <f>VLOOKUP($A9,[26]HISTOFEV25!$A$6:$CB$51,63,0)</f>
        <v>0</v>
      </c>
      <c r="AJ9" s="36">
        <f>VLOOKUP($A9,[26]HISTOFEV25!$A$6:$BR$51,64,0)</f>
        <v>0</v>
      </c>
      <c r="AK9" s="36">
        <f>VLOOKUP($A9,[26]HISTOFEV25!$A$6:$BR$51,65,0)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VLOOKUP($A10,[26]HISTOFEV25!$A$6:$BA$51,48,0)</f>
        <v>0</v>
      </c>
      <c r="F10" s="36">
        <f>VLOOKUP(A10,MVTJANV25!A10:AM46,6,0)+MVTJANV25!H10-E10+L10</f>
        <v>890414.2609298965</v>
      </c>
      <c r="G10" s="5">
        <f>IF(MVTFEV25!F10&gt;800000,(MVTJANV25!I10-E10+L10),0)</f>
        <v>890414.2609298965</v>
      </c>
      <c r="H10" s="36">
        <f>VLOOKUP(A10,[27]MVTFEV25!$A$6:$AM$42,8,0)</f>
        <v>787.6667558909935</v>
      </c>
      <c r="I10" s="6">
        <f t="shared" si="1"/>
        <v>891201.92768578744</v>
      </c>
      <c r="J10" s="36">
        <f>VLOOKUP($A10,[26]HISTOFEV25!$A$6:$AQ$51,22,0)</f>
        <v>0</v>
      </c>
      <c r="K10" s="36">
        <f>VLOOKUP($A10,[26]HISTOFEV25!$A$6:$AU$51,45,0)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VLOOKUP($A10,[26]HISTOFEV25!$A$6:$AU$51,8,0)</f>
        <v>0</v>
      </c>
      <c r="Q10" s="36">
        <f>VLOOKUP($A10,[26]HISTOFEV25!$A$6:$AU$51,23,0)</f>
        <v>0</v>
      </c>
      <c r="R10" s="36">
        <f>VLOOKUP($A10,[26]HISTOFEV25!$A$6:$AU$51,46,0)</f>
        <v>0</v>
      </c>
      <c r="S10" s="36">
        <f>VLOOKUP($A10,[26]HISTOFEV25!$A$6:$AU$51,26,0)</f>
        <v>0</v>
      </c>
      <c r="T10" s="36">
        <f>VLOOKUP($A10,[26]HISTOFEV25!$A$6:$BG$51,58,0)</f>
        <v>0</v>
      </c>
      <c r="U10" s="36">
        <f>VLOOKUP($A10,[26]HISTOFEV25!$A$6:$AU$51,28,0)</f>
        <v>0</v>
      </c>
      <c r="V10" s="36">
        <f>VLOOKUP($A10,[26]HISTOFEV25!$A$6:$AU$51,19,0)</f>
        <v>0</v>
      </c>
      <c r="W10" s="36">
        <f>VLOOKUP($A10,[26]HISTOFEV25!$A$6:$AU$51,20,0)</f>
        <v>0</v>
      </c>
      <c r="X10" s="36">
        <f>VLOOKUP($A10,[26]HISTOFEV25!$A$6:$AU$51,27,0)</f>
        <v>0</v>
      </c>
      <c r="Y10" s="36">
        <f>VLOOKUP($A10,[26]HISTOFEV25!$A$6:$BM$51,33,0)</f>
        <v>0</v>
      </c>
      <c r="Z10" s="36">
        <f>VLOOKUP($A10,[26]HISTOFEV25!$A$6:$BM$51,64,0)</f>
        <v>0</v>
      </c>
      <c r="AA10" s="36"/>
      <c r="AB10" s="36">
        <f>VLOOKUP($A10,[26]HISTOFEV25!$A$6:$AU$51,44,0)</f>
        <v>0</v>
      </c>
      <c r="AC10" s="36">
        <f>VLOOKUP($A10,[26]HISTOFEV25!$A$6:$AU$51,43,0)</f>
        <v>0</v>
      </c>
      <c r="AD10" s="36">
        <f>VLOOKUP($A10,[26]HISTOFEV25!$A$6:$BR$51,47,0)</f>
        <v>0</v>
      </c>
      <c r="AE10" s="36">
        <f>VLOOKUP(A10,[26]HISTOFEV25!$A$6:$BR$51,54,0)</f>
        <v>0</v>
      </c>
      <c r="AF10" s="36">
        <f>VLOOKUP($A10,[26]HISTOFEV25!$A$6:$BR$51,60,0)</f>
        <v>0</v>
      </c>
      <c r="AG10" s="36">
        <f>VLOOKUP($A10,[26]HISTOFEV25!$A$6:$CB$51,61,0)</f>
        <v>0</v>
      </c>
      <c r="AH10" s="36">
        <f>VLOOKUP($A10,[26]HISTOFEV25!$A$6:$CB$51,62,0)</f>
        <v>0</v>
      </c>
      <c r="AI10" s="36">
        <f>VLOOKUP($A10,[26]HISTOFEV25!$A$6:$CB$51,63,0)</f>
        <v>0</v>
      </c>
      <c r="AJ10" s="36">
        <f>VLOOKUP($A10,[26]HISTOFEV25!$A$6:$BR$51,64,0)</f>
        <v>0</v>
      </c>
      <c r="AK10" s="36">
        <f>VLOOKUP($A10,[26]HISTOFEV25!$A$6:$BR$51,65,0)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VLOOKUP($A11,[26]HISTOFEV25!$A$6:$BA$51,48,0)</f>
        <v>0</v>
      </c>
      <c r="F11" s="36">
        <f>VLOOKUP(A11,MVTJANV25!A11:AM47,6,0)+MVTJANV25!H11-E11+L11</f>
        <v>889507.54347491462</v>
      </c>
      <c r="G11" s="5">
        <f>IF(MVTFEV25!F11&gt;800000,(MVTJANV25!I11-E11+L11),0)</f>
        <v>889507.54347491462</v>
      </c>
      <c r="H11" s="36">
        <f>VLOOKUP(A11,[27]MVTFEV25!$A$6:$AM$42,8,0)</f>
        <v>786.86466721428087</v>
      </c>
      <c r="I11" s="6">
        <f t="shared" si="1"/>
        <v>890294.40814212896</v>
      </c>
      <c r="J11" s="36">
        <f>VLOOKUP($A11,[26]HISTOFEV25!$A$6:$AQ$51,22,0)</f>
        <v>0</v>
      </c>
      <c r="K11" s="36">
        <f>VLOOKUP($A11,[26]HISTOFEV25!$A$6:$AU$51,45,0)</f>
        <v>25375</v>
      </c>
      <c r="L11" s="36">
        <f t="shared" si="2"/>
        <v>19375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VLOOKUP($A11,[26]HISTOFEV25!$A$6:$AU$51,8,0)</f>
        <v>0</v>
      </c>
      <c r="Q11" s="36">
        <f>VLOOKUP($A11,[26]HISTOFEV25!$A$6:$AU$51,23,0)</f>
        <v>0</v>
      </c>
      <c r="R11" s="36">
        <f>VLOOKUP($A11,[26]HISTOFEV25!$A$6:$AU$51,46,0)</f>
        <v>0</v>
      </c>
      <c r="S11" s="36">
        <f>VLOOKUP($A11,[26]HISTOFEV25!$A$6:$AU$51,26,0)</f>
        <v>0</v>
      </c>
      <c r="T11" s="36">
        <f>VLOOKUP($A11,[26]HISTOFEV25!$A$6:$BG$51,58,0)</f>
        <v>0</v>
      </c>
      <c r="U11" s="36">
        <f>VLOOKUP($A11,[26]HISTOFEV25!$A$6:$AU$51,28,0)</f>
        <v>0</v>
      </c>
      <c r="V11" s="36">
        <f>VLOOKUP($A11,[26]HISTOFEV25!$A$6:$AU$51,19,0)</f>
        <v>0</v>
      </c>
      <c r="W11" s="36">
        <f>VLOOKUP($A11,[26]HISTOFEV25!$A$6:$AU$51,20,0)</f>
        <v>0</v>
      </c>
      <c r="X11" s="36">
        <f>VLOOKUP($A11,[26]HISTOFEV25!$A$6:$AU$51,27,0)</f>
        <v>0</v>
      </c>
      <c r="Y11" s="36">
        <f>VLOOKUP($A11,[26]HISTOFEV25!$A$6:$BM$51,33,0)</f>
        <v>0</v>
      </c>
      <c r="Z11" s="36">
        <f>VLOOKUP($A11,[26]HISTOFEV25!$A$6:$BM$51,64,0)</f>
        <v>0</v>
      </c>
      <c r="AA11" s="36"/>
      <c r="AB11" s="36">
        <f>VLOOKUP($A11,[26]HISTOFEV25!$A$6:$AU$51,44,0)</f>
        <v>0</v>
      </c>
      <c r="AC11" s="36">
        <f>VLOOKUP($A11,[26]HISTOFEV25!$A$6:$AU$51,43,0)</f>
        <v>0</v>
      </c>
      <c r="AD11" s="36">
        <f>VLOOKUP($A11,[26]HISTOFEV25!$A$6:$BR$51,47,0)</f>
        <v>0</v>
      </c>
      <c r="AE11" s="36">
        <f>VLOOKUP(A11,[26]HISTOFEV25!$A$6:$BR$51,54,0)</f>
        <v>0</v>
      </c>
      <c r="AF11" s="36">
        <f>VLOOKUP($A11,[26]HISTOFEV25!$A$6:$BR$51,60,0)</f>
        <v>0</v>
      </c>
      <c r="AG11" s="36">
        <f>VLOOKUP($A11,[26]HISTOFEV25!$A$6:$CB$51,61,0)</f>
        <v>0</v>
      </c>
      <c r="AH11" s="36">
        <f>VLOOKUP($A11,[26]HISTOFEV25!$A$6:$CB$51,62,0)</f>
        <v>0</v>
      </c>
      <c r="AI11" s="36">
        <f>VLOOKUP($A11,[26]HISTOFEV25!$A$6:$CB$51,63,0)</f>
        <v>0</v>
      </c>
      <c r="AJ11" s="36">
        <f>VLOOKUP($A11,[26]HISTOFEV25!$A$6:$BR$51,64,0)</f>
        <v>0</v>
      </c>
      <c r="AK11" s="36">
        <f>VLOOKUP($A11,[26]HISTOFEV25!$A$6:$BR$51,65,0)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VLOOKUP($A12,[26]HISTOFEV25!$A$6:$BA$51,48,0)</f>
        <v>0</v>
      </c>
      <c r="F12" s="36">
        <f>VLOOKUP(A12,MVTJANV25!A12:AM48,6,0)+MVTJANV25!H12-E12+L12</f>
        <v>1568131.649907338</v>
      </c>
      <c r="G12" s="5">
        <f>IF(MVTFEV25!F12&gt;800000,(MVTJANV25!I12-E12+L12),0)</f>
        <v>1568131.649907338</v>
      </c>
      <c r="H12" s="36">
        <f>VLOOKUP(A12,[27]MVTFEV25!$A$6:$AM$42,8,0)</f>
        <v>1387.1803537856301</v>
      </c>
      <c r="I12" s="6">
        <f t="shared" si="1"/>
        <v>1569518.8302611236</v>
      </c>
      <c r="J12" s="36">
        <f>VLOOKUP($A12,[26]HISTOFEV25!$A$6:$AQ$51,22,0)</f>
        <v>0</v>
      </c>
      <c r="K12" s="36">
        <f>VLOOKUP($A12,[26]HISTOFEV25!$A$6:$AU$51,45,0)</f>
        <v>685000</v>
      </c>
      <c r="L12" s="36">
        <f t="shared" si="2"/>
        <v>679000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VLOOKUP($A12,[26]HISTOFEV25!$A$6:$AU$51,8,0)</f>
        <v>0</v>
      </c>
      <c r="Q12" s="36">
        <f>VLOOKUP($A12,[26]HISTOFEV25!$A$6:$AU$51,23,0)</f>
        <v>0</v>
      </c>
      <c r="R12" s="36">
        <f>VLOOKUP($A12,[26]HISTOFEV25!$A$6:$AU$51,46,0)</f>
        <v>0</v>
      </c>
      <c r="S12" s="36">
        <f>VLOOKUP($A12,[26]HISTOFEV25!$A$6:$AU$51,26,0)</f>
        <v>0</v>
      </c>
      <c r="T12" s="36">
        <f>VLOOKUP($A12,[26]HISTOFEV25!$A$6:$BG$51,58,0)</f>
        <v>0</v>
      </c>
      <c r="U12" s="36">
        <f>VLOOKUP($A12,[26]HISTOFEV25!$A$6:$AU$51,28,0)</f>
        <v>0</v>
      </c>
      <c r="V12" s="36">
        <f>VLOOKUP($A12,[26]HISTOFEV25!$A$6:$AU$51,19,0)</f>
        <v>0</v>
      </c>
      <c r="W12" s="36">
        <f>VLOOKUP($A12,[26]HISTOFEV25!$A$6:$AU$51,20,0)</f>
        <v>0</v>
      </c>
      <c r="X12" s="36">
        <f>VLOOKUP($A12,[26]HISTOFEV25!$A$6:$AU$51,27,0)</f>
        <v>0</v>
      </c>
      <c r="Y12" s="36">
        <f>VLOOKUP($A12,[26]HISTOFEV25!$A$6:$BM$51,33,0)</f>
        <v>0</v>
      </c>
      <c r="Z12" s="36">
        <f>VLOOKUP($A12,[26]HISTOFEV25!$A$6:$BM$51,64,0)</f>
        <v>0</v>
      </c>
      <c r="AA12" s="36"/>
      <c r="AB12" s="36">
        <f>VLOOKUP($A12,[26]HISTOFEV25!$A$6:$AU$51,44,0)</f>
        <v>0</v>
      </c>
      <c r="AC12" s="36">
        <f>VLOOKUP($A12,[26]HISTOFEV25!$A$6:$AU$51,43,0)</f>
        <v>0</v>
      </c>
      <c r="AD12" s="36">
        <f>VLOOKUP($A12,[26]HISTOFEV25!$A$6:$BR$51,47,0)</f>
        <v>0</v>
      </c>
      <c r="AE12" s="36">
        <f>VLOOKUP(A12,[26]HISTOFEV25!$A$6:$BR$51,54,0)</f>
        <v>0</v>
      </c>
      <c r="AF12" s="36">
        <f>VLOOKUP($A12,[26]HISTOFEV25!$A$6:$BR$51,60,0)</f>
        <v>0</v>
      </c>
      <c r="AG12" s="36">
        <f>VLOOKUP($A12,[26]HISTOFEV25!$A$6:$CB$51,61,0)</f>
        <v>0</v>
      </c>
      <c r="AH12" s="36">
        <f>VLOOKUP($A12,[26]HISTOFEV25!$A$6:$CB$51,62,0)</f>
        <v>0</v>
      </c>
      <c r="AI12" s="36">
        <f>VLOOKUP($A12,[26]HISTOFEV25!$A$6:$CB$51,63,0)</f>
        <v>0</v>
      </c>
      <c r="AJ12" s="36">
        <f>VLOOKUP($A12,[26]HISTOFEV25!$A$6:$BR$51,64,0)</f>
        <v>0</v>
      </c>
      <c r="AK12" s="36">
        <f>VLOOKUP($A12,[26]HISTOFEV25!$A$6:$BR$51,65,0)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VLOOKUP($A13,[26]HISTOFEV25!$A$6:$BA$51,48,0)</f>
        <v>0</v>
      </c>
      <c r="F13" s="36">
        <f>VLOOKUP(A13,MVTJANV25!A13:AM49,6,0)+MVTJANV25!H13-E13+L13</f>
        <v>889484.11836166016</v>
      </c>
      <c r="G13" s="5">
        <f>IF(MVTFEV25!F13&gt;800000,(MVTJANV25!I13-E13+L13),0)</f>
        <v>889484.11836166016</v>
      </c>
      <c r="H13" s="36">
        <f>VLOOKUP(A13,[27]MVTFEV25!$A$6:$AM$42,8,0)</f>
        <v>786.84394519333728</v>
      </c>
      <c r="I13" s="6">
        <f t="shared" si="1"/>
        <v>890270.9623068535</v>
      </c>
      <c r="J13" s="36">
        <f>VLOOKUP($A13,[26]HISTOFEV25!$A$6:$AQ$51,22,0)</f>
        <v>0</v>
      </c>
      <c r="K13" s="36">
        <f>VLOOKUP($A13,[26]HISTOFEV25!$A$6:$AU$51,45,0)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VLOOKUP($A13,[26]HISTOFEV25!$A$6:$AU$51,8,0)</f>
        <v>0</v>
      </c>
      <c r="Q13" s="36">
        <f>VLOOKUP($A13,[26]HISTOFEV25!$A$6:$AU$51,23,0)</f>
        <v>0</v>
      </c>
      <c r="R13" s="36">
        <f>VLOOKUP($A13,[26]HISTOFEV25!$A$6:$AU$51,46,0)</f>
        <v>0</v>
      </c>
      <c r="S13" s="36">
        <f>VLOOKUP($A13,[26]HISTOFEV25!$A$6:$AU$51,26,0)</f>
        <v>0</v>
      </c>
      <c r="T13" s="36">
        <f>VLOOKUP($A13,[26]HISTOFEV25!$A$6:$BG$51,58,0)</f>
        <v>0</v>
      </c>
      <c r="U13" s="36">
        <f>VLOOKUP($A13,[26]HISTOFEV25!$A$6:$AU$51,28,0)</f>
        <v>0</v>
      </c>
      <c r="V13" s="36">
        <f>VLOOKUP($A13,[26]HISTOFEV25!$A$6:$AU$51,19,0)</f>
        <v>0</v>
      </c>
      <c r="W13" s="36">
        <f>VLOOKUP($A13,[26]HISTOFEV25!$A$6:$AU$51,20,0)</f>
        <v>0</v>
      </c>
      <c r="X13" s="36">
        <f>VLOOKUP($A13,[26]HISTOFEV25!$A$6:$AU$51,27,0)</f>
        <v>0</v>
      </c>
      <c r="Y13" s="36">
        <f>VLOOKUP($A13,[26]HISTOFEV25!$A$6:$BM$51,33,0)</f>
        <v>0</v>
      </c>
      <c r="Z13" s="36">
        <f>VLOOKUP($A13,[26]HISTOFEV25!$A$6:$BM$51,64,0)</f>
        <v>0</v>
      </c>
      <c r="AA13" s="36"/>
      <c r="AB13" s="36">
        <f>VLOOKUP($A13,[26]HISTOFEV25!$A$6:$AU$51,44,0)</f>
        <v>0</v>
      </c>
      <c r="AC13" s="36">
        <f>VLOOKUP($A13,[26]HISTOFEV25!$A$6:$AU$51,43,0)</f>
        <v>0</v>
      </c>
      <c r="AD13" s="36">
        <f>VLOOKUP($A13,[26]HISTOFEV25!$A$6:$BR$51,47,0)</f>
        <v>0</v>
      </c>
      <c r="AE13" s="36">
        <f>VLOOKUP(A13,[26]HISTOFEV25!$A$6:$BR$51,54,0)</f>
        <v>0</v>
      </c>
      <c r="AF13" s="36">
        <f>VLOOKUP($A13,[26]HISTOFEV25!$A$6:$BR$51,60,0)</f>
        <v>0</v>
      </c>
      <c r="AG13" s="36">
        <f>VLOOKUP($A13,[26]HISTOFEV25!$A$6:$CB$51,61,0)</f>
        <v>0</v>
      </c>
      <c r="AH13" s="36">
        <f>VLOOKUP($A13,[26]HISTOFEV25!$A$6:$CB$51,62,0)</f>
        <v>0</v>
      </c>
      <c r="AI13" s="36">
        <f>VLOOKUP($A13,[26]HISTOFEV25!$A$6:$CB$51,63,0)</f>
        <v>0</v>
      </c>
      <c r="AJ13" s="36">
        <f>VLOOKUP($A13,[26]HISTOFEV25!$A$6:$BR$51,64,0)</f>
        <v>0</v>
      </c>
      <c r="AK13" s="36">
        <f>VLOOKUP($A13,[26]HISTOFEV25!$A$6:$BR$51,65,0)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VLOOKUP($A14,[26]HISTOFEV25!$A$6:$BA$51,48,0)</f>
        <v>0</v>
      </c>
      <c r="F14" s="36">
        <f>VLOOKUP(A14,MVTJANV25!A14:AM50,6,0)+MVTJANV25!H14-E14+L14</f>
        <v>1624334.755364279</v>
      </c>
      <c r="G14" s="5">
        <f>IF(MVTFEV25!F14&gt;800000,(MVTJANV25!I14-E14+L14),0)</f>
        <v>1624334.755364279</v>
      </c>
      <c r="H14" s="36">
        <f>VLOOKUP(A14,[27]MVTFEV25!$A$6:$AM$42,8,0)</f>
        <v>1436.8980185723956</v>
      </c>
      <c r="I14" s="6">
        <f t="shared" si="1"/>
        <v>1625771.6533828515</v>
      </c>
      <c r="J14" s="36">
        <f>VLOOKUP($A14,[26]HISTOFEV25!$A$6:$AQ$51,22,0)</f>
        <v>0</v>
      </c>
      <c r="K14" s="36">
        <f>VLOOKUP($A14,[26]HISTOFEV25!$A$6:$AU$51,45,0)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VLOOKUP($A14,[26]HISTOFEV25!$A$6:$AU$51,8,0)</f>
        <v>0</v>
      </c>
      <c r="Q14" s="36">
        <f>VLOOKUP($A14,[26]HISTOFEV25!$A$6:$AU$51,23,0)</f>
        <v>0</v>
      </c>
      <c r="R14" s="36">
        <f>VLOOKUP($A14,[26]HISTOFEV25!$A$6:$AU$51,46,0)</f>
        <v>0</v>
      </c>
      <c r="S14" s="36">
        <f>VLOOKUP($A14,[26]HISTOFEV25!$A$6:$AU$51,26,0)</f>
        <v>0</v>
      </c>
      <c r="T14" s="36">
        <f>VLOOKUP($A14,[26]HISTOFEV25!$A$6:$BG$51,58,0)</f>
        <v>0</v>
      </c>
      <c r="U14" s="36">
        <f>VLOOKUP($A14,[26]HISTOFEV25!$A$6:$AU$51,28,0)</f>
        <v>0</v>
      </c>
      <c r="V14" s="36">
        <f>VLOOKUP($A14,[26]HISTOFEV25!$A$6:$AU$51,19,0)</f>
        <v>0</v>
      </c>
      <c r="W14" s="36">
        <f>VLOOKUP($A14,[26]HISTOFEV25!$A$6:$AU$51,20,0)</f>
        <v>0</v>
      </c>
      <c r="X14" s="36">
        <f>VLOOKUP($A14,[26]HISTOFEV25!$A$6:$AU$51,27,0)</f>
        <v>0</v>
      </c>
      <c r="Y14" s="36">
        <f>VLOOKUP($A14,[26]HISTOFEV25!$A$6:$BM$51,33,0)</f>
        <v>0</v>
      </c>
      <c r="Z14" s="36">
        <f>VLOOKUP($A14,[26]HISTOFEV25!$A$6:$BM$51,64,0)</f>
        <v>0</v>
      </c>
      <c r="AA14" s="36"/>
      <c r="AB14" s="36">
        <f>VLOOKUP($A14,[26]HISTOFEV25!$A$6:$AU$51,44,0)</f>
        <v>0</v>
      </c>
      <c r="AC14" s="36">
        <f>VLOOKUP($A14,[26]HISTOFEV25!$A$6:$AU$51,43,0)</f>
        <v>0</v>
      </c>
      <c r="AD14" s="36">
        <f>VLOOKUP($A14,[26]HISTOFEV25!$A$6:$BR$51,47,0)</f>
        <v>0</v>
      </c>
      <c r="AE14" s="36">
        <f>VLOOKUP(A14,[26]HISTOFEV25!$A$6:$BR$51,54,0)</f>
        <v>0</v>
      </c>
      <c r="AF14" s="36">
        <f>VLOOKUP($A14,[26]HISTOFEV25!$A$6:$BR$51,60,0)</f>
        <v>0</v>
      </c>
      <c r="AG14" s="36">
        <f>VLOOKUP($A14,[26]HISTOFEV25!$A$6:$CB$51,61,0)</f>
        <v>0</v>
      </c>
      <c r="AH14" s="36">
        <f>VLOOKUP($A14,[26]HISTOFEV25!$A$6:$CB$51,62,0)</f>
        <v>0</v>
      </c>
      <c r="AI14" s="36">
        <f>VLOOKUP($A14,[26]HISTOFEV25!$A$6:$CB$51,63,0)</f>
        <v>0</v>
      </c>
      <c r="AJ14" s="36">
        <f>VLOOKUP($A14,[26]HISTOFEV25!$A$6:$BR$51,64,0)</f>
        <v>0</v>
      </c>
      <c r="AK14" s="36">
        <f>VLOOKUP($A14,[26]HISTOFEV25!$A$6:$BR$51,65,0)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VLOOKUP($A15,[26]HISTOFEV25!$A$6:$BA$51,48,0)</f>
        <v>0</v>
      </c>
      <c r="F15" s="36">
        <f>VLOOKUP(A15,MVTJANV25!A15:AM51,6,0)+MVTJANV25!H15-E15+L15</f>
        <v>38000</v>
      </c>
      <c r="G15" s="5">
        <f>IF(MVTFEV25!F15&gt;800000,(MVTJANV25!I15-E15+L15),0)</f>
        <v>0</v>
      </c>
      <c r="H15" s="36">
        <f>VLOOKUP(A15,[27]MVTFEV25!$A$6:$AM$42,8,0)</f>
        <v>0</v>
      </c>
      <c r="I15" s="6">
        <f t="shared" si="1"/>
        <v>38000</v>
      </c>
      <c r="J15" s="36">
        <f>VLOOKUP($A15,[26]HISTOFEV25!$A$6:$AQ$51,22,0)</f>
        <v>0</v>
      </c>
      <c r="K15" s="36">
        <f>VLOOKUP($A15,[26]HISTOFEV25!$A$6:$AU$51,45,0)</f>
        <v>50000</v>
      </c>
      <c r="L15" s="36">
        <f t="shared" si="2"/>
        <v>38000</v>
      </c>
      <c r="M15" s="36">
        <f>IF(K15=0,0,1000)+1000</f>
        <v>2000</v>
      </c>
      <c r="N15" s="36">
        <f>IF(K15=0,0,1000)+1000</f>
        <v>2000</v>
      </c>
      <c r="O15" s="36">
        <f>IF(K15=0,0,4000)+4000</f>
        <v>8000</v>
      </c>
      <c r="P15" s="36">
        <f>VLOOKUP($A15,[26]HISTOFEV25!$A$6:$AU$51,8,0)</f>
        <v>0</v>
      </c>
      <c r="Q15" s="36">
        <f>VLOOKUP($A15,[26]HISTOFEV25!$A$6:$AU$51,23,0)</f>
        <v>25000</v>
      </c>
      <c r="R15" s="36">
        <f>VLOOKUP($A15,[26]HISTOFEV25!$A$6:$AU$51,46,0)</f>
        <v>0</v>
      </c>
      <c r="S15" s="36">
        <f>VLOOKUP($A15,[26]HISTOFEV25!$A$6:$AU$51,26,0)</f>
        <v>0</v>
      </c>
      <c r="T15" s="36">
        <f>VLOOKUP($A15,[26]HISTOFEV25!$A$6:$BG$51,58,0)</f>
        <v>0</v>
      </c>
      <c r="U15" s="36">
        <f>VLOOKUP($A15,[26]HISTOFEV25!$A$6:$AU$51,28,0)</f>
        <v>0</v>
      </c>
      <c r="V15" s="36">
        <f>VLOOKUP($A15,[26]HISTOFEV25!$A$6:$AU$51,19,0)</f>
        <v>0</v>
      </c>
      <c r="W15" s="36">
        <f>VLOOKUP($A15,[26]HISTOFEV25!$A$6:$AU$51,20,0)</f>
        <v>0</v>
      </c>
      <c r="X15" s="36">
        <f>VLOOKUP($A15,[26]HISTOFEV25!$A$6:$AU$51,27,0)</f>
        <v>0</v>
      </c>
      <c r="Y15" s="36">
        <f>VLOOKUP($A15,[26]HISTOFEV25!$A$6:$BM$51,33,0)</f>
        <v>0</v>
      </c>
      <c r="Z15" s="36">
        <f>VLOOKUP($A15,[26]HISTOFEV25!$A$6:$BM$51,64,0)</f>
        <v>0</v>
      </c>
      <c r="AA15" s="36"/>
      <c r="AB15" s="36">
        <f>VLOOKUP($A15,[26]HISTOFEV25!$A$6:$AU$51,44,0)</f>
        <v>0</v>
      </c>
      <c r="AC15" s="36">
        <f>VLOOKUP($A15,[26]HISTOFEV25!$A$6:$AU$51,43,0)</f>
        <v>0</v>
      </c>
      <c r="AD15" s="36">
        <f>VLOOKUP($A15,[26]HISTOFEV25!$A$6:$BR$51,47,0)</f>
        <v>0</v>
      </c>
      <c r="AE15" s="36">
        <f>VLOOKUP(A15,[26]HISTOFEV25!$A$6:$BR$51,54,0)</f>
        <v>0</v>
      </c>
      <c r="AF15" s="36">
        <f>VLOOKUP($A15,[26]HISTOFEV25!$A$6:$BR$51,60,0)</f>
        <v>0</v>
      </c>
      <c r="AG15" s="36">
        <f>VLOOKUP($A15,[26]HISTOFEV25!$A$6:$CB$51,61,0)</f>
        <v>0</v>
      </c>
      <c r="AH15" s="36">
        <f>VLOOKUP($A15,[26]HISTOFEV25!$A$6:$CB$51,62,0)</f>
        <v>0</v>
      </c>
      <c r="AI15" s="36">
        <f>VLOOKUP($A15,[26]HISTOFEV25!$A$6:$CB$51,63,0)</f>
        <v>0</v>
      </c>
      <c r="AJ15" s="36">
        <f>VLOOKUP($A15,[26]HISTOFEV25!$A$6:$BR$51,64,0)</f>
        <v>0</v>
      </c>
      <c r="AK15" s="36">
        <f>VLOOKUP($A15,[26]HISTOFEV25!$A$6:$BR$51,65,0)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VLOOKUP($A16,[26]HISTOFEV25!$A$6:$BA$51,48,0)</f>
        <v>0</v>
      </c>
      <c r="F16" s="36">
        <f>VLOOKUP(A16,MVTJANV25!A16:AM52,6,0)+MVTJANV25!H16-E16+L16</f>
        <v>890305.51554450684</v>
      </c>
      <c r="G16" s="5">
        <f>IF(MVTFEV25!F16&gt;800000,(MVTJANV25!I16-E16+L16),0)</f>
        <v>890305.51554450684</v>
      </c>
      <c r="H16" s="36">
        <f>VLOOKUP(A16,[27]MVTFEV25!$A$6:$AM$42,8,0)</f>
        <v>787.57055895358315</v>
      </c>
      <c r="I16" s="6">
        <f t="shared" si="1"/>
        <v>891093.0861034604</v>
      </c>
      <c r="J16" s="36">
        <f>VLOOKUP($A16,[26]HISTOFEV25!$A$6:$AQ$51,22,0)</f>
        <v>0</v>
      </c>
      <c r="K16" s="36">
        <f>VLOOKUP($A16,[26]HISTOFEV25!$A$6:$AU$51,45,0)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VLOOKUP($A16,[26]HISTOFEV25!$A$6:$AU$51,8,0)</f>
        <v>0</v>
      </c>
      <c r="Q16" s="36">
        <f>VLOOKUP($A16,[26]HISTOFEV25!$A$6:$AU$51,23,0)</f>
        <v>0</v>
      </c>
      <c r="R16" s="36">
        <f>VLOOKUP($A16,[26]HISTOFEV25!$A$6:$AU$51,46,0)</f>
        <v>0</v>
      </c>
      <c r="S16" s="36">
        <f>VLOOKUP($A16,[26]HISTOFEV25!$A$6:$AU$51,26,0)</f>
        <v>0</v>
      </c>
      <c r="T16" s="36">
        <f>VLOOKUP($A16,[26]HISTOFEV25!$A$6:$BG$51,58,0)</f>
        <v>0</v>
      </c>
      <c r="U16" s="36">
        <f>VLOOKUP($A16,[26]HISTOFEV25!$A$6:$AU$51,28,0)</f>
        <v>0</v>
      </c>
      <c r="V16" s="36">
        <f>VLOOKUP($A16,[26]HISTOFEV25!$A$6:$AU$51,19,0)</f>
        <v>0</v>
      </c>
      <c r="W16" s="36">
        <f>VLOOKUP($A16,[26]HISTOFEV25!$A$6:$AU$51,20,0)</f>
        <v>0</v>
      </c>
      <c r="X16" s="36">
        <f>VLOOKUP($A16,[26]HISTOFEV25!$A$6:$AU$51,27,0)</f>
        <v>0</v>
      </c>
      <c r="Y16" s="36">
        <f>VLOOKUP($A16,[26]HISTOFEV25!$A$6:$BM$51,33,0)</f>
        <v>0</v>
      </c>
      <c r="Z16" s="36">
        <f>VLOOKUP($A16,[26]HISTOFEV25!$A$6:$BM$51,64,0)</f>
        <v>0</v>
      </c>
      <c r="AA16" s="36"/>
      <c r="AB16" s="36">
        <f>VLOOKUP($A16,[26]HISTOFEV25!$A$6:$AU$51,44,0)</f>
        <v>0</v>
      </c>
      <c r="AC16" s="36">
        <f>VLOOKUP($A16,[26]HISTOFEV25!$A$6:$AU$51,43,0)</f>
        <v>0</v>
      </c>
      <c r="AD16" s="36">
        <f>VLOOKUP($A16,[26]HISTOFEV25!$A$6:$BR$51,47,0)</f>
        <v>0</v>
      </c>
      <c r="AE16" s="36">
        <f>VLOOKUP(A16,[26]HISTOFEV25!$A$6:$BR$51,54,0)</f>
        <v>0</v>
      </c>
      <c r="AF16" s="36">
        <f>VLOOKUP($A16,[26]HISTOFEV25!$A$6:$BR$51,60,0)</f>
        <v>0</v>
      </c>
      <c r="AG16" s="36">
        <f>VLOOKUP($A16,[26]HISTOFEV25!$A$6:$CB$51,61,0)</f>
        <v>0</v>
      </c>
      <c r="AH16" s="36">
        <f>VLOOKUP($A16,[26]HISTOFEV25!$A$6:$CB$51,62,0)</f>
        <v>0</v>
      </c>
      <c r="AI16" s="36">
        <f>VLOOKUP($A16,[26]HISTOFEV25!$A$6:$CB$51,63,0)</f>
        <v>0</v>
      </c>
      <c r="AJ16" s="36">
        <f>VLOOKUP($A16,[26]HISTOFEV25!$A$6:$BR$51,64,0)</f>
        <v>0</v>
      </c>
      <c r="AK16" s="36">
        <f>VLOOKUP($A16,[26]HISTOFEV25!$A$6:$BR$51,65,0)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VLOOKUP($A17,[26]HISTOFEV25!$A$6:$BA$51,48,0)</f>
        <v>0</v>
      </c>
      <c r="F17" s="36">
        <f>VLOOKUP(A17,MVTJANV25!A17:AM53,6,0)+MVTJANV25!H17-E17+L17</f>
        <v>974784.24134815857</v>
      </c>
      <c r="G17" s="5">
        <f>IF(MVTFEV25!F17&gt;800000,(MVTJANV25!I17-E17+L17),0)</f>
        <v>974784.24134815857</v>
      </c>
      <c r="H17" s="36">
        <f>VLOOKUP(A17,[27]MVTFEV25!$A$6:$AM$42,8,0)</f>
        <v>862.30103758054884</v>
      </c>
      <c r="I17" s="6">
        <f t="shared" si="1"/>
        <v>975646.54238573916</v>
      </c>
      <c r="J17" s="36">
        <f>VLOOKUP($A17,[26]HISTOFEV25!$A$6:$AQ$51,22,0)</f>
        <v>0</v>
      </c>
      <c r="K17" s="36">
        <f>VLOOKUP($A17,[26]HISTOFEV25!$A$6:$AU$51,45,0)</f>
        <v>60000</v>
      </c>
      <c r="L17" s="36">
        <f t="shared" si="2"/>
        <v>54000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VLOOKUP($A17,[26]HISTOFEV25!$A$6:$AU$51,8,0)</f>
        <v>0</v>
      </c>
      <c r="Q17" s="36">
        <f>VLOOKUP($A17,[26]HISTOFEV25!$A$6:$AU$51,23,0)</f>
        <v>0</v>
      </c>
      <c r="R17" s="36">
        <f>VLOOKUP($A17,[26]HISTOFEV25!$A$6:$AU$51,46,0)</f>
        <v>0</v>
      </c>
      <c r="S17" s="36">
        <f>VLOOKUP($A17,[26]HISTOFEV25!$A$6:$AU$51,26,0)</f>
        <v>0</v>
      </c>
      <c r="T17" s="36">
        <f>VLOOKUP($A17,[26]HISTOFEV25!$A$6:$BG$51,58,0)</f>
        <v>0</v>
      </c>
      <c r="U17" s="36">
        <f>VLOOKUP($A17,[26]HISTOFEV25!$A$6:$AU$51,28,0)</f>
        <v>0</v>
      </c>
      <c r="V17" s="36">
        <f>VLOOKUP($A17,[26]HISTOFEV25!$A$6:$AU$51,19,0)</f>
        <v>0</v>
      </c>
      <c r="W17" s="36">
        <f>VLOOKUP($A17,[26]HISTOFEV25!$A$6:$AU$51,20,0)</f>
        <v>0</v>
      </c>
      <c r="X17" s="36">
        <f>VLOOKUP($A17,[26]HISTOFEV25!$A$6:$AU$51,27,0)</f>
        <v>0</v>
      </c>
      <c r="Y17" s="36">
        <f>VLOOKUP($A17,[26]HISTOFEV25!$A$6:$BM$51,33,0)</f>
        <v>0</v>
      </c>
      <c r="Z17" s="36">
        <f>VLOOKUP($A17,[26]HISTOFEV25!$A$6:$BM$51,64,0)</f>
        <v>0</v>
      </c>
      <c r="AA17" s="36"/>
      <c r="AB17" s="36">
        <f>VLOOKUP($A17,[26]HISTOFEV25!$A$6:$AU$51,44,0)</f>
        <v>0</v>
      </c>
      <c r="AC17" s="36">
        <f>VLOOKUP($A17,[26]HISTOFEV25!$A$6:$AU$51,43,0)</f>
        <v>0</v>
      </c>
      <c r="AD17" s="36">
        <f>VLOOKUP($A17,[26]HISTOFEV25!$A$6:$BR$51,47,0)</f>
        <v>0</v>
      </c>
      <c r="AE17" s="36">
        <f>VLOOKUP(A17,[26]HISTOFEV25!$A$6:$BR$51,54,0)</f>
        <v>0</v>
      </c>
      <c r="AF17" s="36">
        <f>VLOOKUP($A17,[26]HISTOFEV25!$A$6:$BR$51,60,0)</f>
        <v>0</v>
      </c>
      <c r="AG17" s="36">
        <f>VLOOKUP($A17,[26]HISTOFEV25!$A$6:$CB$51,61,0)</f>
        <v>0</v>
      </c>
      <c r="AH17" s="36">
        <f>VLOOKUP($A17,[26]HISTOFEV25!$A$6:$CB$51,62,0)</f>
        <v>0</v>
      </c>
      <c r="AI17" s="36">
        <f>VLOOKUP($A17,[26]HISTOFEV25!$A$6:$CB$51,63,0)</f>
        <v>0</v>
      </c>
      <c r="AJ17" s="36">
        <f>VLOOKUP($A17,[26]HISTOFEV25!$A$6:$BR$51,64,0)</f>
        <v>0</v>
      </c>
      <c r="AK17" s="36">
        <f>VLOOKUP($A17,[26]HISTOFEV25!$A$6:$BR$51,65,0)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VLOOKUP($A18,[26]HISTOFEV25!$A$6:$BA$51,48,0)</f>
        <v>0</v>
      </c>
      <c r="F18" s="36">
        <f>VLOOKUP(A18,MVTJANV25!A18:AM54,6,0)+MVTJANV25!H18-E18+L18</f>
        <v>889471.44899637206</v>
      </c>
      <c r="G18" s="5">
        <f>IF(MVTFEV25!F18&gt;800000,(MVTJANV25!I18-E18+L18),0)</f>
        <v>889471.44899637206</v>
      </c>
      <c r="H18" s="36">
        <f>VLOOKUP(A18,[27]MVTFEV25!$A$6:$AM$42,8,0)</f>
        <v>786.83273778315356</v>
      </c>
      <c r="I18" s="6">
        <f t="shared" si="1"/>
        <v>890258.28173415526</v>
      </c>
      <c r="J18" s="36">
        <f>VLOOKUP($A18,[26]HISTOFEV25!$A$6:$AQ$51,22,0)</f>
        <v>0</v>
      </c>
      <c r="K18" s="36">
        <f>VLOOKUP($A18,[26]HISTOFEV25!$A$6:$AU$51,45,0)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VLOOKUP($A18,[26]HISTOFEV25!$A$6:$AU$51,8,0)</f>
        <v>0</v>
      </c>
      <c r="Q18" s="36">
        <f>VLOOKUP($A18,[26]HISTOFEV25!$A$6:$AU$51,23,0)</f>
        <v>0</v>
      </c>
      <c r="R18" s="36">
        <f>VLOOKUP($A18,[26]HISTOFEV25!$A$6:$AU$51,46,0)</f>
        <v>0</v>
      </c>
      <c r="S18" s="36">
        <f>VLOOKUP($A18,[26]HISTOFEV25!$A$6:$AU$51,26,0)</f>
        <v>500000</v>
      </c>
      <c r="T18" s="36">
        <f>VLOOKUP($A18,[26]HISTOFEV25!$A$6:$BG$51,58,0)</f>
        <v>30000</v>
      </c>
      <c r="U18" s="36">
        <f>VLOOKUP($A18,[26]HISTOFEV25!$A$6:$AU$51,28,0)</f>
        <v>0</v>
      </c>
      <c r="V18" s="36">
        <f>VLOOKUP($A18,[26]HISTOFEV25!$A$6:$AU$51,19,0)</f>
        <v>0</v>
      </c>
      <c r="W18" s="36">
        <f>VLOOKUP($A18,[26]HISTOFEV25!$A$6:$AU$51,20,0)</f>
        <v>0</v>
      </c>
      <c r="X18" s="36" t="str">
        <f>VLOOKUP($A18,[26]HISTOFEV25!$A$6:$AU$51,27,0)</f>
        <v>BANQUE</v>
      </c>
      <c r="Y18" s="36">
        <f>VLOOKUP($A18,[26]HISTOFEV25!$A$6:$BM$51,33,0)</f>
        <v>0</v>
      </c>
      <c r="Z18" s="36">
        <f>VLOOKUP($A18,[26]HISTOFEV25!$A$6:$BM$51,64,0)</f>
        <v>0</v>
      </c>
      <c r="AA18" s="36"/>
      <c r="AB18" s="36">
        <f>VLOOKUP($A18,[26]HISTOFEV25!$A$6:$AU$51,44,0)</f>
        <v>0</v>
      </c>
      <c r="AC18" s="36">
        <f>VLOOKUP($A18,[26]HISTOFEV25!$A$6:$AU$51,43,0)</f>
        <v>0</v>
      </c>
      <c r="AD18" s="36">
        <f>VLOOKUP($A18,[26]HISTOFEV25!$A$6:$BR$51,47,0)</f>
        <v>0</v>
      </c>
      <c r="AE18" s="36">
        <f>VLOOKUP(A18,[26]HISTOFEV25!$A$6:$BR$51,54,0)</f>
        <v>0</v>
      </c>
      <c r="AF18" s="36">
        <f>VLOOKUP($A18,[26]HISTOFEV25!$A$6:$BR$51,60,0)</f>
        <v>0</v>
      </c>
      <c r="AG18" s="36">
        <f>VLOOKUP($A18,[26]HISTOFEV25!$A$6:$CB$51,61,0)</f>
        <v>0</v>
      </c>
      <c r="AH18" s="36">
        <f>VLOOKUP($A18,[26]HISTOFEV25!$A$6:$CB$51,62,0)</f>
        <v>0</v>
      </c>
      <c r="AI18" s="36">
        <f>VLOOKUP($A18,[26]HISTOFEV25!$A$6:$CB$51,63,0)</f>
        <v>0</v>
      </c>
      <c r="AJ18" s="36">
        <f>VLOOKUP($A18,[26]HISTOFEV25!$A$6:$BR$51,64,0)</f>
        <v>0</v>
      </c>
      <c r="AK18" s="36">
        <f>VLOOKUP($A18,[26]HISTOFEV25!$A$6:$BR$51,65,0)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VLOOKUP($A19,[26]HISTOFEV25!$A$6:$BA$51,48,0)</f>
        <v>0</v>
      </c>
      <c r="F19" s="36">
        <f>VLOOKUP(A19,MVTJANV25!A19:AM55,6,0)+MVTJANV25!H19-E19+L19</f>
        <v>913336.29514578334</v>
      </c>
      <c r="G19" s="5">
        <f>IF(MVTFEV25!F19&gt;800000,(MVTJANV25!I19-E19+L19),0)</f>
        <v>913336.29514578334</v>
      </c>
      <c r="H19" s="36">
        <f>VLOOKUP(A19,[27]MVTFEV25!$A$6:$AM$42,8,0)</f>
        <v>807.9437495572837</v>
      </c>
      <c r="I19" s="6">
        <f t="shared" si="1"/>
        <v>914144.23889534059</v>
      </c>
      <c r="J19" s="36">
        <f>VLOOKUP($A19,[26]HISTOFEV25!$A$6:$AQ$51,22,0)</f>
        <v>0</v>
      </c>
      <c r="K19" s="36">
        <f>VLOOKUP($A19,[26]HISTOFEV25!$A$6:$AU$51,45,0)</f>
        <v>35000</v>
      </c>
      <c r="L19" s="36">
        <f t="shared" si="2"/>
        <v>29000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VLOOKUP($A19,[26]HISTOFEV25!$A$6:$AU$51,8,0)</f>
        <v>0</v>
      </c>
      <c r="Q19" s="36">
        <f>VLOOKUP($A19,[26]HISTOFEV25!$A$6:$AU$51,23,0)</f>
        <v>0</v>
      </c>
      <c r="R19" s="36">
        <f>VLOOKUP($A19,[26]HISTOFEV25!$A$6:$AU$51,46,0)</f>
        <v>0</v>
      </c>
      <c r="S19" s="36">
        <f>VLOOKUP($A19,[26]HISTOFEV25!$A$6:$AU$51,26,0)</f>
        <v>0</v>
      </c>
      <c r="T19" s="36">
        <f>VLOOKUP($A19,[26]HISTOFEV25!$A$6:$BG$51,58,0)</f>
        <v>0</v>
      </c>
      <c r="U19" s="36">
        <f>VLOOKUP($A19,[26]HISTOFEV25!$A$6:$AU$51,28,0)</f>
        <v>0</v>
      </c>
      <c r="V19" s="36">
        <f>VLOOKUP($A19,[26]HISTOFEV25!$A$6:$AU$51,19,0)</f>
        <v>0</v>
      </c>
      <c r="W19" s="36">
        <f>VLOOKUP($A19,[26]HISTOFEV25!$A$6:$AU$51,20,0)</f>
        <v>0</v>
      </c>
      <c r="X19" s="36">
        <f>VLOOKUP($A19,[26]HISTOFEV25!$A$6:$AU$51,27,0)</f>
        <v>0</v>
      </c>
      <c r="Y19" s="36">
        <f>VLOOKUP($A19,[26]HISTOFEV25!$A$6:$BM$51,33,0)</f>
        <v>0</v>
      </c>
      <c r="Z19" s="36">
        <f>VLOOKUP($A19,[26]HISTOFEV25!$A$6:$BM$51,64,0)</f>
        <v>0</v>
      </c>
      <c r="AA19" s="36"/>
      <c r="AB19" s="36">
        <f>VLOOKUP($A19,[26]HISTOFEV25!$A$6:$AU$51,44,0)</f>
        <v>0</v>
      </c>
      <c r="AC19" s="36">
        <f>VLOOKUP($A19,[26]HISTOFEV25!$A$6:$AU$51,43,0)</f>
        <v>0</v>
      </c>
      <c r="AD19" s="36">
        <f>VLOOKUP($A19,[26]HISTOFEV25!$A$6:$BR$51,47,0)</f>
        <v>0</v>
      </c>
      <c r="AE19" s="36">
        <f>VLOOKUP(A19,[26]HISTOFEV25!$A$6:$BR$51,54,0)</f>
        <v>0</v>
      </c>
      <c r="AF19" s="36">
        <f>VLOOKUP($A19,[26]HISTOFEV25!$A$6:$BR$51,60,0)</f>
        <v>0</v>
      </c>
      <c r="AG19" s="36">
        <f>VLOOKUP($A19,[26]HISTOFEV25!$A$6:$CB$51,61,0)</f>
        <v>0</v>
      </c>
      <c r="AH19" s="36">
        <f>VLOOKUP($A19,[26]HISTOFEV25!$A$6:$CB$51,62,0)</f>
        <v>0</v>
      </c>
      <c r="AI19" s="36">
        <f>VLOOKUP($A19,[26]HISTOFEV25!$A$6:$CB$51,63,0)</f>
        <v>0</v>
      </c>
      <c r="AJ19" s="36">
        <f>VLOOKUP($A19,[26]HISTOFEV25!$A$6:$BR$51,64,0)</f>
        <v>0</v>
      </c>
      <c r="AK19" s="36">
        <f>VLOOKUP($A19,[26]HISTOFEV25!$A$6:$BR$51,65,0)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/>
      <c r="F20" s="36"/>
      <c r="G20" s="5"/>
      <c r="H20" s="36"/>
      <c r="I20" s="6"/>
      <c r="J20" s="36"/>
      <c r="K20" s="36"/>
      <c r="L20" s="36"/>
      <c r="M20" s="36">
        <f t="shared" ref="M20" si="5">IF(K20=0,0,1000)</f>
        <v>0</v>
      </c>
      <c r="N20" s="36">
        <f t="shared" ref="N20" si="6">IF(K20=0,0,1000)</f>
        <v>0</v>
      </c>
      <c r="O20" s="36">
        <f t="shared" ref="O20" si="7">IF(K20=0,0,4000)</f>
        <v>0</v>
      </c>
      <c r="P20" s="36">
        <f>VLOOKUP($A20,[26]HISTOFEV25!$A$6:$AU$51,8,0)</f>
        <v>0</v>
      </c>
      <c r="Q20" s="36">
        <f>VLOOKUP($A20,[26]HISTOFEV25!$A$6:$AU$51,23,0)</f>
        <v>0</v>
      </c>
      <c r="R20" s="36">
        <f>VLOOKUP($A20,[26]HISTOFEV25!$A$6:$AU$51,46,0)</f>
        <v>0</v>
      </c>
      <c r="S20" s="36">
        <f>VLOOKUP($A20,[26]HISTOFEV25!$A$6:$AU$51,26,0)</f>
        <v>0</v>
      </c>
      <c r="T20" s="36">
        <f>VLOOKUP($A20,[26]HISTOFEV25!$A$6:$BG$51,58,0)</f>
        <v>0</v>
      </c>
      <c r="U20" s="36">
        <f>VLOOKUP($A20,[26]HISTOFEV25!$A$6:$AU$51,28,0)</f>
        <v>0</v>
      </c>
      <c r="V20" s="36">
        <f>VLOOKUP($A20,[26]HISTOFEV25!$A$6:$AU$51,19,0)</f>
        <v>0</v>
      </c>
      <c r="W20" s="36">
        <f>VLOOKUP($A20,[26]HISTOFEV25!$A$6:$AU$51,20,0)</f>
        <v>0</v>
      </c>
      <c r="X20" s="36">
        <f>VLOOKUP($A20,[26]HISTOFEV25!$A$6:$AU$51,27,0)</f>
        <v>0</v>
      </c>
      <c r="Y20" s="36">
        <f>VLOOKUP($A20,[26]HISTOFEV25!$A$6:$BM$51,33,0)</f>
        <v>0</v>
      </c>
      <c r="Z20" s="36">
        <f>VLOOKUP($A20,[26]HISTOFEV25!$A$6:$BM$51,64,0)</f>
        <v>0</v>
      </c>
      <c r="AA20" s="36"/>
      <c r="AB20" s="36">
        <f>VLOOKUP($A20,[26]HISTOFEV25!$A$6:$AU$51,44,0)</f>
        <v>0</v>
      </c>
      <c r="AC20" s="36">
        <f>VLOOKUP($A20,[26]HISTOFEV25!$A$6:$AU$51,43,0)</f>
        <v>0</v>
      </c>
      <c r="AD20" s="36">
        <f>VLOOKUP($A20,[26]HISTOFEV25!$A$6:$BR$51,47,0)</f>
        <v>0</v>
      </c>
      <c r="AE20" s="36">
        <f>VLOOKUP(A20,[26]HISTOFEV25!$A$6:$BR$51,54,0)</f>
        <v>0</v>
      </c>
      <c r="AF20" s="36">
        <f>VLOOKUP($A20,[26]HISTOFEV25!$A$6:$BR$51,60,0)</f>
        <v>0</v>
      </c>
      <c r="AG20" s="36">
        <f>VLOOKUP($A20,[26]HISTOFEV25!$A$6:$CB$51,61,0)</f>
        <v>0</v>
      </c>
      <c r="AH20" s="36">
        <f>VLOOKUP($A20,[26]HISTOFEV25!$A$6:$CB$51,62,0)</f>
        <v>0</v>
      </c>
      <c r="AI20" s="36">
        <f>VLOOKUP($A20,[26]HISTOFEV25!$A$6:$CB$51,63,0)</f>
        <v>0</v>
      </c>
      <c r="AJ20" s="36">
        <f>VLOOKUP($A20,[26]HISTOFEV25!$A$6:$BR$51,64,0)</f>
        <v>0</v>
      </c>
      <c r="AK20" s="36">
        <f>VLOOKUP($A20,[26]HISTOFEV25!$A$6:$BR$51,65,0)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VLOOKUP($A21,[26]HISTOFEV25!$A$6:$BA$51,48,0)</f>
        <v>0</v>
      </c>
      <c r="F21" s="36">
        <f>VLOOKUP(A21,MVTJANV25!A21:AM56,6,0)+MVTJANV25!H21-E21+L21</f>
        <v>1042723.358897813</v>
      </c>
      <c r="G21" s="5">
        <f>IF(MVTFEV25!F21&gt;800000,(MVTJANV25!I21-E21+L21),0)</f>
        <v>1042723.358897813</v>
      </c>
      <c r="H21" s="36">
        <f>VLOOKUP(A21,[27]MVTFEV25!$A$6:$AM$42,8,0)</f>
        <v>922.40046170988273</v>
      </c>
      <c r="I21" s="6">
        <f t="shared" si="1"/>
        <v>1043645.7593595228</v>
      </c>
      <c r="J21" s="36">
        <f>VLOOKUP($A21,[26]HISTOFEV25!$A$6:$AQ$51,22,0)</f>
        <v>0</v>
      </c>
      <c r="K21" s="36">
        <f>VLOOKUP($A21,[26]HISTOFEV25!$A$6:$AU$51,45,0)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VLOOKUP($A21,[26]HISTOFEV25!$A$6:$AU$51,8,0)</f>
        <v>0</v>
      </c>
      <c r="Q21" s="36">
        <f>VLOOKUP($A21,[26]HISTOFEV25!$A$6:$AU$51,23,0)</f>
        <v>0</v>
      </c>
      <c r="R21" s="36">
        <f>VLOOKUP($A21,[26]HISTOFEV25!$A$6:$AU$51,46,0)</f>
        <v>0</v>
      </c>
      <c r="S21" s="36">
        <f>VLOOKUP($A21,[26]HISTOFEV25!$A$6:$AU$51,26,0)</f>
        <v>0</v>
      </c>
      <c r="T21" s="36">
        <f>VLOOKUP($A21,[26]HISTOFEV25!$A$6:$BG$51,58,0)</f>
        <v>0</v>
      </c>
      <c r="U21" s="36">
        <f>VLOOKUP($A21,[26]HISTOFEV25!$A$6:$AU$51,28,0)</f>
        <v>0</v>
      </c>
      <c r="V21" s="36">
        <f>VLOOKUP($A21,[26]HISTOFEV25!$A$6:$AU$51,19,0)</f>
        <v>0</v>
      </c>
      <c r="W21" s="36">
        <f>VLOOKUP($A21,[26]HISTOFEV25!$A$6:$AU$51,20,0)</f>
        <v>0</v>
      </c>
      <c r="X21" s="36">
        <f>VLOOKUP($A21,[26]HISTOFEV25!$A$6:$AU$51,27,0)</f>
        <v>0</v>
      </c>
      <c r="Y21" s="36">
        <f>VLOOKUP($A21,[26]HISTOFEV25!$A$6:$BM$51,33,0)</f>
        <v>0</v>
      </c>
      <c r="Z21" s="36">
        <f>VLOOKUP($A21,[26]HISTOFEV25!$A$6:$BM$51,64,0)</f>
        <v>0</v>
      </c>
      <c r="AA21" s="36"/>
      <c r="AB21" s="36">
        <f>VLOOKUP($A21,[26]HISTOFEV25!$A$6:$AU$51,44,0)</f>
        <v>0</v>
      </c>
      <c r="AC21" s="36">
        <f>VLOOKUP($A21,[26]HISTOFEV25!$A$6:$AU$51,43,0)</f>
        <v>0</v>
      </c>
      <c r="AD21" s="36">
        <f>VLOOKUP($A21,[26]HISTOFEV25!$A$6:$BR$51,47,0)</f>
        <v>0</v>
      </c>
      <c r="AE21" s="36">
        <f>VLOOKUP(A21,[26]HISTOFEV25!$A$6:$BR$51,54,0)</f>
        <v>0</v>
      </c>
      <c r="AF21" s="36">
        <f>VLOOKUP($A21,[26]HISTOFEV25!$A$6:$BR$51,60,0)</f>
        <v>0</v>
      </c>
      <c r="AG21" s="36">
        <f>VLOOKUP($A21,[26]HISTOFEV25!$A$6:$CB$51,61,0)</f>
        <v>0</v>
      </c>
      <c r="AH21" s="36">
        <f>VLOOKUP($A21,[26]HISTOFEV25!$A$6:$CB$51,62,0)</f>
        <v>0</v>
      </c>
      <c r="AI21" s="36">
        <f>VLOOKUP($A21,[26]HISTOFEV25!$A$6:$CB$51,63,0)</f>
        <v>0</v>
      </c>
      <c r="AJ21" s="36">
        <f>VLOOKUP($A21,[26]HISTOFEV25!$A$6:$BR$51,64,0)</f>
        <v>0</v>
      </c>
      <c r="AK21" s="36">
        <f>VLOOKUP($A21,[26]HISTOFEV25!$A$6:$BR$51,65,0)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VLOOKUP($A22,[26]HISTOFEV25!$A$6:$BA$51,48,0)</f>
        <v>0</v>
      </c>
      <c r="F22" s="36">
        <f>VLOOKUP(A22,MVTJANV25!A22:AM57,6,0)+MVTJANV25!H22-E22+L22</f>
        <v>891739.26538294612</v>
      </c>
      <c r="G22" s="5">
        <f>IF(MVTFEV25!F22&gt;800000,(MVTJANV25!I22-E22+L22),0)</f>
        <v>891739.26538294612</v>
      </c>
      <c r="H22" s="36">
        <f>VLOOKUP(A22,[27]MVTFEV25!$A$6:$AM$42,8,0)</f>
        <v>788.83886420604313</v>
      </c>
      <c r="I22" s="6">
        <f t="shared" si="1"/>
        <v>892528.10424715211</v>
      </c>
      <c r="J22" s="36">
        <f>VLOOKUP($A22,[26]HISTOFEV25!$A$6:$AQ$51,22,0)</f>
        <v>0</v>
      </c>
      <c r="K22" s="36">
        <f>VLOOKUP($A22,[26]HISTOFEV25!$A$6:$AU$51,45,0)</f>
        <v>25000</v>
      </c>
      <c r="L22" s="36">
        <f t="shared" si="2"/>
        <v>19000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VLOOKUP($A22,[26]HISTOFEV25!$A$6:$AU$51,8,0)</f>
        <v>0</v>
      </c>
      <c r="Q22" s="36">
        <f>VLOOKUP($A22,[26]HISTOFEV25!$A$6:$AU$51,23,0)</f>
        <v>0</v>
      </c>
      <c r="R22" s="36">
        <f>VLOOKUP($A22,[26]HISTOFEV25!$A$6:$AU$51,46,0)</f>
        <v>0</v>
      </c>
      <c r="S22" s="36">
        <f>VLOOKUP($A22,[26]HISTOFEV25!$A$6:$AU$51,26,0)</f>
        <v>0</v>
      </c>
      <c r="T22" s="36">
        <f>VLOOKUP($A22,[26]HISTOFEV25!$A$6:$BG$51,58,0)</f>
        <v>0</v>
      </c>
      <c r="U22" s="36">
        <f>VLOOKUP($A22,[26]HISTOFEV25!$A$6:$AU$51,28,0)</f>
        <v>0</v>
      </c>
      <c r="V22" s="36">
        <f>VLOOKUP($A22,[26]HISTOFEV25!$A$6:$AU$51,19,0)</f>
        <v>0</v>
      </c>
      <c r="W22" s="36">
        <f>VLOOKUP($A22,[26]HISTOFEV25!$A$6:$AU$51,20,0)</f>
        <v>0</v>
      </c>
      <c r="X22" s="36">
        <f>VLOOKUP($A22,[26]HISTOFEV25!$A$6:$AU$51,27,0)</f>
        <v>0</v>
      </c>
      <c r="Y22" s="36">
        <f>VLOOKUP($A22,[26]HISTOFEV25!$A$6:$BM$51,33,0)</f>
        <v>0</v>
      </c>
      <c r="Z22" s="36">
        <f>VLOOKUP($A22,[26]HISTOFEV25!$A$6:$BM$51,64,0)</f>
        <v>0</v>
      </c>
      <c r="AA22" s="36"/>
      <c r="AB22" s="36">
        <f>VLOOKUP($A22,[26]HISTOFEV25!$A$6:$AU$51,44,0)</f>
        <v>0</v>
      </c>
      <c r="AC22" s="36">
        <f>VLOOKUP($A22,[26]HISTOFEV25!$A$6:$AU$51,43,0)</f>
        <v>0</v>
      </c>
      <c r="AD22" s="36">
        <f>VLOOKUP($A22,[26]HISTOFEV25!$A$6:$BR$51,47,0)</f>
        <v>0</v>
      </c>
      <c r="AE22" s="36">
        <f>VLOOKUP(A22,[26]HISTOFEV25!$A$6:$BR$51,54,0)</f>
        <v>0</v>
      </c>
      <c r="AF22" s="36">
        <f>VLOOKUP($A22,[26]HISTOFEV25!$A$6:$BR$51,60,0)</f>
        <v>0</v>
      </c>
      <c r="AG22" s="36">
        <f>VLOOKUP($A22,[26]HISTOFEV25!$A$6:$CB$51,61,0)</f>
        <v>0</v>
      </c>
      <c r="AH22" s="36">
        <f>VLOOKUP($A22,[26]HISTOFEV25!$A$6:$CB$51,62,0)</f>
        <v>0</v>
      </c>
      <c r="AI22" s="36">
        <f>VLOOKUP($A22,[26]HISTOFEV25!$A$6:$CB$51,63,0)</f>
        <v>0</v>
      </c>
      <c r="AJ22" s="36">
        <f>VLOOKUP($A22,[26]HISTOFEV25!$A$6:$BR$51,64,0)</f>
        <v>0</v>
      </c>
      <c r="AK22" s="36">
        <f>VLOOKUP($A22,[26]HISTOFEV25!$A$6:$BR$51,65,0)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VLOOKUP($A23,[26]HISTOFEV25!$A$6:$BA$51,48,0)</f>
        <v>0</v>
      </c>
      <c r="F23" s="36">
        <f>VLOOKUP(A23,MVTJANV25!A23:AM58,6,0)+MVTJANV25!H23-E23+L23</f>
        <v>891019.22312240442</v>
      </c>
      <c r="G23" s="5">
        <f>IF(MVTFEV25!F23&gt;800000,(MVTJANV25!I23-E23+L23),0)</f>
        <v>891019.22312240442</v>
      </c>
      <c r="H23" s="36">
        <f>VLOOKUP(A23,[27]MVTFEV25!$A$6:$AM$42,8,0)</f>
        <v>788.20190972726721</v>
      </c>
      <c r="I23" s="6">
        <f t="shared" si="1"/>
        <v>891807.42503213172</v>
      </c>
      <c r="J23" s="36">
        <f>VLOOKUP($A23,[26]HISTOFEV25!$A$6:$AQ$51,22,0)</f>
        <v>0</v>
      </c>
      <c r="K23" s="36">
        <f>VLOOKUP($A23,[26]HISTOFEV25!$A$6:$AU$51,45,0)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VLOOKUP($A23,[26]HISTOFEV25!$A$6:$AU$51,8,0)</f>
        <v>0</v>
      </c>
      <c r="Q23" s="36">
        <f>VLOOKUP($A23,[26]HISTOFEV25!$A$6:$AU$51,23,0)</f>
        <v>0</v>
      </c>
      <c r="R23" s="36">
        <f>VLOOKUP($A23,[26]HISTOFEV25!$A$6:$AU$51,46,0)</f>
        <v>0</v>
      </c>
      <c r="S23" s="36">
        <f>VLOOKUP($A23,[26]HISTOFEV25!$A$6:$AU$51,26,0)</f>
        <v>0</v>
      </c>
      <c r="T23" s="36">
        <f>VLOOKUP($A23,[26]HISTOFEV25!$A$6:$BG$51,58,0)</f>
        <v>0</v>
      </c>
      <c r="U23" s="36">
        <f>VLOOKUP($A23,[26]HISTOFEV25!$A$6:$AU$51,28,0)</f>
        <v>0</v>
      </c>
      <c r="V23" s="36">
        <f>VLOOKUP($A23,[26]HISTOFEV25!$A$6:$AU$51,19,0)</f>
        <v>0</v>
      </c>
      <c r="W23" s="36">
        <f>VLOOKUP($A23,[26]HISTOFEV25!$A$6:$AU$51,20,0)</f>
        <v>0</v>
      </c>
      <c r="X23" s="36">
        <f>VLOOKUP($A23,[26]HISTOFEV25!$A$6:$AU$51,27,0)</f>
        <v>0</v>
      </c>
      <c r="Y23" s="36">
        <f>VLOOKUP($A23,[26]HISTOFEV25!$A$6:$BM$51,33,0)</f>
        <v>0</v>
      </c>
      <c r="Z23" s="36">
        <f>VLOOKUP($A23,[26]HISTOFEV25!$A$6:$BM$51,64,0)</f>
        <v>0</v>
      </c>
      <c r="AA23" s="36"/>
      <c r="AB23" s="36">
        <f>VLOOKUP($A23,[26]HISTOFEV25!$A$6:$AU$51,44,0)</f>
        <v>0</v>
      </c>
      <c r="AC23" s="36">
        <f>VLOOKUP($A23,[26]HISTOFEV25!$A$6:$AU$51,43,0)</f>
        <v>0</v>
      </c>
      <c r="AD23" s="36">
        <f>VLOOKUP($A23,[26]HISTOFEV25!$A$6:$BR$51,47,0)</f>
        <v>0</v>
      </c>
      <c r="AE23" s="36">
        <f>VLOOKUP(A23,[26]HISTOFEV25!$A$6:$BR$51,54,0)</f>
        <v>0</v>
      </c>
      <c r="AF23" s="36">
        <f>VLOOKUP($A23,[26]HISTOFEV25!$A$6:$BR$51,60,0)</f>
        <v>0</v>
      </c>
      <c r="AG23" s="36">
        <f>VLOOKUP($A23,[26]HISTOFEV25!$A$6:$CB$51,61,0)</f>
        <v>0</v>
      </c>
      <c r="AH23" s="36">
        <f>VLOOKUP($A23,[26]HISTOFEV25!$A$6:$CB$51,62,0)</f>
        <v>0</v>
      </c>
      <c r="AI23" s="36">
        <f>VLOOKUP($A23,[26]HISTOFEV25!$A$6:$CB$51,63,0)</f>
        <v>0</v>
      </c>
      <c r="AJ23" s="36">
        <f>VLOOKUP($A23,[26]HISTOFEV25!$A$6:$BR$51,64,0)</f>
        <v>0</v>
      </c>
      <c r="AK23" s="36">
        <f>VLOOKUP($A23,[26]HISTOFEV25!$A$6:$BR$51,65,0)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VLOOKUP($A24,[26]HISTOFEV25!$A$6:$BA$51,48,0)</f>
        <v>600000</v>
      </c>
      <c r="F24" s="36">
        <f>VLOOKUP(A24,MVTJANV25!A24:AM59,6,0)+MVTJANV25!H24-E24+L24</f>
        <v>1438425.7969390079</v>
      </c>
      <c r="G24" s="5">
        <f>IF(MVTFEV25!F24&gt;800000,(MVTJANV25!I24-E24+L24),0)</f>
        <v>1438425.7969390079</v>
      </c>
      <c r="H24" s="36">
        <f>VLOOKUP(A24,[27]MVTFEV25!$A$6:$AM$42,8,0)</f>
        <v>1272.4416384365029</v>
      </c>
      <c r="I24" s="6">
        <f t="shared" si="1"/>
        <v>1439698.2385774443</v>
      </c>
      <c r="J24" s="36">
        <f>VLOOKUP($A24,[26]HISTOFEV25!$A$6:$AQ$51,22,0)</f>
        <v>0</v>
      </c>
      <c r="K24" s="36">
        <f>VLOOKUP($A24,[26]HISTOFEV25!$A$6:$AU$51,45,0)</f>
        <v>917500</v>
      </c>
      <c r="L24" s="36">
        <f t="shared" si="2"/>
        <v>911500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VLOOKUP($A24,[26]HISTOFEV25!$A$6:$AU$51,8,0)</f>
        <v>0</v>
      </c>
      <c r="Q24" s="36">
        <f>VLOOKUP($A24,[26]HISTOFEV25!$A$6:$AU$51,23,0)</f>
        <v>0</v>
      </c>
      <c r="R24" s="36">
        <f>VLOOKUP($A24,[26]HISTOFEV25!$A$6:$AU$51,46,0)</f>
        <v>0</v>
      </c>
      <c r="S24" s="36">
        <f>VLOOKUP($A24,[26]HISTOFEV25!$A$6:$AU$51,26,0)</f>
        <v>0</v>
      </c>
      <c r="T24" s="36">
        <f>VLOOKUP($A24,[26]HISTOFEV25!$A$6:$BG$51,58,0)</f>
        <v>0</v>
      </c>
      <c r="U24" s="36">
        <f>VLOOKUP($A24,[26]HISTOFEV25!$A$6:$AU$51,28,0)</f>
        <v>0</v>
      </c>
      <c r="V24" s="36">
        <f>VLOOKUP($A24,[26]HISTOFEV25!$A$6:$AU$51,19,0)</f>
        <v>0</v>
      </c>
      <c r="W24" s="36">
        <f>VLOOKUP($A24,[26]HISTOFEV25!$A$6:$AU$51,20,0)</f>
        <v>0</v>
      </c>
      <c r="X24" s="36">
        <f>VLOOKUP($A24,[26]HISTOFEV25!$A$6:$AU$51,27,0)</f>
        <v>0</v>
      </c>
      <c r="Y24" s="36">
        <f>VLOOKUP($A24,[26]HISTOFEV25!$A$6:$BM$51,33,0)</f>
        <v>0</v>
      </c>
      <c r="Z24" s="36">
        <f>VLOOKUP($A24,[26]HISTOFEV25!$A$6:$BM$51,64,0)</f>
        <v>0</v>
      </c>
      <c r="AA24" s="36"/>
      <c r="AB24" s="36">
        <f>VLOOKUP($A24,[26]HISTOFEV25!$A$6:$AU$51,44,0)</f>
        <v>0</v>
      </c>
      <c r="AC24" s="36">
        <f>VLOOKUP($A24,[26]HISTOFEV25!$A$6:$AU$51,43,0)</f>
        <v>0</v>
      </c>
      <c r="AD24" s="36">
        <f>VLOOKUP($A24,[26]HISTOFEV25!$A$6:$BR$51,47,0)</f>
        <v>0</v>
      </c>
      <c r="AE24" s="36">
        <f>VLOOKUP(A24,[26]HISTOFEV25!$A$6:$BR$51,54,0)</f>
        <v>0</v>
      </c>
      <c r="AF24" s="36">
        <f>VLOOKUP($A24,[26]HISTOFEV25!$A$6:$BR$51,60,0)</f>
        <v>0</v>
      </c>
      <c r="AG24" s="36">
        <f>VLOOKUP($A24,[26]HISTOFEV25!$A$6:$CB$51,61,0)</f>
        <v>0</v>
      </c>
      <c r="AH24" s="36">
        <f>VLOOKUP($A24,[26]HISTOFEV25!$A$6:$CB$51,62,0)</f>
        <v>0</v>
      </c>
      <c r="AI24" s="36">
        <f>VLOOKUP($A24,[26]HISTOFEV25!$A$6:$CB$51,63,0)</f>
        <v>0</v>
      </c>
      <c r="AJ24" s="36">
        <f>VLOOKUP($A24,[26]HISTOFEV25!$A$6:$BR$51,64,0)</f>
        <v>0</v>
      </c>
      <c r="AK24" s="36">
        <f>VLOOKUP($A24,[26]HISTOFEV25!$A$6:$BR$51,65,0)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VLOOKUP($A25,[26]HISTOFEV25!$A$6:$BA$51,48,0)</f>
        <v>0</v>
      </c>
      <c r="F25" s="36">
        <f>VLOOKUP(A25,MVTJANV25!A25:AM60,6,0)+MVTJANV25!H25-E25+L25</f>
        <v>1173284.2205666194</v>
      </c>
      <c r="G25" s="5">
        <f>IF(MVTFEV25!F25&gt;800000,(MVTJANV25!I25-E25+L25),0)</f>
        <v>1173284.2205666194</v>
      </c>
      <c r="H25" s="36">
        <f>VLOOKUP(A25,[27]MVTFEV25!$A$6:$AM$42,8,0)</f>
        <v>1037.8955238055898</v>
      </c>
      <c r="I25" s="6">
        <f t="shared" si="1"/>
        <v>1174322.1160904251</v>
      </c>
      <c r="J25" s="36">
        <f>VLOOKUP($A25,[26]HISTOFEV25!$A$6:$AQ$51,22,0)</f>
        <v>0</v>
      </c>
      <c r="K25" s="36">
        <f>VLOOKUP($A25,[26]HISTOFEV25!$A$6:$AU$51,45,0)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VLOOKUP($A25,[26]HISTOFEV25!$A$6:$AU$51,8,0)</f>
        <v>0</v>
      </c>
      <c r="Q25" s="36">
        <f>VLOOKUP($A25,[26]HISTOFEV25!$A$6:$AU$51,23,0)</f>
        <v>0</v>
      </c>
      <c r="R25" s="36">
        <f>VLOOKUP($A25,[26]HISTOFEV25!$A$6:$AU$51,46,0)</f>
        <v>0</v>
      </c>
      <c r="S25" s="36">
        <f>VLOOKUP($A25,[26]HISTOFEV25!$A$6:$AU$51,26,0)</f>
        <v>0</v>
      </c>
      <c r="T25" s="36">
        <f>VLOOKUP($A25,[26]HISTOFEV25!$A$6:$BG$51,58,0)</f>
        <v>0</v>
      </c>
      <c r="U25" s="36">
        <f>VLOOKUP($A25,[26]HISTOFEV25!$A$6:$AU$51,28,0)</f>
        <v>0</v>
      </c>
      <c r="V25" s="36">
        <f>VLOOKUP($A25,[26]HISTOFEV25!$A$6:$AU$51,19,0)</f>
        <v>0</v>
      </c>
      <c r="W25" s="36">
        <f>VLOOKUP($A25,[26]HISTOFEV25!$A$6:$AU$51,20,0)</f>
        <v>0</v>
      </c>
      <c r="X25" s="36">
        <f>VLOOKUP($A25,[26]HISTOFEV25!$A$6:$AU$51,27,0)</f>
        <v>0</v>
      </c>
      <c r="Y25" s="36">
        <f>VLOOKUP($A25,[26]HISTOFEV25!$A$6:$BM$51,33,0)</f>
        <v>0</v>
      </c>
      <c r="Z25" s="36">
        <f>VLOOKUP($A25,[26]HISTOFEV25!$A$6:$BM$51,64,0)</f>
        <v>0</v>
      </c>
      <c r="AA25" s="36"/>
      <c r="AB25" s="36">
        <f>VLOOKUP($A25,[26]HISTOFEV25!$A$6:$AU$51,44,0)</f>
        <v>0</v>
      </c>
      <c r="AC25" s="36">
        <f>VLOOKUP($A25,[26]HISTOFEV25!$A$6:$AU$51,43,0)</f>
        <v>0</v>
      </c>
      <c r="AD25" s="36">
        <f>VLOOKUP($A25,[26]HISTOFEV25!$A$6:$BR$51,47,0)</f>
        <v>0</v>
      </c>
      <c r="AE25" s="36">
        <f>VLOOKUP(A25,[26]HISTOFEV25!$A$6:$BR$51,54,0)</f>
        <v>0</v>
      </c>
      <c r="AF25" s="36">
        <f>VLOOKUP($A25,[26]HISTOFEV25!$A$6:$BR$51,60,0)</f>
        <v>0</v>
      </c>
      <c r="AG25" s="36">
        <f>VLOOKUP($A25,[26]HISTOFEV25!$A$6:$CB$51,61,0)</f>
        <v>0</v>
      </c>
      <c r="AH25" s="36">
        <f>VLOOKUP($A25,[26]HISTOFEV25!$A$6:$CB$51,62,0)</f>
        <v>0</v>
      </c>
      <c r="AI25" s="36">
        <f>VLOOKUP($A25,[26]HISTOFEV25!$A$6:$CB$51,63,0)</f>
        <v>0</v>
      </c>
      <c r="AJ25" s="36">
        <f>VLOOKUP($A25,[26]HISTOFEV25!$A$6:$BR$51,64,0)</f>
        <v>0</v>
      </c>
      <c r="AK25" s="36">
        <f>VLOOKUP($A25,[26]HISTOFEV25!$A$6:$BR$51,65,0)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VLOOKUP($A26,[26]HISTOFEV25!$A$6:$BA$51,48,0)</f>
        <v>0</v>
      </c>
      <c r="F26" s="36">
        <f>VLOOKUP(A26,MVTJANV25!A26:AM61,6,0)+MVTJANV25!H26-E26+L26</f>
        <v>1285940.7371330084</v>
      </c>
      <c r="G26" s="5">
        <f>IF(MVTFEV25!F26&gt;800000,(MVTJANV25!I26-E26+L26),0)</f>
        <v>1285940.7371330084</v>
      </c>
      <c r="H26" s="36">
        <f>VLOOKUP(A26,[27]MVTFEV25!$A$6:$AM$42,8,0)</f>
        <v>1137.5522755305196</v>
      </c>
      <c r="I26" s="6">
        <f t="shared" si="1"/>
        <v>1287078.289408539</v>
      </c>
      <c r="J26" s="36">
        <f>VLOOKUP($A26,[26]HISTOFEV25!$A$6:$AQ$51,22,0)</f>
        <v>0</v>
      </c>
      <c r="K26" s="36">
        <f>VLOOKUP($A26,[26]HISTOFEV25!$A$6:$AU$51,45,0)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VLOOKUP($A26,[26]HISTOFEV25!$A$6:$AU$51,8,0)</f>
        <v>0</v>
      </c>
      <c r="Q26" s="36">
        <f>VLOOKUP($A26,[26]HISTOFEV25!$A$6:$AU$51,23,0)</f>
        <v>0</v>
      </c>
      <c r="R26" s="36">
        <f>VLOOKUP($A26,[26]HISTOFEV25!$A$6:$AU$51,46,0)</f>
        <v>0</v>
      </c>
      <c r="S26" s="36">
        <f>VLOOKUP($A26,[26]HISTOFEV25!$A$6:$AU$51,26,0)</f>
        <v>0</v>
      </c>
      <c r="T26" s="36">
        <f>VLOOKUP($A26,[26]HISTOFEV25!$A$6:$BG$51,58,0)</f>
        <v>0</v>
      </c>
      <c r="U26" s="36">
        <f>VLOOKUP($A26,[26]HISTOFEV25!$A$6:$AU$51,28,0)</f>
        <v>0</v>
      </c>
      <c r="V26" s="36">
        <f>VLOOKUP($A26,[26]HISTOFEV25!$A$6:$AU$51,19,0)</f>
        <v>0</v>
      </c>
      <c r="W26" s="36">
        <f>VLOOKUP($A26,[26]HISTOFEV25!$A$6:$AU$51,20,0)</f>
        <v>0</v>
      </c>
      <c r="X26" s="36">
        <f>VLOOKUP($A26,[26]HISTOFEV25!$A$6:$AU$51,27,0)</f>
        <v>0</v>
      </c>
      <c r="Y26" s="36">
        <f>VLOOKUP($A26,[26]HISTOFEV25!$A$6:$BM$51,33,0)</f>
        <v>0</v>
      </c>
      <c r="Z26" s="36">
        <f>VLOOKUP($A26,[26]HISTOFEV25!$A$6:$BM$51,64,0)</f>
        <v>0</v>
      </c>
      <c r="AA26" s="36"/>
      <c r="AB26" s="36">
        <f>VLOOKUP($A26,[26]HISTOFEV25!$A$6:$AU$51,44,0)</f>
        <v>0</v>
      </c>
      <c r="AC26" s="36">
        <f>VLOOKUP($A26,[26]HISTOFEV25!$A$6:$AU$51,43,0)</f>
        <v>0</v>
      </c>
      <c r="AD26" s="36">
        <f>VLOOKUP($A26,[26]HISTOFEV25!$A$6:$BR$51,47,0)</f>
        <v>0</v>
      </c>
      <c r="AE26" s="36">
        <f>VLOOKUP(A26,[26]HISTOFEV25!$A$6:$BR$51,54,0)</f>
        <v>0</v>
      </c>
      <c r="AF26" s="36">
        <f>VLOOKUP($A26,[26]HISTOFEV25!$A$6:$BR$51,60,0)</f>
        <v>0</v>
      </c>
      <c r="AG26" s="36">
        <f>VLOOKUP($A26,[26]HISTOFEV25!$A$6:$CB$51,61,0)</f>
        <v>0</v>
      </c>
      <c r="AH26" s="36">
        <f>VLOOKUP($A26,[26]HISTOFEV25!$A$6:$CB$51,62,0)</f>
        <v>0</v>
      </c>
      <c r="AI26" s="36">
        <f>VLOOKUP($A26,[26]HISTOFEV25!$A$6:$CB$51,63,0)</f>
        <v>0</v>
      </c>
      <c r="AJ26" s="36">
        <f>VLOOKUP($A26,[26]HISTOFEV25!$A$6:$BR$51,64,0)</f>
        <v>0</v>
      </c>
      <c r="AK26" s="36">
        <f>VLOOKUP($A26,[26]HISTOFEV25!$A$6:$BR$51,65,0)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VLOOKUP($A27,[26]HISTOFEV25!$A$6:$BA$51,48,0)</f>
        <v>0</v>
      </c>
      <c r="F27" s="36">
        <f>VLOOKUP(A27,MVTJANV25!A27:AM62,6,0)+MVTJANV25!H27-E27+L27</f>
        <v>892450.86139996233</v>
      </c>
      <c r="G27" s="5">
        <f>IF(MVTFEV25!F27&gt;800000,(MVTJANV25!I27-E27+L27),0)</f>
        <v>892450.86139996233</v>
      </c>
      <c r="H27" s="36">
        <f>VLOOKUP(A27,[27]MVTFEV25!$A$6:$AM$42,8,0)</f>
        <v>789.46834707802998</v>
      </c>
      <c r="I27" s="6">
        <f t="shared" si="1"/>
        <v>893240.32974704041</v>
      </c>
      <c r="J27" s="36">
        <f>VLOOKUP($A27,[26]HISTOFEV25!$A$6:$AQ$51,22,0)</f>
        <v>0</v>
      </c>
      <c r="K27" s="36">
        <f>VLOOKUP($A27,[26]HISTOFEV25!$A$6:$AU$51,45,0)</f>
        <v>25000</v>
      </c>
      <c r="L27" s="36">
        <f t="shared" si="2"/>
        <v>19000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VLOOKUP($A27,[26]HISTOFEV25!$A$6:$AU$51,8,0)</f>
        <v>0</v>
      </c>
      <c r="Q27" s="36">
        <f>VLOOKUP($A27,[26]HISTOFEV25!$A$6:$AU$51,23,0)</f>
        <v>0</v>
      </c>
      <c r="R27" s="36">
        <f>VLOOKUP($A27,[26]HISTOFEV25!$A$6:$AU$51,46,0)</f>
        <v>0</v>
      </c>
      <c r="S27" s="36">
        <f>VLOOKUP($A27,[26]HISTOFEV25!$A$6:$AU$51,26,0)</f>
        <v>0</v>
      </c>
      <c r="T27" s="36">
        <f>VLOOKUP($A27,[26]HISTOFEV25!$A$6:$BG$51,58,0)</f>
        <v>0</v>
      </c>
      <c r="U27" s="36">
        <f>VLOOKUP($A27,[26]HISTOFEV25!$A$6:$AU$51,28,0)</f>
        <v>0</v>
      </c>
      <c r="V27" s="36">
        <f>VLOOKUP($A27,[26]HISTOFEV25!$A$6:$AU$51,19,0)</f>
        <v>0</v>
      </c>
      <c r="W27" s="36">
        <f>VLOOKUP($A27,[26]HISTOFEV25!$A$6:$AU$51,20,0)</f>
        <v>0</v>
      </c>
      <c r="X27" s="36">
        <f>VLOOKUP($A27,[26]HISTOFEV25!$A$6:$AU$51,27,0)</f>
        <v>0</v>
      </c>
      <c r="Y27" s="36">
        <f>VLOOKUP($A27,[26]HISTOFEV25!$A$6:$BM$51,33,0)</f>
        <v>0</v>
      </c>
      <c r="Z27" s="36">
        <f>VLOOKUP($A27,[26]HISTOFEV25!$A$6:$BM$51,64,0)</f>
        <v>0</v>
      </c>
      <c r="AA27" s="36"/>
      <c r="AB27" s="36">
        <f>VLOOKUP($A27,[26]HISTOFEV25!$A$6:$AU$51,44,0)</f>
        <v>0</v>
      </c>
      <c r="AC27" s="36">
        <f>VLOOKUP($A27,[26]HISTOFEV25!$A$6:$AU$51,43,0)</f>
        <v>0</v>
      </c>
      <c r="AD27" s="36">
        <f>VLOOKUP($A27,[26]HISTOFEV25!$A$6:$BR$51,47,0)</f>
        <v>0</v>
      </c>
      <c r="AE27" s="36">
        <f>VLOOKUP(A27,[26]HISTOFEV25!$A$6:$BR$51,54,0)</f>
        <v>0</v>
      </c>
      <c r="AF27" s="36">
        <f>VLOOKUP($A27,[26]HISTOFEV25!$A$6:$BR$51,60,0)</f>
        <v>0</v>
      </c>
      <c r="AG27" s="36">
        <f>VLOOKUP($A27,[26]HISTOFEV25!$A$6:$CB$51,61,0)</f>
        <v>0</v>
      </c>
      <c r="AH27" s="36">
        <f>VLOOKUP($A27,[26]HISTOFEV25!$A$6:$CB$51,62,0)</f>
        <v>0</v>
      </c>
      <c r="AI27" s="36">
        <f>VLOOKUP($A27,[26]HISTOFEV25!$A$6:$CB$51,63,0)</f>
        <v>0</v>
      </c>
      <c r="AJ27" s="36">
        <f>VLOOKUP($A27,[26]HISTOFEV25!$A$6:$BR$51,64,0)</f>
        <v>0</v>
      </c>
      <c r="AK27" s="36">
        <f>VLOOKUP($A27,[26]HISTOFEV25!$A$6:$BR$51,65,0)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VLOOKUP($A28,[26]HISTOFEV25!$A$6:$BA$51,48,0)</f>
        <v>0</v>
      </c>
      <c r="F28" s="36">
        <f>VLOOKUP(A28,MVTJANV25!A28:AM63,6,0)+MVTJANV25!H28-E28+L28</f>
        <v>901882.49967752036</v>
      </c>
      <c r="G28" s="5">
        <f>IF(MVTFEV25!F28&gt;800000,(MVTJANV25!I28-E28+L28),0)</f>
        <v>901882.49967752036</v>
      </c>
      <c r="H28" s="36">
        <f>VLOOKUP(A28,[27]MVTFEV25!$A$6:$AM$42,8,0)</f>
        <v>797.81164103770107</v>
      </c>
      <c r="I28" s="6">
        <f t="shared" si="1"/>
        <v>902680.31131855806</v>
      </c>
      <c r="J28" s="36">
        <f>VLOOKUP($A28,[26]HISTOFEV25!$A$6:$AQ$51,22,0)</f>
        <v>0</v>
      </c>
      <c r="K28" s="36">
        <f>VLOOKUP($A28,[26]HISTOFEV25!$A$6:$AU$51,45,0)</f>
        <v>33000</v>
      </c>
      <c r="L28" s="36">
        <f t="shared" si="2"/>
        <v>27000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VLOOKUP($A28,[26]HISTOFEV25!$A$6:$AU$51,8,0)</f>
        <v>0</v>
      </c>
      <c r="Q28" s="36">
        <f>VLOOKUP($A28,[26]HISTOFEV25!$A$6:$AU$51,23,0)</f>
        <v>0</v>
      </c>
      <c r="R28" s="36">
        <f>VLOOKUP($A28,[26]HISTOFEV25!$A$6:$AU$51,46,0)</f>
        <v>0</v>
      </c>
      <c r="S28" s="36">
        <f>VLOOKUP($A28,[26]HISTOFEV25!$A$6:$AU$51,26,0)</f>
        <v>0</v>
      </c>
      <c r="T28" s="36">
        <f>VLOOKUP($A28,[26]HISTOFEV25!$A$6:$BG$51,58,0)</f>
        <v>0</v>
      </c>
      <c r="U28" s="36">
        <f>VLOOKUP($A28,[26]HISTOFEV25!$A$6:$AU$51,28,0)</f>
        <v>0</v>
      </c>
      <c r="V28" s="36">
        <f>VLOOKUP($A28,[26]HISTOFEV25!$A$6:$AU$51,19,0)</f>
        <v>0</v>
      </c>
      <c r="W28" s="36">
        <f>VLOOKUP($A28,[26]HISTOFEV25!$A$6:$AU$51,20,0)</f>
        <v>0</v>
      </c>
      <c r="X28" s="36">
        <f>VLOOKUP($A28,[26]HISTOFEV25!$A$6:$AU$51,27,0)</f>
        <v>0</v>
      </c>
      <c r="Y28" s="36">
        <f>VLOOKUP($A28,[26]HISTOFEV25!$A$6:$BM$51,33,0)</f>
        <v>0</v>
      </c>
      <c r="Z28" s="36">
        <f>VLOOKUP($A28,[26]HISTOFEV25!$A$6:$BM$51,64,0)</f>
        <v>0</v>
      </c>
      <c r="AA28" s="36"/>
      <c r="AB28" s="36">
        <f>VLOOKUP($A28,[26]HISTOFEV25!$A$6:$AU$51,44,0)</f>
        <v>0</v>
      </c>
      <c r="AC28" s="36">
        <f>VLOOKUP($A28,[26]HISTOFEV25!$A$6:$AU$51,43,0)</f>
        <v>0</v>
      </c>
      <c r="AD28" s="36">
        <f>VLOOKUP($A28,[26]HISTOFEV25!$A$6:$BR$51,47,0)</f>
        <v>0</v>
      </c>
      <c r="AE28" s="36">
        <f>VLOOKUP(A28,[26]HISTOFEV25!$A$6:$BR$51,54,0)</f>
        <v>0</v>
      </c>
      <c r="AF28" s="36">
        <f>VLOOKUP($A28,[26]HISTOFEV25!$A$6:$BR$51,60,0)</f>
        <v>0</v>
      </c>
      <c r="AG28" s="36">
        <f>VLOOKUP($A28,[26]HISTOFEV25!$A$6:$CB$51,61,0)</f>
        <v>0</v>
      </c>
      <c r="AH28" s="36">
        <f>VLOOKUP($A28,[26]HISTOFEV25!$A$6:$CB$51,62,0)</f>
        <v>0</v>
      </c>
      <c r="AI28" s="36">
        <f>VLOOKUP($A28,[26]HISTOFEV25!$A$6:$CB$51,63,0)</f>
        <v>0</v>
      </c>
      <c r="AJ28" s="36">
        <f>VLOOKUP($A28,[26]HISTOFEV25!$A$6:$BR$51,64,0)</f>
        <v>0</v>
      </c>
      <c r="AK28" s="36">
        <f>VLOOKUP($A28,[26]HISTOFEV25!$A$6:$BR$51,65,0)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VLOOKUP($A29,[26]HISTOFEV25!$A$6:$BA$51,48,0)</f>
        <v>0</v>
      </c>
      <c r="F29" s="36">
        <f>VLOOKUP(A29,MVTJANV25!A29:AM64,6,0)+MVTJANV25!H29-E29+L29</f>
        <v>864647.93927517545</v>
      </c>
      <c r="G29" s="5">
        <f>IF(MVTFEV25!F29&gt;800000,(MVTJANV25!I29-E29+L29),0)</f>
        <v>864647.93927517545</v>
      </c>
      <c r="H29" s="36">
        <f>VLOOKUP(A29,[27]MVTFEV25!$A$6:$AM$42,8,0)</f>
        <v>764.87368542980983</v>
      </c>
      <c r="I29" s="6">
        <f t="shared" si="1"/>
        <v>865412.81296060525</v>
      </c>
      <c r="J29" s="36">
        <f>VLOOKUP($A29,[26]HISTOFEV25!$A$6:$AQ$51,22,0)</f>
        <v>0</v>
      </c>
      <c r="K29" s="36">
        <f>VLOOKUP($A29,[26]HISTOFEV25!$A$6:$AU$51,45,0)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VLOOKUP($A29,[26]HISTOFEV25!$A$6:$AU$51,8,0)</f>
        <v>0</v>
      </c>
      <c r="Q29" s="36">
        <f>VLOOKUP($A29,[26]HISTOFEV25!$A$6:$AU$51,23,0)</f>
        <v>0</v>
      </c>
      <c r="R29" s="36">
        <f>VLOOKUP($A29,[26]HISTOFEV25!$A$6:$AU$51,46,0)</f>
        <v>0</v>
      </c>
      <c r="S29" s="36">
        <f>VLOOKUP($A29,[26]HISTOFEV25!$A$6:$AU$51,26,0)</f>
        <v>0</v>
      </c>
      <c r="T29" s="36">
        <f>VLOOKUP($A29,[26]HISTOFEV25!$A$6:$BG$51,58,0)</f>
        <v>0</v>
      </c>
      <c r="U29" s="36">
        <f>VLOOKUP($A29,[26]HISTOFEV25!$A$6:$AU$51,28,0)</f>
        <v>0</v>
      </c>
      <c r="V29" s="36">
        <f>VLOOKUP($A29,[26]HISTOFEV25!$A$6:$AU$51,19,0)</f>
        <v>0</v>
      </c>
      <c r="W29" s="36">
        <f>VLOOKUP($A29,[26]HISTOFEV25!$A$6:$AU$51,20,0)</f>
        <v>0</v>
      </c>
      <c r="X29" s="36">
        <f>VLOOKUP($A29,[26]HISTOFEV25!$A$6:$AU$51,27,0)</f>
        <v>0</v>
      </c>
      <c r="Y29" s="36">
        <f>VLOOKUP($A29,[26]HISTOFEV25!$A$6:$BM$51,33,0)</f>
        <v>0</v>
      </c>
      <c r="Z29" s="36">
        <f>VLOOKUP($A29,[26]HISTOFEV25!$A$6:$BM$51,64,0)</f>
        <v>0</v>
      </c>
      <c r="AA29" s="36"/>
      <c r="AB29" s="36">
        <f>VLOOKUP($A29,[26]HISTOFEV25!$A$6:$AU$51,44,0)</f>
        <v>0</v>
      </c>
      <c r="AC29" s="36">
        <f>VLOOKUP($A29,[26]HISTOFEV25!$A$6:$AU$51,43,0)</f>
        <v>0</v>
      </c>
      <c r="AD29" s="36">
        <f>VLOOKUP($A29,[26]HISTOFEV25!$A$6:$BR$51,47,0)</f>
        <v>0</v>
      </c>
      <c r="AE29" s="36">
        <f>VLOOKUP(A29,[26]HISTOFEV25!$A$6:$BR$51,54,0)</f>
        <v>0</v>
      </c>
      <c r="AF29" s="36">
        <f>VLOOKUP($A29,[26]HISTOFEV25!$A$6:$BR$51,60,0)</f>
        <v>0</v>
      </c>
      <c r="AG29" s="36">
        <f>VLOOKUP($A29,[26]HISTOFEV25!$A$6:$CB$51,61,0)</f>
        <v>0</v>
      </c>
      <c r="AH29" s="36">
        <f>VLOOKUP($A29,[26]HISTOFEV25!$A$6:$CB$51,62,0)</f>
        <v>0</v>
      </c>
      <c r="AI29" s="36">
        <f>VLOOKUP($A29,[26]HISTOFEV25!$A$6:$CB$51,63,0)</f>
        <v>0</v>
      </c>
      <c r="AJ29" s="36">
        <f>VLOOKUP($A29,[26]HISTOFEV25!$A$6:$BR$51,64,0)</f>
        <v>0</v>
      </c>
      <c r="AK29" s="36">
        <f>VLOOKUP($A29,[26]HISTOFEV25!$A$6:$BR$51,65,0)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VLOOKUP($A30,[26]HISTOFEV25!$A$6:$BA$51,48,0)</f>
        <v>0</v>
      </c>
      <c r="F30" s="36">
        <f>VLOOKUP(A30,MVTJANV25!A30:AM65,6,0)+MVTJANV25!H30-E30+L30</f>
        <v>1023543.951377498</v>
      </c>
      <c r="G30" s="5">
        <f>IF(MVTFEV25!F30&gt;800000,(MVTJANV25!I30-E30+L30),0)</f>
        <v>1023543.951377498</v>
      </c>
      <c r="H30" s="36">
        <f>VLOOKUP(A30,[27]MVTFEV25!$A$6:$AM$42,8,0)</f>
        <v>905.43422210174685</v>
      </c>
      <c r="I30" s="6">
        <f t="shared" si="1"/>
        <v>1024449.3855995997</v>
      </c>
      <c r="J30" s="36">
        <f>VLOOKUP($A30,[26]HISTOFEV25!$A$6:$AQ$51,22,0)</f>
        <v>0</v>
      </c>
      <c r="K30" s="36">
        <f>VLOOKUP($A30,[26]HISTOFEV25!$A$6:$AU$51,45,0)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VLOOKUP($A30,[26]HISTOFEV25!$A$6:$AU$51,8,0)</f>
        <v>0</v>
      </c>
      <c r="Q30" s="36">
        <f>VLOOKUP($A30,[26]HISTOFEV25!$A$6:$AU$51,23,0)</f>
        <v>0</v>
      </c>
      <c r="R30" s="36">
        <f>VLOOKUP($A30,[26]HISTOFEV25!$A$6:$AU$51,46,0)</f>
        <v>0</v>
      </c>
      <c r="S30" s="36">
        <f>VLOOKUP($A30,[26]HISTOFEV25!$A$6:$AU$51,26,0)</f>
        <v>0</v>
      </c>
      <c r="T30" s="36">
        <f>VLOOKUP($A30,[26]HISTOFEV25!$A$6:$BG$51,58,0)</f>
        <v>0</v>
      </c>
      <c r="U30" s="36">
        <f>VLOOKUP($A30,[26]HISTOFEV25!$A$6:$AU$51,28,0)</f>
        <v>0</v>
      </c>
      <c r="V30" s="36">
        <f>VLOOKUP($A30,[26]HISTOFEV25!$A$6:$AU$51,19,0)</f>
        <v>0</v>
      </c>
      <c r="W30" s="36">
        <f>VLOOKUP($A30,[26]HISTOFEV25!$A$6:$AU$51,20,0)</f>
        <v>0</v>
      </c>
      <c r="X30" s="36">
        <f>VLOOKUP($A30,[26]HISTOFEV25!$A$6:$AU$51,27,0)</f>
        <v>0</v>
      </c>
      <c r="Y30" s="36">
        <f>VLOOKUP($A30,[26]HISTOFEV25!$A$6:$BM$51,33,0)</f>
        <v>0</v>
      </c>
      <c r="Z30" s="36">
        <f>VLOOKUP($A30,[26]HISTOFEV25!$A$6:$BM$51,64,0)</f>
        <v>0</v>
      </c>
      <c r="AA30" s="36"/>
      <c r="AB30" s="36">
        <f>VLOOKUP($A30,[26]HISTOFEV25!$A$6:$AU$51,44,0)</f>
        <v>0</v>
      </c>
      <c r="AC30" s="36">
        <f>VLOOKUP($A30,[26]HISTOFEV25!$A$6:$AU$51,43,0)</f>
        <v>0</v>
      </c>
      <c r="AD30" s="36">
        <f>VLOOKUP($A30,[26]HISTOFEV25!$A$6:$BR$51,47,0)</f>
        <v>0</v>
      </c>
      <c r="AE30" s="36">
        <f>VLOOKUP(A30,[26]HISTOFEV25!$A$6:$BR$51,54,0)</f>
        <v>0</v>
      </c>
      <c r="AF30" s="36">
        <f>VLOOKUP($A30,[26]HISTOFEV25!$A$6:$BR$51,60,0)</f>
        <v>0</v>
      </c>
      <c r="AG30" s="36">
        <f>VLOOKUP($A30,[26]HISTOFEV25!$A$6:$CB$51,61,0)</f>
        <v>0</v>
      </c>
      <c r="AH30" s="36">
        <f>VLOOKUP($A30,[26]HISTOFEV25!$A$6:$CB$51,62,0)</f>
        <v>0</v>
      </c>
      <c r="AI30" s="36">
        <f>VLOOKUP($A30,[26]HISTOFEV25!$A$6:$CB$51,63,0)</f>
        <v>0</v>
      </c>
      <c r="AJ30" s="36">
        <f>VLOOKUP($A30,[26]HISTOFEV25!$A$6:$BR$51,64,0)</f>
        <v>0</v>
      </c>
      <c r="AK30" s="36">
        <f>VLOOKUP($A30,[26]HISTOFEV25!$A$6:$BR$51,65,0)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VLOOKUP($A31,[26]HISTOFEV25!$A$6:$BA$51,48,0)</f>
        <v>0</v>
      </c>
      <c r="F31" s="36">
        <f>VLOOKUP(A31,MVTJANV25!A31:AM66,6,0)+MVTJANV25!H31-E31+L31</f>
        <v>872230.55440011725</v>
      </c>
      <c r="G31" s="5">
        <f>IF(MVTFEV25!F31&gt;800000,(MVTJANV25!I31-E31+L31),0)</f>
        <v>872230.55440011725</v>
      </c>
      <c r="H31" s="36">
        <f>VLOOKUP(A31,[27]MVTFEV25!$A$6:$AM$42,8,0)</f>
        <v>771.58132042477882</v>
      </c>
      <c r="I31" s="6">
        <f t="shared" si="1"/>
        <v>873002.13572054205</v>
      </c>
      <c r="J31" s="36">
        <f>VLOOKUP($A31,[26]HISTOFEV25!$A$6:$AQ$51,22,0)</f>
        <v>0</v>
      </c>
      <c r="K31" s="36">
        <f>VLOOKUP($A31,[26]HISTOFEV25!$A$6:$AU$51,45,0)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VLOOKUP($A31,[26]HISTOFEV25!$A$6:$AU$51,8,0)</f>
        <v>0</v>
      </c>
      <c r="Q31" s="36">
        <f>VLOOKUP($A31,[26]HISTOFEV25!$A$6:$AU$51,23,0)</f>
        <v>0</v>
      </c>
      <c r="R31" s="36">
        <f>VLOOKUP($A31,[26]HISTOFEV25!$A$6:$AU$51,46,0)</f>
        <v>0</v>
      </c>
      <c r="S31" s="36">
        <f>VLOOKUP($A31,[26]HISTOFEV25!$A$6:$AU$51,26,0)</f>
        <v>0</v>
      </c>
      <c r="T31" s="36">
        <f>VLOOKUP($A31,[26]HISTOFEV25!$A$6:$BG$51,58,0)</f>
        <v>0</v>
      </c>
      <c r="U31" s="36">
        <f>VLOOKUP($A31,[26]HISTOFEV25!$A$6:$AU$51,28,0)</f>
        <v>0</v>
      </c>
      <c r="V31" s="36">
        <f>VLOOKUP($A31,[26]HISTOFEV25!$A$6:$AU$51,19,0)</f>
        <v>0</v>
      </c>
      <c r="W31" s="36">
        <f>VLOOKUP($A31,[26]HISTOFEV25!$A$6:$AU$51,20,0)</f>
        <v>0</v>
      </c>
      <c r="X31" s="36">
        <f>VLOOKUP($A31,[26]HISTOFEV25!$A$6:$AU$51,27,0)</f>
        <v>0</v>
      </c>
      <c r="Y31" s="36">
        <f>VLOOKUP($A31,[26]HISTOFEV25!$A$6:$BM$51,33,0)</f>
        <v>0</v>
      </c>
      <c r="Z31" s="36">
        <f>VLOOKUP($A31,[26]HISTOFEV25!$A$6:$BM$51,64,0)</f>
        <v>0</v>
      </c>
      <c r="AA31" s="36"/>
      <c r="AB31" s="36">
        <f>VLOOKUP($A31,[26]HISTOFEV25!$A$6:$AU$51,44,0)</f>
        <v>0</v>
      </c>
      <c r="AC31" s="36">
        <f>VLOOKUP($A31,[26]HISTOFEV25!$A$6:$AU$51,43,0)</f>
        <v>0</v>
      </c>
      <c r="AD31" s="36">
        <f>VLOOKUP($A31,[26]HISTOFEV25!$A$6:$BR$51,47,0)</f>
        <v>0</v>
      </c>
      <c r="AE31" s="36">
        <f>VLOOKUP(A31,[26]HISTOFEV25!$A$6:$BR$51,54,0)</f>
        <v>0</v>
      </c>
      <c r="AF31" s="36">
        <f>VLOOKUP($A31,[26]HISTOFEV25!$A$6:$BR$51,60,0)</f>
        <v>0</v>
      </c>
      <c r="AG31" s="36">
        <f>VLOOKUP($A31,[26]HISTOFEV25!$A$6:$CB$51,61,0)</f>
        <v>0</v>
      </c>
      <c r="AH31" s="36">
        <f>VLOOKUP($A31,[26]HISTOFEV25!$A$6:$CB$51,62,0)</f>
        <v>0</v>
      </c>
      <c r="AI31" s="36">
        <f>VLOOKUP($A31,[26]HISTOFEV25!$A$6:$CB$51,63,0)</f>
        <v>0</v>
      </c>
      <c r="AJ31" s="36">
        <f>VLOOKUP($A31,[26]HISTOFEV25!$A$6:$BR$51,64,0)</f>
        <v>0</v>
      </c>
      <c r="AK31" s="36">
        <f>VLOOKUP($A31,[26]HISTOFEV25!$A$6:$BR$51,65,0)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VLOOKUP($A32,[26]HISTOFEV25!$A$6:$BA$51,48,0)</f>
        <v>0</v>
      </c>
      <c r="F32" s="36">
        <f>VLOOKUP(A32,MVTJANV25!A32:AM67,6,0)+MVTJANV25!H32-E32+L32</f>
        <v>966282.64339694264</v>
      </c>
      <c r="G32" s="5">
        <f>IF(MVTFEV25!F32&gt;800000,(MVTJANV25!I32-E32+L32),0)</f>
        <v>966282.64339694264</v>
      </c>
      <c r="H32" s="36">
        <f>VLOOKUP(A32,[27]MVTFEV25!$A$6:$AM$42,8,0)</f>
        <v>854.78046387463087</v>
      </c>
      <c r="I32" s="6">
        <f t="shared" si="1"/>
        <v>967137.42386081722</v>
      </c>
      <c r="J32" s="36">
        <f>VLOOKUP($A32,[26]HISTOFEV25!$A$6:$AQ$51,22,0)</f>
        <v>0</v>
      </c>
      <c r="K32" s="36">
        <f>VLOOKUP($A32,[26]HISTOFEV25!$A$6:$AU$51,45,0)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VLOOKUP($A32,[26]HISTOFEV25!$A$6:$AU$51,8,0)</f>
        <v>0</v>
      </c>
      <c r="Q32" s="36">
        <f>VLOOKUP($A32,[26]HISTOFEV25!$A$6:$AU$51,23,0)</f>
        <v>0</v>
      </c>
      <c r="R32" s="36">
        <f>VLOOKUP($A32,[26]HISTOFEV25!$A$6:$AU$51,46,0)</f>
        <v>0</v>
      </c>
      <c r="S32" s="36">
        <f>VLOOKUP($A32,[26]HISTOFEV25!$A$6:$AU$51,26,0)</f>
        <v>0</v>
      </c>
      <c r="T32" s="36">
        <f>VLOOKUP($A32,[26]HISTOFEV25!$A$6:$BG$51,58,0)</f>
        <v>0</v>
      </c>
      <c r="U32" s="36">
        <f>VLOOKUP($A32,[26]HISTOFEV25!$A$6:$AU$51,28,0)</f>
        <v>0</v>
      </c>
      <c r="V32" s="36">
        <f>VLOOKUP($A32,[26]HISTOFEV25!$A$6:$AU$51,19,0)</f>
        <v>0</v>
      </c>
      <c r="W32" s="36">
        <f>VLOOKUP($A32,[26]HISTOFEV25!$A$6:$AU$51,20,0)</f>
        <v>0</v>
      </c>
      <c r="X32" s="36">
        <f>VLOOKUP($A32,[26]HISTOFEV25!$A$6:$AU$51,27,0)</f>
        <v>0</v>
      </c>
      <c r="Y32" s="36">
        <f>VLOOKUP($A32,[26]HISTOFEV25!$A$6:$BM$51,33,0)</f>
        <v>0</v>
      </c>
      <c r="Z32" s="36">
        <f>VLOOKUP($A32,[26]HISTOFEV25!$A$6:$BM$51,64,0)</f>
        <v>0</v>
      </c>
      <c r="AA32" s="36"/>
      <c r="AB32" s="36">
        <f>VLOOKUP($A32,[26]HISTOFEV25!$A$6:$AU$51,44,0)</f>
        <v>0</v>
      </c>
      <c r="AC32" s="36">
        <f>VLOOKUP($A32,[26]HISTOFEV25!$A$6:$AU$51,43,0)</f>
        <v>0</v>
      </c>
      <c r="AD32" s="36">
        <f>VLOOKUP($A32,[26]HISTOFEV25!$A$6:$BR$51,47,0)</f>
        <v>0</v>
      </c>
      <c r="AE32" s="36">
        <f>VLOOKUP(A32,[26]HISTOFEV25!$A$6:$BR$51,54,0)</f>
        <v>0</v>
      </c>
      <c r="AF32" s="36">
        <f>VLOOKUP($A32,[26]HISTOFEV25!$A$6:$BR$51,60,0)</f>
        <v>0</v>
      </c>
      <c r="AG32" s="36">
        <f>VLOOKUP($A32,[26]HISTOFEV25!$A$6:$CB$51,61,0)</f>
        <v>0</v>
      </c>
      <c r="AH32" s="36">
        <f>VLOOKUP($A32,[26]HISTOFEV25!$A$6:$CB$51,62,0)</f>
        <v>0</v>
      </c>
      <c r="AI32" s="36">
        <f>VLOOKUP($A32,[26]HISTOFEV25!$A$6:$CB$51,63,0)</f>
        <v>0</v>
      </c>
      <c r="AJ32" s="36">
        <f>VLOOKUP($A32,[26]HISTOFEV25!$A$6:$BR$51,64,0)</f>
        <v>0</v>
      </c>
      <c r="AK32" s="36">
        <f>VLOOKUP($A32,[26]HISTOFEV25!$A$6:$BR$51,65,0)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VLOOKUP($A33,[26]HISTOFEV25!$A$6:$BA$51,48,0)</f>
        <v>0</v>
      </c>
      <c r="F33" s="36">
        <f>VLOOKUP(A33,MVTJANV25!A33:AM68,6,0)+MVTJANV25!H33-E33+L33</f>
        <v>38000</v>
      </c>
      <c r="G33" s="5">
        <f>IF(MVTFEV25!F33&gt;800000,(MVTJANV25!I33-E33+L33),0)</f>
        <v>0</v>
      </c>
      <c r="H33" s="36">
        <f>VLOOKUP(A33,[27]MVTFEV25!$A$6:$AM$42,8,0)</f>
        <v>0</v>
      </c>
      <c r="I33" s="6">
        <f t="shared" si="1"/>
        <v>38000</v>
      </c>
      <c r="J33" s="36">
        <f>VLOOKUP($A33,[26]HISTOFEV25!$A$6:$AQ$51,22,0)</f>
        <v>0</v>
      </c>
      <c r="K33" s="36">
        <f>VLOOKUP($A33,[26]HISTOFEV25!$A$6:$AU$51,45,0)</f>
        <v>25000</v>
      </c>
      <c r="L33" s="36">
        <f t="shared" si="2"/>
        <v>19000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VLOOKUP($A33,[26]HISTOFEV25!$A$6:$AU$51,8,0)</f>
        <v>0</v>
      </c>
      <c r="Q33" s="36">
        <f>VLOOKUP($A33,[26]HISTOFEV25!$A$6:$AU$51,23,0)</f>
        <v>0</v>
      </c>
      <c r="R33" s="36">
        <f>VLOOKUP($A33,[26]HISTOFEV25!$A$6:$AU$51,46,0)</f>
        <v>0</v>
      </c>
      <c r="S33" s="36">
        <f>VLOOKUP($A33,[26]HISTOFEV25!$A$6:$AU$51,26,0)</f>
        <v>0</v>
      </c>
      <c r="T33" s="36">
        <f>VLOOKUP($A33,[26]HISTOFEV25!$A$6:$BG$51,58,0)</f>
        <v>0</v>
      </c>
      <c r="U33" s="36">
        <f>VLOOKUP($A33,[26]HISTOFEV25!$A$6:$AU$51,28,0)</f>
        <v>0</v>
      </c>
      <c r="V33" s="36">
        <f>VLOOKUP($A33,[26]HISTOFEV25!$A$6:$AU$51,19,0)</f>
        <v>0</v>
      </c>
      <c r="W33" s="36">
        <f>VLOOKUP($A33,[26]HISTOFEV25!$A$6:$AU$51,20,0)</f>
        <v>0</v>
      </c>
      <c r="X33" s="36">
        <f>VLOOKUP($A33,[26]HISTOFEV25!$A$6:$AU$51,27,0)</f>
        <v>0</v>
      </c>
      <c r="Y33" s="36">
        <f>VLOOKUP($A33,[26]HISTOFEV25!$A$6:$BM$51,33,0)</f>
        <v>0</v>
      </c>
      <c r="Z33" s="36">
        <f>VLOOKUP($A33,[26]HISTOFEV25!$A$6:$BM$51,64,0)</f>
        <v>0</v>
      </c>
      <c r="AA33" s="36"/>
      <c r="AB33" s="36">
        <f>VLOOKUP($A33,[26]HISTOFEV25!$A$6:$AU$51,44,0)</f>
        <v>0</v>
      </c>
      <c r="AC33" s="36">
        <f>VLOOKUP($A33,[26]HISTOFEV25!$A$6:$AU$51,43,0)</f>
        <v>0</v>
      </c>
      <c r="AD33" s="36">
        <f>VLOOKUP($A33,[26]HISTOFEV25!$A$6:$BR$51,47,0)</f>
        <v>0</v>
      </c>
      <c r="AE33" s="36">
        <f>VLOOKUP(A33,[26]HISTOFEV25!$A$6:$BR$51,54,0)</f>
        <v>0</v>
      </c>
      <c r="AF33" s="36">
        <f>VLOOKUP($A33,[26]HISTOFEV25!$A$6:$BR$51,60,0)</f>
        <v>0</v>
      </c>
      <c r="AG33" s="36">
        <f>VLOOKUP($A33,[26]HISTOFEV25!$A$6:$CB$51,61,0)</f>
        <v>0</v>
      </c>
      <c r="AH33" s="36">
        <f>VLOOKUP($A33,[26]HISTOFEV25!$A$6:$CB$51,62,0)</f>
        <v>0</v>
      </c>
      <c r="AI33" s="36">
        <f>VLOOKUP($A33,[26]HISTOFEV25!$A$6:$CB$51,63,0)</f>
        <v>0</v>
      </c>
      <c r="AJ33" s="36">
        <f>VLOOKUP($A33,[26]HISTOFEV25!$A$6:$BR$51,64,0)</f>
        <v>0</v>
      </c>
      <c r="AK33" s="36">
        <f>VLOOKUP($A33,[26]HISTOFEV25!$A$6:$BR$51,65,0)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VLOOKUP($A34,[26]HISTOFEV25!$A$6:$BA$51,48,0)</f>
        <v>0</v>
      </c>
      <c r="F34" s="36">
        <f>VLOOKUP(A34,MVTJANV25!A34:AM69,6,0)+MVTJANV25!H34-E34+L34</f>
        <v>932059.52041239908</v>
      </c>
      <c r="G34" s="5">
        <f>IF(MVTFEV25!F34&gt;800000,(MVTJANV25!I34-E34+L34),0)</f>
        <v>932059.52041239908</v>
      </c>
      <c r="H34" s="36">
        <f>VLOOKUP(A34,[27]MVTFEV25!$A$6:$AM$42,8,0)</f>
        <v>824.5064471157998</v>
      </c>
      <c r="I34" s="6">
        <f t="shared" si="1"/>
        <v>932884.02685951488</v>
      </c>
      <c r="J34" s="36">
        <f>VLOOKUP($A34,[26]HISTOFEV25!$A$6:$AQ$51,22,0)</f>
        <v>0</v>
      </c>
      <c r="K34" s="36">
        <f>VLOOKUP($A34,[26]HISTOFEV25!$A$6:$AU$51,45,0)</f>
        <v>25000</v>
      </c>
      <c r="L34" s="36">
        <f t="shared" si="2"/>
        <v>19000</v>
      </c>
      <c r="M34" s="36">
        <f t="shared" si="3"/>
        <v>1000</v>
      </c>
      <c r="N34" s="36">
        <f t="shared" si="0"/>
        <v>1000</v>
      </c>
      <c r="O34" s="36">
        <f t="shared" si="4"/>
        <v>4000</v>
      </c>
      <c r="P34" s="36">
        <f>VLOOKUP($A34,[26]HISTOFEV25!$A$6:$AU$51,8,0)</f>
        <v>0</v>
      </c>
      <c r="Q34" s="36">
        <f>VLOOKUP($A34,[26]HISTOFEV25!$A$6:$AU$51,23,0)</f>
        <v>0</v>
      </c>
      <c r="R34" s="36">
        <f>VLOOKUP($A34,[26]HISTOFEV25!$A$6:$AU$51,46,0)</f>
        <v>0</v>
      </c>
      <c r="S34" s="36">
        <f>VLOOKUP($A34,[26]HISTOFEV25!$A$6:$AU$51,26,0)</f>
        <v>0</v>
      </c>
      <c r="T34" s="36">
        <f>VLOOKUP($A34,[26]HISTOFEV25!$A$6:$BG$51,58,0)</f>
        <v>0</v>
      </c>
      <c r="U34" s="36">
        <f>VLOOKUP($A34,[26]HISTOFEV25!$A$6:$AU$51,28,0)</f>
        <v>0</v>
      </c>
      <c r="V34" s="36">
        <f>VLOOKUP($A34,[26]HISTOFEV25!$A$6:$AU$51,19,0)</f>
        <v>0</v>
      </c>
      <c r="W34" s="36">
        <f>VLOOKUP($A34,[26]HISTOFEV25!$A$6:$AU$51,20,0)</f>
        <v>0</v>
      </c>
      <c r="X34" s="36">
        <f>VLOOKUP($A34,[26]HISTOFEV25!$A$6:$AU$51,27,0)</f>
        <v>0</v>
      </c>
      <c r="Y34" s="36">
        <f>VLOOKUP($A34,[26]HISTOFEV25!$A$6:$BM$51,33,0)</f>
        <v>0</v>
      </c>
      <c r="Z34" s="36">
        <f>VLOOKUP($A34,[26]HISTOFEV25!$A$6:$BM$51,64,0)</f>
        <v>0</v>
      </c>
      <c r="AA34" s="36"/>
      <c r="AB34" s="36">
        <f>VLOOKUP($A34,[26]HISTOFEV25!$A$6:$AU$51,44,0)</f>
        <v>0</v>
      </c>
      <c r="AC34" s="36">
        <f>VLOOKUP($A34,[26]HISTOFEV25!$A$6:$AU$51,43,0)</f>
        <v>0</v>
      </c>
      <c r="AD34" s="36">
        <f>VLOOKUP($A34,[26]HISTOFEV25!$A$6:$BR$51,47,0)</f>
        <v>0</v>
      </c>
      <c r="AE34" s="36">
        <f>VLOOKUP(A34,[26]HISTOFEV25!$A$6:$BR$51,54,0)</f>
        <v>0</v>
      </c>
      <c r="AF34" s="36">
        <f>VLOOKUP($A34,[26]HISTOFEV25!$A$6:$BR$51,60,0)</f>
        <v>0</v>
      </c>
      <c r="AG34" s="36">
        <f>VLOOKUP($A34,[26]HISTOFEV25!$A$6:$CB$51,61,0)</f>
        <v>0</v>
      </c>
      <c r="AH34" s="36">
        <f>VLOOKUP($A34,[26]HISTOFEV25!$A$6:$CB$51,62,0)</f>
        <v>0</v>
      </c>
      <c r="AI34" s="36">
        <f>VLOOKUP($A34,[26]HISTOFEV25!$A$6:$CB$51,63,0)</f>
        <v>0</v>
      </c>
      <c r="AJ34" s="36">
        <f>VLOOKUP($A34,[26]HISTOFEV25!$A$6:$BR$51,64,0)</f>
        <v>0</v>
      </c>
      <c r="AK34" s="36">
        <f>VLOOKUP($A34,[26]HISTOFEV25!$A$6:$BR$51,65,0)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VLOOKUP($A35,[26]HISTOFEV25!$A$6:$BA$51,48,0)</f>
        <v>0</v>
      </c>
      <c r="F35" s="36">
        <f>VLOOKUP(A35,MVTJANV25!A35:AM70,6,0)+MVTJANV25!H35-E35+L35</f>
        <v>889151.54752284684</v>
      </c>
      <c r="G35" s="5">
        <f>IF(MVTFEV25!F35&gt;800000,(MVTJANV25!I35-E35+L35),0)</f>
        <v>889151.54752284684</v>
      </c>
      <c r="H35" s="36">
        <f>VLOOKUP(A35,[27]MVTFEV25!$A$6:$AM$42,8,0)</f>
        <v>786.54975067601401</v>
      </c>
      <c r="I35" s="6">
        <f t="shared" si="1"/>
        <v>889938.09727352287</v>
      </c>
      <c r="J35" s="36">
        <f>VLOOKUP($A35,[26]HISTOFEV25!$A$6:$AQ$51,22,0)</f>
        <v>0</v>
      </c>
      <c r="K35" s="36">
        <f>VLOOKUP($A35,[26]HISTOFEV25!$A$6:$AU$51,45,0)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VLOOKUP($A35,[26]HISTOFEV25!$A$6:$AU$51,8,0)</f>
        <v>0</v>
      </c>
      <c r="Q35" s="36">
        <f>VLOOKUP($A35,[26]HISTOFEV25!$A$6:$AU$51,23,0)</f>
        <v>0</v>
      </c>
      <c r="R35" s="36">
        <f>VLOOKUP($A35,[26]HISTOFEV25!$A$6:$AU$51,46,0)</f>
        <v>0</v>
      </c>
      <c r="S35" s="36">
        <f>VLOOKUP($A35,[26]HISTOFEV25!$A$6:$AU$51,26,0)</f>
        <v>0</v>
      </c>
      <c r="T35" s="36">
        <f>VLOOKUP($A35,[26]HISTOFEV25!$A$6:$BG$51,58,0)</f>
        <v>0</v>
      </c>
      <c r="U35" s="36">
        <f>VLOOKUP($A35,[26]HISTOFEV25!$A$6:$AU$51,28,0)</f>
        <v>0</v>
      </c>
      <c r="V35" s="36">
        <f>VLOOKUP($A35,[26]HISTOFEV25!$A$6:$AU$51,19,0)</f>
        <v>0</v>
      </c>
      <c r="W35" s="36">
        <f>VLOOKUP($A35,[26]HISTOFEV25!$A$6:$AU$51,20,0)</f>
        <v>0</v>
      </c>
      <c r="X35" s="36">
        <f>VLOOKUP($A35,[26]HISTOFEV25!$A$6:$AU$51,27,0)</f>
        <v>0</v>
      </c>
      <c r="Y35" s="36">
        <f>VLOOKUP($A35,[26]HISTOFEV25!$A$6:$BM$51,33,0)</f>
        <v>0</v>
      </c>
      <c r="Z35" s="36">
        <f>VLOOKUP($A35,[26]HISTOFEV25!$A$6:$BM$51,64,0)</f>
        <v>0</v>
      </c>
      <c r="AA35" s="36"/>
      <c r="AB35" s="36">
        <f>VLOOKUP($A35,[26]HISTOFEV25!$A$6:$AU$51,44,0)</f>
        <v>0</v>
      </c>
      <c r="AC35" s="36">
        <f>VLOOKUP($A35,[26]HISTOFEV25!$A$6:$AU$51,43,0)</f>
        <v>0</v>
      </c>
      <c r="AD35" s="36">
        <f>VLOOKUP($A35,[26]HISTOFEV25!$A$6:$BR$51,47,0)</f>
        <v>0</v>
      </c>
      <c r="AE35" s="36">
        <f>VLOOKUP(A35,[26]HISTOFEV25!$A$6:$BR$51,54,0)</f>
        <v>0</v>
      </c>
      <c r="AF35" s="36">
        <f>VLOOKUP($A35,[26]HISTOFEV25!$A$6:$BR$51,60,0)</f>
        <v>0</v>
      </c>
      <c r="AG35" s="36">
        <f>VLOOKUP($A35,[26]HISTOFEV25!$A$6:$CB$51,61,0)</f>
        <v>0</v>
      </c>
      <c r="AH35" s="36">
        <f>VLOOKUP($A35,[26]HISTOFEV25!$A$6:$CB$51,62,0)</f>
        <v>0</v>
      </c>
      <c r="AI35" s="36">
        <f>VLOOKUP($A35,[26]HISTOFEV25!$A$6:$CB$51,63,0)</f>
        <v>0</v>
      </c>
      <c r="AJ35" s="36">
        <f>VLOOKUP($A35,[26]HISTOFEV25!$A$6:$BR$51,64,0)</f>
        <v>0</v>
      </c>
      <c r="AK35" s="36">
        <f>VLOOKUP($A35,[26]HISTOFEV25!$A$6:$BR$51,65,0)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VLOOKUP($A36,[26]HISTOFEV25!$A$6:$BA$51,48,0)</f>
        <v>0</v>
      </c>
      <c r="F36" s="36">
        <f>VLOOKUP(A36,MVTJANV25!A36:AM71,6,0)+MVTJANV25!H36-E36+L36</f>
        <v>879182.86860197503</v>
      </c>
      <c r="G36" s="5">
        <f>IF(MVTFEV25!F36&gt;800000,(MVTJANV25!I36-E36+L36),0)</f>
        <v>879182.86860197503</v>
      </c>
      <c r="H36" s="36">
        <f>VLOOKUP(A36,[27]MVTFEV25!$A$6:$AM$42,8,0)</f>
        <v>777.73138676310691</v>
      </c>
      <c r="I36" s="6">
        <f t="shared" si="1"/>
        <v>879960.59998873819</v>
      </c>
      <c r="J36" s="36">
        <f>VLOOKUP($A36,[26]HISTOFEV25!$A$6:$AQ$51,22,0)</f>
        <v>0</v>
      </c>
      <c r="K36" s="36">
        <f>VLOOKUP($A36,[26]HISTOFEV25!$A$6:$AU$51,45,0)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VLOOKUP($A36,[26]HISTOFEV25!$A$6:$AU$51,8,0)</f>
        <v>0</v>
      </c>
      <c r="Q36" s="36">
        <f>VLOOKUP($A36,[26]HISTOFEV25!$A$6:$AU$51,23,0)</f>
        <v>0</v>
      </c>
      <c r="R36" s="36">
        <f>VLOOKUP($A36,[26]HISTOFEV25!$A$6:$AU$51,46,0)</f>
        <v>0</v>
      </c>
      <c r="S36" s="36">
        <f>VLOOKUP($A36,[26]HISTOFEV25!$A$6:$AU$51,26,0)</f>
        <v>0</v>
      </c>
      <c r="T36" s="36">
        <f>VLOOKUP($A36,[26]HISTOFEV25!$A$6:$BG$51,58,0)</f>
        <v>0</v>
      </c>
      <c r="U36" s="36">
        <f>VLOOKUP($A36,[26]HISTOFEV25!$A$6:$AU$51,28,0)</f>
        <v>0</v>
      </c>
      <c r="V36" s="36">
        <f>VLOOKUP($A36,[26]HISTOFEV25!$A$6:$AU$51,19,0)</f>
        <v>0</v>
      </c>
      <c r="W36" s="36">
        <f>VLOOKUP($A36,[26]HISTOFEV25!$A$6:$AU$51,20,0)</f>
        <v>0</v>
      </c>
      <c r="X36" s="36">
        <f>VLOOKUP($A36,[26]HISTOFEV25!$A$6:$AU$51,27,0)</f>
        <v>0</v>
      </c>
      <c r="Y36" s="36">
        <f>VLOOKUP($A36,[26]HISTOFEV25!$A$6:$BM$51,33,0)</f>
        <v>0</v>
      </c>
      <c r="Z36" s="36">
        <f>VLOOKUP($A36,[26]HISTOFEV25!$A$6:$BM$51,64,0)</f>
        <v>0</v>
      </c>
      <c r="AA36" s="36"/>
      <c r="AB36" s="36">
        <f>VLOOKUP($A36,[26]HISTOFEV25!$A$6:$AU$51,44,0)</f>
        <v>0</v>
      </c>
      <c r="AC36" s="36">
        <f>VLOOKUP($A36,[26]HISTOFEV25!$A$6:$AU$51,43,0)</f>
        <v>0</v>
      </c>
      <c r="AD36" s="36">
        <f>VLOOKUP($A36,[26]HISTOFEV25!$A$6:$BR$51,47,0)</f>
        <v>0</v>
      </c>
      <c r="AE36" s="36">
        <f>VLOOKUP(A36,[26]HISTOFEV25!$A$6:$BR$51,54,0)</f>
        <v>0</v>
      </c>
      <c r="AF36" s="36">
        <f>VLOOKUP($A36,[26]HISTOFEV25!$A$6:$BR$51,60,0)</f>
        <v>0</v>
      </c>
      <c r="AG36" s="36">
        <f>VLOOKUP($A36,[26]HISTOFEV25!$A$6:$CB$51,61,0)</f>
        <v>0</v>
      </c>
      <c r="AH36" s="36">
        <f>VLOOKUP($A36,[26]HISTOFEV25!$A$6:$CB$51,62,0)</f>
        <v>0</v>
      </c>
      <c r="AI36" s="36">
        <f>VLOOKUP($A36,[26]HISTOFEV25!$A$6:$CB$51,63,0)</f>
        <v>0</v>
      </c>
      <c r="AJ36" s="36">
        <f>VLOOKUP($A36,[26]HISTOFEV25!$A$6:$BR$51,64,0)</f>
        <v>0</v>
      </c>
      <c r="AK36" s="36">
        <f>VLOOKUP($A36,[26]HISTOFEV25!$A$6:$BR$51,65,0)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VLOOKUP($A37,[26]HISTOFEV25!$A$6:$BA$51,48,0)</f>
        <v>0</v>
      </c>
      <c r="F37" s="36">
        <f>VLOOKUP(A37,MVTJANV25!A37:AM72,6,0)+MVTJANV25!H37-E37+L37</f>
        <v>525750</v>
      </c>
      <c r="G37" s="5">
        <f>IF(MVTFEV25!F37&gt;800000,(MVTJANV25!I37-E37+L37),0)</f>
        <v>0</v>
      </c>
      <c r="H37" s="36">
        <f>VLOOKUP(A37,[27]MVTFEV25!$A$6:$AM$42,8,0)</f>
        <v>0</v>
      </c>
      <c r="I37" s="6">
        <f t="shared" si="1"/>
        <v>525750</v>
      </c>
      <c r="J37" s="36">
        <f>VLOOKUP($A37,[26]HISTOFEV25!$A$6:$AQ$51,22,0)</f>
        <v>0</v>
      </c>
      <c r="K37" s="36">
        <f>VLOOKUP($A37,[26]HISTOFEV25!$A$6:$AU$51,45,0)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VLOOKUP($A37,[26]HISTOFEV25!$A$6:$AU$51,8,0)</f>
        <v>0</v>
      </c>
      <c r="Q37" s="36">
        <f>VLOOKUP($A37,[26]HISTOFEV25!$A$6:$AU$51,23,0)</f>
        <v>0</v>
      </c>
      <c r="R37" s="36">
        <f>VLOOKUP($A37,[26]HISTOFEV25!$A$6:$AU$51,46,0)</f>
        <v>0</v>
      </c>
      <c r="S37" s="36">
        <f>VLOOKUP($A37,[26]HISTOFEV25!$A$6:$AU$51,26,0)</f>
        <v>0</v>
      </c>
      <c r="T37" s="36">
        <f>VLOOKUP($A37,[26]HISTOFEV25!$A$6:$BG$51,58,0)</f>
        <v>0</v>
      </c>
      <c r="U37" s="36">
        <f>VLOOKUP($A37,[26]HISTOFEV25!$A$6:$AU$51,28,0)</f>
        <v>0</v>
      </c>
      <c r="V37" s="36">
        <f>VLOOKUP($A37,[26]HISTOFEV25!$A$6:$AU$51,19,0)</f>
        <v>0</v>
      </c>
      <c r="W37" s="36">
        <f>VLOOKUP($A37,[26]HISTOFEV25!$A$6:$AU$51,20,0)</f>
        <v>0</v>
      </c>
      <c r="X37" s="36">
        <f>VLOOKUP($A37,[26]HISTOFEV25!$A$6:$AU$51,27,0)</f>
        <v>0</v>
      </c>
      <c r="Y37" s="36">
        <f>VLOOKUP($A37,[26]HISTOFEV25!$A$6:$BM$51,33,0)</f>
        <v>0</v>
      </c>
      <c r="Z37" s="36">
        <f>VLOOKUP($A37,[26]HISTOFEV25!$A$6:$BM$51,64,0)</f>
        <v>0</v>
      </c>
      <c r="AA37" s="36"/>
      <c r="AB37" s="36">
        <f>VLOOKUP($A37,[26]HISTOFEV25!$A$6:$AU$51,44,0)</f>
        <v>0</v>
      </c>
      <c r="AC37" s="36">
        <f>VLOOKUP($A37,[26]HISTOFEV25!$A$6:$AU$51,43,0)</f>
        <v>0</v>
      </c>
      <c r="AD37" s="36">
        <f>VLOOKUP($A37,[26]HISTOFEV25!$A$6:$BR$51,47,0)</f>
        <v>0</v>
      </c>
      <c r="AE37" s="36">
        <f>VLOOKUP(A37,[26]HISTOFEV25!$A$6:$BR$51,54,0)</f>
        <v>0</v>
      </c>
      <c r="AF37" s="36">
        <f>VLOOKUP($A37,[26]HISTOFEV25!$A$6:$BR$51,60,0)</f>
        <v>0</v>
      </c>
      <c r="AG37" s="36">
        <f>VLOOKUP($A37,[26]HISTOFEV25!$A$6:$CB$51,61,0)</f>
        <v>0</v>
      </c>
      <c r="AH37" s="36">
        <f>VLOOKUP($A37,[26]HISTOFEV25!$A$6:$CB$51,62,0)</f>
        <v>0</v>
      </c>
      <c r="AI37" s="36">
        <f>VLOOKUP($A37,[26]HISTOFEV25!$A$6:$CB$51,63,0)</f>
        <v>100000</v>
      </c>
      <c r="AJ37" s="36">
        <f>VLOOKUP($A37,[26]HISTOFEV25!$A$6:$BR$51,64,0)</f>
        <v>0</v>
      </c>
      <c r="AK37" s="36">
        <f>VLOOKUP($A37,[26]HISTOFEV25!$A$6:$BR$51,65,0)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VLOOKUP($A38,[26]HISTOFEV25!$A$6:$BA$51,48,0)</f>
        <v>0</v>
      </c>
      <c r="F38" s="36">
        <f>VLOOKUP(A38,MVTJANV25!A38:AM73,6,0)+MVTJANV25!H38-E38+L38</f>
        <v>38000</v>
      </c>
      <c r="G38" s="5">
        <f>IF(MVTFEV25!F38&gt;800000,(MVTJANV25!I38-E38+L38),0)</f>
        <v>0</v>
      </c>
      <c r="H38" s="36">
        <f>VLOOKUP(A38,[27]MVTFEV25!$A$6:$AM$42,8,0)</f>
        <v>0</v>
      </c>
      <c r="I38" s="6">
        <f t="shared" si="1"/>
        <v>38000</v>
      </c>
      <c r="J38" s="36">
        <f>VLOOKUP($A38,[26]HISTOFEV25!$A$6:$AQ$51,22,0)</f>
        <v>0</v>
      </c>
      <c r="K38" s="36">
        <f>VLOOKUP($A38,[26]HISTOFEV25!$A$6:$AU$51,45,0)</f>
        <v>25000</v>
      </c>
      <c r="L38" s="36">
        <f t="shared" si="2"/>
        <v>19000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VLOOKUP($A38,[26]HISTOFEV25!$A$6:$AU$51,8,0)</f>
        <v>0</v>
      </c>
      <c r="Q38" s="36">
        <f>VLOOKUP($A38,[26]HISTOFEV25!$A$6:$AU$51,23,0)</f>
        <v>0</v>
      </c>
      <c r="R38" s="36">
        <f>VLOOKUP($A38,[26]HISTOFEV25!$A$6:$AU$51,46,0)</f>
        <v>0</v>
      </c>
      <c r="S38" s="36">
        <f>VLOOKUP($A38,[26]HISTOFEV25!$A$6:$AU$51,26,0)</f>
        <v>0</v>
      </c>
      <c r="T38" s="36">
        <f>VLOOKUP($A38,[26]HISTOFEV25!$A$6:$BG$51,58,0)</f>
        <v>0</v>
      </c>
      <c r="U38" s="36">
        <f>VLOOKUP($A38,[26]HISTOFEV25!$A$6:$AU$51,28,0)</f>
        <v>0</v>
      </c>
      <c r="V38" s="36">
        <f>VLOOKUP($A38,[26]HISTOFEV25!$A$6:$AU$51,19,0)</f>
        <v>0</v>
      </c>
      <c r="W38" s="36">
        <f>VLOOKUP($A38,[26]HISTOFEV25!$A$6:$AU$51,20,0)</f>
        <v>0</v>
      </c>
      <c r="X38" s="36">
        <f>VLOOKUP($A38,[26]HISTOFEV25!$A$6:$AU$51,27,0)</f>
        <v>0</v>
      </c>
      <c r="Y38" s="36">
        <f>VLOOKUP($A38,[26]HISTOFEV25!$A$6:$BM$51,33,0)</f>
        <v>0</v>
      </c>
      <c r="Z38" s="36">
        <f>VLOOKUP($A38,[26]HISTOFEV25!$A$6:$BM$51,64,0)</f>
        <v>0</v>
      </c>
      <c r="AA38" s="36"/>
      <c r="AB38" s="36">
        <f>VLOOKUP($A38,[26]HISTOFEV25!$A$6:$AU$51,44,0)</f>
        <v>0</v>
      </c>
      <c r="AC38" s="36">
        <f>VLOOKUP($A38,[26]HISTOFEV25!$A$6:$AU$51,43,0)</f>
        <v>0</v>
      </c>
      <c r="AD38" s="36">
        <f>VLOOKUP($A38,[26]HISTOFEV25!$A$6:$BR$51,47,0)</f>
        <v>0</v>
      </c>
      <c r="AE38" s="36">
        <f>VLOOKUP(A38,[26]HISTOFEV25!$A$6:$BR$51,54,0)</f>
        <v>0</v>
      </c>
      <c r="AF38" s="36">
        <f>VLOOKUP($A38,[26]HISTOFEV25!$A$6:$BR$51,60,0)</f>
        <v>0</v>
      </c>
      <c r="AG38" s="36">
        <f>VLOOKUP($A38,[26]HISTOFEV25!$A$6:$CB$51,61,0)</f>
        <v>0</v>
      </c>
      <c r="AH38" s="36">
        <f>VLOOKUP($A38,[26]HISTOFEV25!$A$6:$CB$51,62,0)</f>
        <v>0</v>
      </c>
      <c r="AI38" s="36">
        <f>VLOOKUP($A38,[26]HISTOFEV25!$A$6:$CB$51,63,0)</f>
        <v>0</v>
      </c>
      <c r="AJ38" s="36">
        <f>VLOOKUP($A38,[26]HISTOFEV25!$A$6:$BR$51,64,0)</f>
        <v>0</v>
      </c>
      <c r="AK38" s="36">
        <f>VLOOKUP($A38,[26]HISTOFEV25!$A$6:$BR$51,65,0)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VLOOKUP($A39,[26]HISTOFEV25!$A$6:$BA$51,48,0)</f>
        <v>0</v>
      </c>
      <c r="F39" s="36">
        <f>VLOOKUP(A39,MVTJANV25!A39:AM74,6,0)+MVTJANV25!H39-E39+L39</f>
        <v>848454.37887607235</v>
      </c>
      <c r="G39" s="5">
        <f>IF(MVTFEV25!F39&gt;800000,(MVTJANV25!I39-E39+L39),0)</f>
        <v>848454.37887607235</v>
      </c>
      <c r="H39" s="36">
        <f>VLOOKUP(A39,[27]MVTFEV25!$A$6:$AM$42,8,0)</f>
        <v>750.54874731329119</v>
      </c>
      <c r="I39" s="6">
        <f t="shared" si="1"/>
        <v>849204.92762338568</v>
      </c>
      <c r="J39" s="36">
        <f>VLOOKUP($A39,[26]HISTOFEV25!$A$6:$AQ$51,22,0)</f>
        <v>0</v>
      </c>
      <c r="K39" s="36">
        <f>VLOOKUP($A39,[26]HISTOFEV25!$A$6:$AU$51,45,0)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VLOOKUP($A39,[26]HISTOFEV25!$A$6:$AU$51,8,0)</f>
        <v>0</v>
      </c>
      <c r="Q39" s="36">
        <f>VLOOKUP($A39,[26]HISTOFEV25!$A$6:$AU$51,23,0)</f>
        <v>0</v>
      </c>
      <c r="R39" s="36">
        <f>VLOOKUP($A39,[26]HISTOFEV25!$A$6:$AU$51,46,0)</f>
        <v>0</v>
      </c>
      <c r="S39" s="36">
        <f>VLOOKUP($A39,[26]HISTOFEV25!$A$6:$AU$51,26,0)</f>
        <v>0</v>
      </c>
      <c r="T39" s="36">
        <f>VLOOKUP($A39,[26]HISTOFEV25!$A$6:$BG$51,58,0)</f>
        <v>0</v>
      </c>
      <c r="U39" s="36">
        <f>VLOOKUP($A39,[26]HISTOFEV25!$A$6:$AU$51,28,0)</f>
        <v>0</v>
      </c>
      <c r="V39" s="36">
        <f>VLOOKUP($A39,[26]HISTOFEV25!$A$6:$AU$51,19,0)</f>
        <v>0</v>
      </c>
      <c r="W39" s="36">
        <f>VLOOKUP($A39,[26]HISTOFEV25!$A$6:$AU$51,20,0)</f>
        <v>0</v>
      </c>
      <c r="X39" s="36">
        <f>VLOOKUP($A39,[26]HISTOFEV25!$A$6:$AU$51,27,0)</f>
        <v>0</v>
      </c>
      <c r="Y39" s="36">
        <f>VLOOKUP($A39,[26]HISTOFEV25!$A$6:$BM$51,33,0)</f>
        <v>0</v>
      </c>
      <c r="Z39" s="36">
        <f>VLOOKUP($A39,[26]HISTOFEV25!$A$6:$BM$51,64,0)</f>
        <v>0</v>
      </c>
      <c r="AA39" s="36"/>
      <c r="AB39" s="36">
        <f>VLOOKUP($A39,[26]HISTOFEV25!$A$6:$AU$51,44,0)</f>
        <v>0</v>
      </c>
      <c r="AC39" s="36">
        <f>VLOOKUP($A39,[26]HISTOFEV25!$A$6:$AU$51,43,0)</f>
        <v>0</v>
      </c>
      <c r="AD39" s="36">
        <f>VLOOKUP($A39,[26]HISTOFEV25!$A$6:$BR$51,47,0)</f>
        <v>0</v>
      </c>
      <c r="AE39" s="36">
        <f>VLOOKUP(A39,[26]HISTOFEV25!$A$6:$BR$51,54,0)</f>
        <v>0</v>
      </c>
      <c r="AF39" s="36">
        <f>VLOOKUP($A39,[26]HISTOFEV25!$A$6:$BR$51,60,0)</f>
        <v>0</v>
      </c>
      <c r="AG39" s="36">
        <f>VLOOKUP($A39,[26]HISTOFEV25!$A$6:$CB$51,61,0)</f>
        <v>0</v>
      </c>
      <c r="AH39" s="36">
        <f>VLOOKUP($A39,[26]HISTOFEV25!$A$6:$CB$51,62,0)</f>
        <v>0</v>
      </c>
      <c r="AI39" s="36">
        <f>VLOOKUP($A39,[26]HISTOFEV25!$A$6:$CB$51,63,0)</f>
        <v>0</v>
      </c>
      <c r="AJ39" s="36">
        <f>VLOOKUP($A39,[26]HISTOFEV25!$A$6:$BR$51,64,0)</f>
        <v>0</v>
      </c>
      <c r="AK39" s="36">
        <f>VLOOKUP($A39,[26]HISTOFEV25!$A$6:$BR$51,65,0)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VLOOKUP($A40,[26]HISTOFEV25!$A$6:$BA$51,48,0)</f>
        <v>0</v>
      </c>
      <c r="F40" s="36">
        <f>VLOOKUP(A40,MVTJANV25!A40:AM75,6,0)+MVTJANV25!H40-E40+L40</f>
        <v>1660664.6883403771</v>
      </c>
      <c r="G40" s="5">
        <f>IF(MVTFEV25!F40&gt;800000,(MVTJANV25!I40-E40+L40),0)</f>
        <v>1660664.6883403771</v>
      </c>
      <c r="H40" s="36">
        <f>VLOOKUP(A40,[27]MVTFEV25!$A$6:$AM$42,8,0)</f>
        <v>1469.0357343577825</v>
      </c>
      <c r="I40" s="6">
        <f t="shared" si="1"/>
        <v>1662133.7240747348</v>
      </c>
      <c r="J40" s="36">
        <f>VLOOKUP($A40,[26]HISTOFEV25!$A$6:$AQ$51,22,0)</f>
        <v>0</v>
      </c>
      <c r="K40" s="36">
        <f>VLOOKUP($A40,[26]HISTOFEV25!$A$6:$AU$51,45,0)</f>
        <v>22000</v>
      </c>
      <c r="L40" s="36">
        <f t="shared" si="2"/>
        <v>16000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VLOOKUP($A40,[26]HISTOFEV25!$A$6:$AU$51,8,0)</f>
        <v>3000</v>
      </c>
      <c r="Q40" s="36">
        <f>VLOOKUP($A40,[26]HISTOFEV25!$A$6:$AU$51,23,0)</f>
        <v>0</v>
      </c>
      <c r="R40" s="36">
        <f>VLOOKUP($A40,[26]HISTOFEV25!$A$6:$AU$51,46,0)</f>
        <v>0</v>
      </c>
      <c r="S40" s="36">
        <f>VLOOKUP($A40,[26]HISTOFEV25!$A$6:$AU$51,26,0)</f>
        <v>0</v>
      </c>
      <c r="T40" s="36">
        <f>VLOOKUP($A40,[26]HISTOFEV25!$A$6:$BG$51,58,0)</f>
        <v>0</v>
      </c>
      <c r="U40" s="36">
        <f>VLOOKUP($A40,[26]HISTOFEV25!$A$6:$AU$51,28,0)</f>
        <v>0</v>
      </c>
      <c r="V40" s="36">
        <f>VLOOKUP($A40,[26]HISTOFEV25!$A$6:$AU$51,19,0)</f>
        <v>0</v>
      </c>
      <c r="W40" s="36">
        <f>VLOOKUP($A40,[26]HISTOFEV25!$A$6:$AU$51,20,0)</f>
        <v>0</v>
      </c>
      <c r="X40" s="36">
        <f>VLOOKUP($A40,[26]HISTOFEV25!$A$6:$AU$51,27,0)</f>
        <v>0</v>
      </c>
      <c r="Y40" s="36">
        <f>VLOOKUP($A40,[26]HISTOFEV25!$A$6:$BM$51,33,0)</f>
        <v>0</v>
      </c>
      <c r="Z40" s="36">
        <f>VLOOKUP($A40,[26]HISTOFEV25!$A$6:$BM$51,64,0)</f>
        <v>0</v>
      </c>
      <c r="AA40" s="36"/>
      <c r="AB40" s="36">
        <f>VLOOKUP($A40,[26]HISTOFEV25!$A$6:$AU$51,44,0)</f>
        <v>0</v>
      </c>
      <c r="AC40" s="36">
        <f>VLOOKUP($A40,[26]HISTOFEV25!$A$6:$AU$51,43,0)</f>
        <v>0</v>
      </c>
      <c r="AD40" s="36">
        <f>VLOOKUP($A40,[26]HISTOFEV25!$A$6:$BR$51,47,0)</f>
        <v>0</v>
      </c>
      <c r="AE40" s="36">
        <f>VLOOKUP(A40,[26]HISTOFEV25!$A$6:$BR$51,54,0)</f>
        <v>0</v>
      </c>
      <c r="AF40" s="36">
        <f>VLOOKUP($A40,[26]HISTOFEV25!$A$6:$BR$51,60,0)</f>
        <v>0</v>
      </c>
      <c r="AG40" s="36">
        <f>VLOOKUP($A40,[26]HISTOFEV25!$A$6:$CB$51,61,0)</f>
        <v>0</v>
      </c>
      <c r="AH40" s="36">
        <f>VLOOKUP($A40,[26]HISTOFEV25!$A$6:$CB$51,62,0)</f>
        <v>0</v>
      </c>
      <c r="AI40" s="36">
        <f>VLOOKUP($A40,[26]HISTOFEV25!$A$6:$CB$51,63,0)</f>
        <v>0</v>
      </c>
      <c r="AJ40" s="36">
        <f>VLOOKUP($A40,[26]HISTOFEV25!$A$6:$BR$51,64,0)</f>
        <v>0</v>
      </c>
      <c r="AK40" s="36">
        <f>VLOOKUP($A40,[26]HISTOFEV25!$A$6:$BR$51,65,0)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VLOOKUP($A41,[26]HISTOFEV25!$A$6:$BA$51,48,0)</f>
        <v>0</v>
      </c>
      <c r="F41" s="36">
        <f>VLOOKUP(A41,MVTJANV25!A41:AM76,6,0)+MVTJANV25!H41-E41+L41</f>
        <v>883018.51894295448</v>
      </c>
      <c r="G41" s="5">
        <f>IF(MVTFEV25!F41&gt;800000,(MVTJANV25!I41-E41+L41),0)</f>
        <v>883018.51894295448</v>
      </c>
      <c r="H41" s="36">
        <f>VLOOKUP(A41,[27]MVTFEV25!$A$6:$AM$42,8,0)</f>
        <v>781.12443019623458</v>
      </c>
      <c r="I41" s="6">
        <f t="shared" si="1"/>
        <v>883799.64337315073</v>
      </c>
      <c r="J41" s="36">
        <f>VLOOKUP($A41,[26]HISTOFEV25!$A$6:$AQ$51,22,0)</f>
        <v>0</v>
      </c>
      <c r="K41" s="36">
        <f>VLOOKUP($A41,[26]HISTOFEV25!$A$6:$AU$51,45,0)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VLOOKUP($A41,[26]HISTOFEV25!$A$6:$AU$51,8,0)</f>
        <v>0</v>
      </c>
      <c r="Q41" s="36">
        <f>VLOOKUP($A41,[26]HISTOFEV25!$A$6:$AU$51,23,0)</f>
        <v>0</v>
      </c>
      <c r="R41" s="36">
        <f>VLOOKUP($A41,[26]HISTOFEV25!$A$6:$AU$51,46,0)</f>
        <v>0</v>
      </c>
      <c r="S41" s="36">
        <f>VLOOKUP($A41,[26]HISTOFEV25!$A$6:$AU$51,26,0)</f>
        <v>0</v>
      </c>
      <c r="T41" s="36">
        <f>VLOOKUP($A41,[26]HISTOFEV25!$A$6:$BG$51,58,0)</f>
        <v>0</v>
      </c>
      <c r="U41" s="36">
        <f>VLOOKUP($A41,[26]HISTOFEV25!$A$6:$AU$51,28,0)</f>
        <v>0</v>
      </c>
      <c r="V41" s="36">
        <f>VLOOKUP($A41,[26]HISTOFEV25!$A$6:$AU$51,19,0)</f>
        <v>0</v>
      </c>
      <c r="W41" s="36">
        <f>VLOOKUP($A41,[26]HISTOFEV25!$A$6:$AU$51,20,0)</f>
        <v>0</v>
      </c>
      <c r="X41" s="36">
        <f>VLOOKUP($A41,[26]HISTOFEV25!$A$6:$AU$51,27,0)</f>
        <v>0</v>
      </c>
      <c r="Y41" s="36">
        <f>VLOOKUP($A41,[26]HISTOFEV25!$A$6:$BM$51,33,0)</f>
        <v>0</v>
      </c>
      <c r="Z41" s="36">
        <f>VLOOKUP($A41,[26]HISTOFEV25!$A$6:$BM$51,64,0)</f>
        <v>0</v>
      </c>
      <c r="AA41" s="36"/>
      <c r="AB41" s="36">
        <f>VLOOKUP($A41,[26]HISTOFEV25!$A$6:$AU$51,44,0)</f>
        <v>0</v>
      </c>
      <c r="AC41" s="36">
        <f>VLOOKUP($A41,[26]HISTOFEV25!$A$6:$AU$51,43,0)</f>
        <v>0</v>
      </c>
      <c r="AD41" s="36">
        <f>VLOOKUP($A41,[26]HISTOFEV25!$A$6:$BR$51,47,0)</f>
        <v>0</v>
      </c>
      <c r="AE41" s="36">
        <f>VLOOKUP(A41,[26]HISTOFEV25!$A$6:$BR$51,54,0)</f>
        <v>0</v>
      </c>
      <c r="AF41" s="36">
        <f>VLOOKUP($A41,[26]HISTOFEV25!$A$6:$BR$51,60,0)</f>
        <v>0</v>
      </c>
      <c r="AG41" s="36">
        <f>VLOOKUP($A41,[26]HISTOFEV25!$A$6:$CB$51,61,0)</f>
        <v>0</v>
      </c>
      <c r="AH41" s="36">
        <f>VLOOKUP($A41,[26]HISTOFEV25!$A$6:$CB$51,62,0)</f>
        <v>0</v>
      </c>
      <c r="AI41" s="36">
        <f>VLOOKUP($A41,[26]HISTOFEV25!$A$6:$CB$51,63,0)</f>
        <v>0</v>
      </c>
      <c r="AJ41" s="36">
        <f>VLOOKUP($A41,[26]HISTOFEV25!$A$6:$BR$51,64,0)</f>
        <v>0</v>
      </c>
      <c r="AK41" s="36">
        <f>VLOOKUP($A41,[26]HISTOFEV25!$A$6:$BR$51,65,0)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VLOOKUP($A42,[26]HISTOFEV25!$A$6:$BA$51,48,0)</f>
        <v>100000</v>
      </c>
      <c r="F42" s="36">
        <f>VLOOKUP(A42,MVTJANV25!A42:AM77,6,0)+MVTJANV25!H42-E42+L42</f>
        <v>2151674.2143123224</v>
      </c>
      <c r="G42" s="5">
        <f>IF(MVTFEV25!F42&gt;800000,(MVTJANV25!I42-E42+L42),0)</f>
        <v>2151674.2143123224</v>
      </c>
      <c r="H42" s="36">
        <f>VLOOKUP(A42,[27]MVTFEV25!$A$6:$AM$42,8,0)</f>
        <v>1903.3862354717198</v>
      </c>
      <c r="I42" s="6">
        <f t="shared" si="1"/>
        <v>2153577.6005477943</v>
      </c>
      <c r="J42" s="36">
        <f>VLOOKUP($A42,[26]HISTOFEV25!$A$6:$AQ$51,22,0)</f>
        <v>0</v>
      </c>
      <c r="K42" s="36">
        <f>VLOOKUP($A42,[26]HISTOFEV25!$A$6:$AU$51,45,0)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VLOOKUP($A42,[26]HISTOFEV25!$A$6:$AU$51,8,0)</f>
        <v>0</v>
      </c>
      <c r="Q42" s="36">
        <f>VLOOKUP($A42,[26]HISTOFEV25!$A$6:$AU$51,23,0)</f>
        <v>0</v>
      </c>
      <c r="R42" s="36">
        <f>VLOOKUP($A42,[26]HISTOFEV25!$A$6:$AU$51,46,0)</f>
        <v>0</v>
      </c>
      <c r="S42" s="36">
        <f>VLOOKUP($A42,[26]HISTOFEV25!$A$6:$AU$51,26,0)</f>
        <v>0</v>
      </c>
      <c r="T42" s="36">
        <f>VLOOKUP($A42,[26]HISTOFEV25!$A$6:$BG$51,58,0)</f>
        <v>0</v>
      </c>
      <c r="U42" s="36">
        <f>VLOOKUP($A42,[26]HISTOFEV25!$A$6:$AU$51,28,0)</f>
        <v>0</v>
      </c>
      <c r="V42" s="36">
        <f>VLOOKUP($A42,[26]HISTOFEV25!$A$6:$AU$51,19,0)</f>
        <v>0</v>
      </c>
      <c r="W42" s="36">
        <f>VLOOKUP($A42,[26]HISTOFEV25!$A$6:$AU$51,20,0)</f>
        <v>0</v>
      </c>
      <c r="X42" s="36">
        <f>VLOOKUP($A42,[26]HISTOFEV25!$A$6:$AU$51,27,0)</f>
        <v>0</v>
      </c>
      <c r="Y42" s="36">
        <f>VLOOKUP($A42,[26]HISTOFEV25!$A$6:$BM$51,33,0)</f>
        <v>0</v>
      </c>
      <c r="Z42" s="36">
        <f>VLOOKUP($A42,[26]HISTOFEV25!$A$6:$BM$51,64,0)</f>
        <v>0</v>
      </c>
      <c r="AA42" s="36"/>
      <c r="AB42" s="36">
        <f>VLOOKUP($A42,[26]HISTOFEV25!$A$6:$AU$51,44,0)</f>
        <v>0</v>
      </c>
      <c r="AC42" s="36">
        <f>VLOOKUP($A42,[26]HISTOFEV25!$A$6:$AU$51,43,0)</f>
        <v>0</v>
      </c>
      <c r="AD42" s="36">
        <f>VLOOKUP($A42,[26]HISTOFEV25!$A$6:$BR$51,47,0)</f>
        <v>0</v>
      </c>
      <c r="AE42" s="36">
        <f>VLOOKUP(A42,[26]HISTOFEV25!$A$6:$BR$51,54,0)</f>
        <v>0</v>
      </c>
      <c r="AF42" s="36">
        <f>VLOOKUP($A42,[26]HISTOFEV25!$A$6:$BR$51,60,0)</f>
        <v>0</v>
      </c>
      <c r="AG42" s="36">
        <f>VLOOKUP($A42,[26]HISTOFEV25!$A$6:$CB$51,61,0)</f>
        <v>0</v>
      </c>
      <c r="AH42" s="36">
        <f>VLOOKUP($A42,[26]HISTOFEV25!$A$6:$CB$51,62,0)</f>
        <v>0</v>
      </c>
      <c r="AI42" s="36">
        <f>VLOOKUP($A42,[26]HISTOFEV25!$A$6:$CB$51,63,0)</f>
        <v>0</v>
      </c>
      <c r="AJ42" s="36">
        <f>VLOOKUP($A42,[26]HISTOFEV25!$A$6:$BR$51,64,0)</f>
        <v>0</v>
      </c>
      <c r="AK42" s="36">
        <f>VLOOKUP($A42,[26]HISTOFEV25!$A$6:$BR$51,65,0)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79"/>
      <c r="L43" s="179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8">SUM(C6:C43)</f>
        <v>0</v>
      </c>
      <c r="D44" s="9">
        <f t="shared" si="8"/>
        <v>0</v>
      </c>
      <c r="E44" s="9">
        <f t="shared" si="8"/>
        <v>700000</v>
      </c>
      <c r="F44" s="9">
        <f t="shared" si="8"/>
        <v>34553112</v>
      </c>
      <c r="G44" s="9">
        <f t="shared" si="8"/>
        <v>33913362</v>
      </c>
      <c r="H44" s="36">
        <f t="shared" si="8"/>
        <v>30000.000000000011</v>
      </c>
      <c r="I44" s="9">
        <f t="shared" si="8"/>
        <v>34583112</v>
      </c>
      <c r="J44" s="9">
        <f t="shared" si="8"/>
        <v>0</v>
      </c>
      <c r="K44" s="9">
        <f t="shared" si="8"/>
        <v>2527875</v>
      </c>
      <c r="L44" s="9">
        <f t="shared" si="8"/>
        <v>2311875</v>
      </c>
      <c r="M44" s="9">
        <f t="shared" si="8"/>
        <v>36000</v>
      </c>
      <c r="N44" s="9">
        <f t="shared" si="8"/>
        <v>36000</v>
      </c>
      <c r="O44" s="9">
        <f t="shared" si="8"/>
        <v>144000</v>
      </c>
      <c r="P44" s="9">
        <f t="shared" si="8"/>
        <v>3000</v>
      </c>
      <c r="Q44" s="9">
        <f t="shared" si="8"/>
        <v>25000</v>
      </c>
      <c r="R44" s="9">
        <f t="shared" si="8"/>
        <v>0</v>
      </c>
      <c r="S44" s="9">
        <f t="shared" si="8"/>
        <v>500000</v>
      </c>
      <c r="T44" s="9">
        <f t="shared" si="8"/>
        <v>30000</v>
      </c>
      <c r="U44" s="9">
        <f t="shared" si="8"/>
        <v>0</v>
      </c>
      <c r="V44" s="9">
        <f t="shared" si="8"/>
        <v>0</v>
      </c>
      <c r="W44" s="9"/>
      <c r="X44" s="9">
        <f t="shared" si="8"/>
        <v>0</v>
      </c>
      <c r="Y44" s="9">
        <f t="shared" si="8"/>
        <v>0</v>
      </c>
      <c r="Z44" s="9">
        <f t="shared" si="8"/>
        <v>0</v>
      </c>
      <c r="AA44" s="9">
        <f t="shared" si="8"/>
        <v>0</v>
      </c>
      <c r="AB44" s="9">
        <f t="shared" si="8"/>
        <v>0</v>
      </c>
      <c r="AC44" s="9">
        <f t="shared" si="8"/>
        <v>0</v>
      </c>
      <c r="AD44" s="9">
        <f t="shared" si="8"/>
        <v>0</v>
      </c>
      <c r="AE44" s="9">
        <f t="shared" si="8"/>
        <v>0</v>
      </c>
      <c r="AF44" s="9">
        <f t="shared" si="8"/>
        <v>36000</v>
      </c>
      <c r="AG44" s="9">
        <f t="shared" si="8"/>
        <v>0</v>
      </c>
      <c r="AH44" s="9">
        <f t="shared" si="8"/>
        <v>0</v>
      </c>
      <c r="AI44" s="9">
        <f t="shared" si="8"/>
        <v>100000</v>
      </c>
      <c r="AJ44" s="9">
        <f t="shared" si="8"/>
        <v>0</v>
      </c>
      <c r="AK44" s="9">
        <f t="shared" si="8"/>
        <v>0</v>
      </c>
      <c r="AL44" s="9">
        <f t="shared" si="8"/>
        <v>0</v>
      </c>
    </row>
    <row r="46" spans="1:38" x14ac:dyDescent="0.35">
      <c r="H46">
        <v>29999.999999999993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79"/>
      <c r="L47" s="179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55A9-3170-41EC-8D66-B1C23CD3EAE0}">
  <dimension ref="A1:AM47"/>
  <sheetViews>
    <sheetView workbookViewId="0">
      <pane xSplit="2" ySplit="5" topLeftCell="H36" activePane="bottomRight" state="frozen"/>
      <selection activeCell="B43" sqref="B43"/>
      <selection pane="topRight" activeCell="B43" sqref="B43"/>
      <selection pane="bottomLeft" activeCell="B43" sqref="B43"/>
      <selection pane="bottomRight" activeCell="A37" sqref="A37:XFD3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79" bestFit="1" customWidth="1"/>
    <col min="12" max="12" width="17.54296875" style="179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78"/>
      <c r="K4" s="192">
        <v>45733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VLOOKUP(A6,MVTFEV25!A6:AM42,6,0)+MVTFEV25!H6-E6+L6</f>
        <v>1081160.4222591543</v>
      </c>
      <c r="G6" s="5">
        <f>IF(MVTMARS25!F6&gt;800000,(MVTFEV25!I6-E6+L6),0)</f>
        <v>1081160.4222591543</v>
      </c>
      <c r="H6" s="36">
        <f>VLOOKUP(A6,[27]MVTMARS25!$A$6:$AM$42,8,0)</f>
        <v>15846.191263982795</v>
      </c>
      <c r="I6" s="6">
        <f>F6+H6</f>
        <v>1097006.6135231371</v>
      </c>
      <c r="J6" s="36">
        <f>VLOOKUP($A6,[26]HISTOMARS25!$A$6:$AQ$51,22,0)</f>
        <v>0</v>
      </c>
      <c r="K6" s="36">
        <f>VLOOKUP($A6,[26]HISTOMARS25!$A$6:$AU$51,45,0)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12" si="0">IF(K6=0,0,1000)</f>
        <v>0</v>
      </c>
      <c r="O6" s="36">
        <f>IF(K6=0,0,4000)</f>
        <v>0</v>
      </c>
      <c r="P6" s="36">
        <f>VLOOKUP($A6,[26]HISTOMARS25!$A$6:$AU$51,8,0)</f>
        <v>0</v>
      </c>
      <c r="Q6" s="36">
        <f>VLOOKUP($A6,[26]HISTOMARS25!$A$6:$AU$51,23,0)</f>
        <v>0</v>
      </c>
      <c r="R6" s="36">
        <f>VLOOKUP($A6,[26]HISTOMARS25!$A$6:$AU$51,46,0)</f>
        <v>0</v>
      </c>
      <c r="S6" s="36">
        <f>VLOOKUP($A6,[26]HISTOMARS25!$A$6:$AU$51,26,0)</f>
        <v>0</v>
      </c>
      <c r="T6" s="36">
        <f>VLOOKUP($A6,[26]HISTOMARS25!$A$6:$BG$51,58,0)</f>
        <v>0</v>
      </c>
      <c r="U6" s="36">
        <f>VLOOKUP($A6,[26]HISTOMARS25!$A$6:$AU$51,28,0)</f>
        <v>0</v>
      </c>
      <c r="V6" s="36">
        <f>VLOOKUP($A6,[26]HISTOMARS25!$A$6:$AU$51,19,0)</f>
        <v>0</v>
      </c>
      <c r="W6" s="36">
        <f>VLOOKUP($A6,[26]HISTOMARS25!$A$6:$AU$51,20,0)</f>
        <v>0</v>
      </c>
      <c r="X6" s="36">
        <f>VLOOKUP($A6,[26]HISTOMARS25!$A$6:$AU$51,27,0)</f>
        <v>0</v>
      </c>
      <c r="Y6" s="36">
        <f>VLOOKUP($A6,[26]HISTOMARS25!$A$6:$BM$51,33,0)</f>
        <v>0</v>
      </c>
      <c r="Z6" s="36">
        <f>VLOOKUP($A6,[26]HISTOMARS25!$A$6:$BM$51,64,0)</f>
        <v>0</v>
      </c>
      <c r="AA6" s="36"/>
      <c r="AB6" s="36">
        <f>VLOOKUP($A6,[26]HISTOMARS25!$A$6:$AU$51,44,0)</f>
        <v>0</v>
      </c>
      <c r="AC6" s="36">
        <f>VLOOKUP($A6,[26]HISTOMARS25!$A$6:$AU$51,43,0)</f>
        <v>0</v>
      </c>
      <c r="AD6" s="36">
        <f>VLOOKUP($A6,[26]HISTOMARS25!$A$6:$BR$51,47,0)</f>
        <v>0</v>
      </c>
      <c r="AE6" s="36">
        <f>VLOOKUP(A6,[26]HISTOMARS25!$A$6:$BR$51,54,0)</f>
        <v>0</v>
      </c>
      <c r="AF6" s="36">
        <f>VLOOKUP($A6,[26]HISTOMARS25!$A$6:$BR$51,60,0)</f>
        <v>52000</v>
      </c>
      <c r="AG6" s="36">
        <f>VLOOKUP($A6,[26]HISTOMARS25!$A$6:$CB$51,61,0)</f>
        <v>0</v>
      </c>
      <c r="AH6" s="36">
        <f>VLOOKUP($A6,[26]HISTOMARS25!$A$6:$CB$51,62,0)</f>
        <v>300000</v>
      </c>
      <c r="AI6" s="36">
        <f>VLOOKUP($A6,[26]HISTOMARS25!$A$6:$CB$51,63,0)</f>
        <v>0</v>
      </c>
      <c r="AJ6" s="36">
        <f>VLOOKUP($A6,[26]HISTOMARS25!$A$6:$BR$51,64,0)</f>
        <v>0</v>
      </c>
      <c r="AK6" s="36">
        <f>VLOOKUP($A6,[26]HISTOMARS25!$A$6:$BR$51,65,0)</f>
        <v>0</v>
      </c>
      <c r="AL6" s="36">
        <f>VLOOKUP($A6,[26]HISTOMARS25!$A$6:$BR$40,66,0)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VLOOKUP($A7,[26]HISTOMARS25!$A$6:$BA$51,48,0)</f>
        <v>0</v>
      </c>
      <c r="F7" s="36">
        <f>VLOOKUP(A7,MVTFEV25!A7:AM43,6,0)+MVTFEV25!H7-E7+L7</f>
        <v>922197.74945838621</v>
      </c>
      <c r="G7" s="5">
        <f>IF(MVTMARS25!F7&gt;800000,(MVTFEV25!I7-E7+L7),0)</f>
        <v>922197.74945838621</v>
      </c>
      <c r="H7" s="36">
        <f>VLOOKUP(A7,[27]MVTMARS25!$A$6:$AM$42,8,0)</f>
        <v>13516.330805558529</v>
      </c>
      <c r="I7" s="6">
        <f t="shared" ref="I7:I42" si="1">F7+H7</f>
        <v>935714.08026394469</v>
      </c>
      <c r="J7" s="36">
        <f>VLOOKUP($A7,[26]HISTOMARS25!$A$6:$AQ$51,22,0)</f>
        <v>0</v>
      </c>
      <c r="K7" s="36">
        <f>VLOOKUP($A7,[26]HISTOMARS25!$A$6:$AU$51,45,0)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VLOOKUP($A7,[26]HISTOMARS25!$A$6:$AU$51,8,0)</f>
        <v>0</v>
      </c>
      <c r="Q7" s="36">
        <f>VLOOKUP($A7,[26]HISTOMARS25!$A$6:$AU$51,23,0)</f>
        <v>0</v>
      </c>
      <c r="R7" s="36">
        <f>VLOOKUP($A7,[26]HISTOMARS25!$A$6:$AU$51,46,0)</f>
        <v>0</v>
      </c>
      <c r="S7" s="36">
        <f>VLOOKUP($A7,[26]HISTOMARS25!$A$6:$AU$51,26,0)</f>
        <v>0</v>
      </c>
      <c r="T7" s="36">
        <f>VLOOKUP($A7,[26]HISTOMARS25!$A$6:$BG$51,58,0)</f>
        <v>0</v>
      </c>
      <c r="U7" s="36">
        <f>VLOOKUP($A7,[26]HISTOMARS25!$A$6:$AU$51,28,0)</f>
        <v>0</v>
      </c>
      <c r="V7" s="36">
        <f>VLOOKUP($A7,[26]HISTOMARS25!$A$6:$AU$51,19,0)</f>
        <v>0</v>
      </c>
      <c r="W7" s="36">
        <f>VLOOKUP($A7,[26]HISTOMARS25!$A$6:$AU$51,20,0)</f>
        <v>0</v>
      </c>
      <c r="X7" s="36">
        <f>VLOOKUP($A7,[26]HISTOMARS25!$A$6:$AU$51,27,0)</f>
        <v>0</v>
      </c>
      <c r="Y7" s="36">
        <f>VLOOKUP($A7,[26]HISTOMARS25!$A$6:$BM$51,33,0)</f>
        <v>0</v>
      </c>
      <c r="Z7" s="36">
        <f>VLOOKUP($A7,[26]HISTOMARS25!$A$6:$BM$51,64,0)</f>
        <v>0</v>
      </c>
      <c r="AA7" s="36"/>
      <c r="AB7" s="36">
        <f>VLOOKUP($A7,[26]HISTOMARS25!$A$6:$AU$51,44,0)</f>
        <v>0</v>
      </c>
      <c r="AC7" s="36">
        <f>VLOOKUP($A7,[26]HISTOMARS25!$A$6:$AU$51,43,0)</f>
        <v>0</v>
      </c>
      <c r="AD7" s="36">
        <f>VLOOKUP($A7,[26]HISTOMARS25!$A$6:$BR$51,47,0)</f>
        <v>0</v>
      </c>
      <c r="AE7" s="36">
        <f>VLOOKUP(A7,[26]HISTOMARS25!$A$6:$BR$51,54,0)</f>
        <v>0</v>
      </c>
      <c r="AF7" s="36">
        <f>VLOOKUP($A7,[26]HISTOMARS25!$A$6:$BR$51,60,0)</f>
        <v>0</v>
      </c>
      <c r="AG7" s="36">
        <f>VLOOKUP($A7,[26]HISTOMARS25!$A$6:$CB$51,61,0)</f>
        <v>0</v>
      </c>
      <c r="AH7" s="36">
        <f>VLOOKUP($A7,[26]HISTOMARS25!$A$6:$CB$51,62,0)</f>
        <v>0</v>
      </c>
      <c r="AI7" s="36">
        <f>VLOOKUP($A7,[26]HISTOMARS25!$A$6:$CB$51,63,0)</f>
        <v>0</v>
      </c>
      <c r="AJ7" s="36">
        <f>VLOOKUP($A7,[26]HISTOMARS25!$A$6:$BR$51,64,0)</f>
        <v>0</v>
      </c>
      <c r="AK7" s="36">
        <f>VLOOKUP($A7,[26]HISTOMARS25!$A$6:$BR$51,65,0)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VLOOKUP($A8,[26]HISTOMARS25!$A$6:$BA$51,48,0)</f>
        <v>0</v>
      </c>
      <c r="F8" s="36">
        <f>VLOOKUP(A8,MVTFEV25!A8:AM44,6,0)+MVTFEV25!H8-E8+L8</f>
        <v>1042738.216814103</v>
      </c>
      <c r="G8" s="5">
        <f>IF(MVTMARS25!F8&gt;800000,(MVTFEV25!I8-E8+L8),0)</f>
        <v>1042738.216814103</v>
      </c>
      <c r="H8" s="36">
        <f>VLOOKUP(A8,[27]MVTMARS25!$A$6:$AM$42,8,0)</f>
        <v>15283.050398176681</v>
      </c>
      <c r="I8" s="6">
        <f t="shared" si="1"/>
        <v>1058021.2672122796</v>
      </c>
      <c r="J8" s="36">
        <f>VLOOKUP($A8,[26]HISTOMARS25!$A$6:$AQ$51,22,0)</f>
        <v>0</v>
      </c>
      <c r="K8" s="36">
        <f>VLOOKUP($A8,[26]HISTOMARS25!$A$6:$AU$51,45,0)</f>
        <v>25000</v>
      </c>
      <c r="L8" s="36">
        <f t="shared" si="2"/>
        <v>19000</v>
      </c>
      <c r="M8" s="36">
        <f t="shared" ref="M8:M12" si="3">IF(K8=0,0,1000)</f>
        <v>1000</v>
      </c>
      <c r="N8" s="36">
        <f t="shared" si="0"/>
        <v>1000</v>
      </c>
      <c r="O8" s="36">
        <f t="shared" ref="O8:O12" si="4">IF(K8=0,0,4000)</f>
        <v>4000</v>
      </c>
      <c r="P8" s="36">
        <f>VLOOKUP($A8,[26]HISTOMARS25!$A$6:$AU$51,8,0)</f>
        <v>0</v>
      </c>
      <c r="Q8" s="36">
        <f>VLOOKUP($A8,[26]HISTOMARS25!$A$6:$AU$51,23,0)</f>
        <v>0</v>
      </c>
      <c r="R8" s="36">
        <f>VLOOKUP($A8,[26]HISTOMARS25!$A$6:$AU$51,46,0)</f>
        <v>0</v>
      </c>
      <c r="S8" s="36">
        <f>VLOOKUP($A8,[26]HISTOMARS25!$A$6:$AU$51,26,0)</f>
        <v>500000</v>
      </c>
      <c r="T8" s="36">
        <f>VLOOKUP($A8,[26]HISTOMARS25!$A$6:$BG$51,58,0)</f>
        <v>15000</v>
      </c>
      <c r="U8" s="36">
        <f>VLOOKUP($A8,[26]HISTOMARS25!$A$6:$AU$51,28,0)</f>
        <v>0</v>
      </c>
      <c r="V8" s="36">
        <f>VLOOKUP($A8,[26]HISTOMARS25!$A$6:$AU$51,19,0)</f>
        <v>500000</v>
      </c>
      <c r="W8" s="36" t="str">
        <f>VLOOKUP($A8,[26]HISTOMARS25!$A$6:$AU$51,20,0)</f>
        <v>AUTRES</v>
      </c>
      <c r="X8" s="36">
        <f>VLOOKUP($A8,[26]HISTOMARS25!$A$6:$AU$51,27,0)</f>
        <v>0</v>
      </c>
      <c r="Y8" s="36">
        <f>VLOOKUP($A8,[26]HISTOMARS25!$A$6:$BM$51,33,0)</f>
        <v>0</v>
      </c>
      <c r="Z8" s="36">
        <f>VLOOKUP($A8,[26]HISTOMARS25!$A$6:$BM$51,64,0)</f>
        <v>0</v>
      </c>
      <c r="AA8" s="36"/>
      <c r="AB8" s="36">
        <f>VLOOKUP($A8,[26]HISTOMARS25!$A$6:$AU$51,44,0)</f>
        <v>0</v>
      </c>
      <c r="AC8" s="36">
        <f>VLOOKUP($A8,[26]HISTOMARS25!$A$6:$AU$51,43,0)</f>
        <v>0</v>
      </c>
      <c r="AD8" s="36">
        <f>VLOOKUP($A8,[26]HISTOMARS25!$A$6:$BR$51,47,0)</f>
        <v>0</v>
      </c>
      <c r="AE8" s="36">
        <f>VLOOKUP(A8,[26]HISTOMARS25!$A$6:$BR$51,54,0)</f>
        <v>0</v>
      </c>
      <c r="AF8" s="36">
        <f>VLOOKUP($A8,[26]HISTOMARS25!$A$6:$BR$51,60,0)</f>
        <v>0</v>
      </c>
      <c r="AG8" s="36">
        <f>VLOOKUP($A8,[26]HISTOMARS25!$A$6:$CB$51,61,0)</f>
        <v>0</v>
      </c>
      <c r="AH8" s="36">
        <f>VLOOKUP($A8,[26]HISTOMARS25!$A$6:$CB$51,62,0)</f>
        <v>0</v>
      </c>
      <c r="AI8" s="36">
        <f>VLOOKUP($A8,[26]HISTOMARS25!$A$6:$CB$51,63,0)</f>
        <v>0</v>
      </c>
      <c r="AJ8" s="36">
        <f>VLOOKUP($A8,[26]HISTOMARS25!$A$6:$BR$51,64,0)</f>
        <v>0</v>
      </c>
      <c r="AK8" s="36">
        <f>VLOOKUP($A8,[26]HISTOMARS25!$A$6:$BR$51,65,0)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VLOOKUP($A9,[26]HISTOMARS25!$A$6:$BA$51,48,0)</f>
        <v>0</v>
      </c>
      <c r="F9" s="36">
        <f>VLOOKUP(A9,MVTFEV25!A9:AM45,6,0)+MVTFEV25!H9-E9+L9</f>
        <v>909564.7289076976</v>
      </c>
      <c r="G9" s="5">
        <f>IF(MVTMARS25!F9&gt;800000,(MVTFEV25!I9-E9+L9),0)</f>
        <v>909564.7289076976</v>
      </c>
      <c r="H9" s="36">
        <f>VLOOKUP(A9,[27]MVTMARS25!$A$6:$AM$42,8,0)</f>
        <v>13331.173029000507</v>
      </c>
      <c r="I9" s="6">
        <f t="shared" si="1"/>
        <v>922895.90193669812</v>
      </c>
      <c r="J9" s="36">
        <f>VLOOKUP($A9,[26]HISTOMARS25!$A$6:$AQ$51,22,0)</f>
        <v>0</v>
      </c>
      <c r="K9" s="36">
        <f>VLOOKUP($A9,[26]HISTOMARS25!$A$6:$AU$51,45,0)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VLOOKUP($A9,[26]HISTOMARS25!$A$6:$AU$51,8,0)</f>
        <v>0</v>
      </c>
      <c r="Q9" s="36">
        <f>VLOOKUP($A9,[26]HISTOMARS25!$A$6:$AU$51,23,0)</f>
        <v>0</v>
      </c>
      <c r="R9" s="36">
        <f>VLOOKUP($A9,[26]HISTOMARS25!$A$6:$AU$51,46,0)</f>
        <v>0</v>
      </c>
      <c r="S9" s="36">
        <f>VLOOKUP($A9,[26]HISTOMARS25!$A$6:$AU$51,26,0)</f>
        <v>0</v>
      </c>
      <c r="T9" s="36">
        <f>VLOOKUP($A9,[26]HISTOMARS25!$A$6:$BG$51,58,0)</f>
        <v>0</v>
      </c>
      <c r="U9" s="36">
        <f>VLOOKUP($A9,[26]HISTOMARS25!$A$6:$AU$51,28,0)</f>
        <v>0</v>
      </c>
      <c r="V9" s="36">
        <f>VLOOKUP($A9,[26]HISTOMARS25!$A$6:$AU$51,19,0)</f>
        <v>0</v>
      </c>
      <c r="W9" s="36">
        <f>VLOOKUP($A9,[26]HISTOMARS25!$A$6:$AU$51,20,0)</f>
        <v>0</v>
      </c>
      <c r="X9" s="36">
        <f>VLOOKUP($A9,[26]HISTOMARS25!$A$6:$AU$51,27,0)</f>
        <v>0</v>
      </c>
      <c r="Y9" s="36">
        <f>VLOOKUP($A9,[26]HISTOMARS25!$A$6:$BM$51,33,0)</f>
        <v>0</v>
      </c>
      <c r="Z9" s="36">
        <f>VLOOKUP($A9,[26]HISTOMARS25!$A$6:$BM$51,64,0)</f>
        <v>0</v>
      </c>
      <c r="AA9" s="36"/>
      <c r="AB9" s="36">
        <f>VLOOKUP($A9,[26]HISTOMARS25!$A$6:$AU$51,44,0)</f>
        <v>0</v>
      </c>
      <c r="AC9" s="36">
        <f>VLOOKUP($A9,[26]HISTOMARS25!$A$6:$AU$51,43,0)</f>
        <v>0</v>
      </c>
      <c r="AD9" s="36">
        <f>VLOOKUP($A9,[26]HISTOMARS25!$A$6:$BR$51,47,0)</f>
        <v>0</v>
      </c>
      <c r="AE9" s="36">
        <f>VLOOKUP(A9,[26]HISTOMARS25!$A$6:$BR$51,54,0)</f>
        <v>0</v>
      </c>
      <c r="AF9" s="36">
        <f>VLOOKUP($A9,[26]HISTOMARS25!$A$6:$BR$51,60,0)</f>
        <v>0</v>
      </c>
      <c r="AG9" s="36">
        <f>VLOOKUP($A9,[26]HISTOMARS25!$A$6:$CB$51,61,0)</f>
        <v>0</v>
      </c>
      <c r="AH9" s="36">
        <f>VLOOKUP($A9,[26]HISTOMARS25!$A$6:$CB$51,62,0)</f>
        <v>0</v>
      </c>
      <c r="AI9" s="36">
        <f>VLOOKUP($A9,[26]HISTOMARS25!$A$6:$CB$51,63,0)</f>
        <v>0</v>
      </c>
      <c r="AJ9" s="36">
        <f>VLOOKUP($A9,[26]HISTOMARS25!$A$6:$BR$51,64,0)</f>
        <v>0</v>
      </c>
      <c r="AK9" s="36">
        <f>VLOOKUP($A9,[26]HISTOMARS25!$A$6:$BR$51,65,0)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VLOOKUP($A10,[26]HISTOMARS25!$A$6:$BA$51,48,0)</f>
        <v>0</v>
      </c>
      <c r="F10" s="36">
        <f>VLOOKUP(A10,MVTFEV25!A10:AM46,6,0)+MVTFEV25!H10-E10+L10</f>
        <v>919701.92768578744</v>
      </c>
      <c r="G10" s="5">
        <f>IF(MVTMARS25!F10&gt;800000,(MVTFEV25!I10-E10+L10),0)</f>
        <v>919701.92768578744</v>
      </c>
      <c r="H10" s="36">
        <f>VLOOKUP(A10,[27]MVTMARS25!$A$6:$AM$42,8,0)</f>
        <v>13479.750416233166</v>
      </c>
      <c r="I10" s="6">
        <f t="shared" si="1"/>
        <v>933181.67810202064</v>
      </c>
      <c r="J10" s="36">
        <f>VLOOKUP($A10,[26]HISTOMARS25!$A$6:$AQ$51,22,0)</f>
        <v>0</v>
      </c>
      <c r="K10" s="36">
        <f>VLOOKUP($A10,[26]HISTOMARS25!$A$6:$AU$51,45,0)</f>
        <v>34500</v>
      </c>
      <c r="L10" s="36">
        <f t="shared" si="2"/>
        <v>28500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VLOOKUP($A10,[26]HISTOMARS25!$A$6:$AU$51,8,0)</f>
        <v>0</v>
      </c>
      <c r="Q10" s="36">
        <f>VLOOKUP($A10,[26]HISTOMARS25!$A$6:$AU$51,23,0)</f>
        <v>0</v>
      </c>
      <c r="R10" s="36">
        <f>VLOOKUP($A10,[26]HISTOMARS25!$A$6:$AU$51,46,0)</f>
        <v>0</v>
      </c>
      <c r="S10" s="36">
        <f>VLOOKUP($A10,[26]HISTOMARS25!$A$6:$AU$51,26,0)</f>
        <v>0</v>
      </c>
      <c r="T10" s="36">
        <f>VLOOKUP($A10,[26]HISTOMARS25!$A$6:$BG$51,58,0)</f>
        <v>0</v>
      </c>
      <c r="U10" s="36">
        <f>VLOOKUP($A10,[26]HISTOMARS25!$A$6:$AU$51,28,0)</f>
        <v>0</v>
      </c>
      <c r="V10" s="36">
        <f>VLOOKUP($A10,[26]HISTOMARS25!$A$6:$AU$51,19,0)</f>
        <v>0</v>
      </c>
      <c r="W10" s="36">
        <f>VLOOKUP($A10,[26]HISTOMARS25!$A$6:$AU$51,20,0)</f>
        <v>0</v>
      </c>
      <c r="X10" s="36">
        <f>VLOOKUP($A10,[26]HISTOMARS25!$A$6:$AU$51,27,0)</f>
        <v>0</v>
      </c>
      <c r="Y10" s="36">
        <f>VLOOKUP($A10,[26]HISTOMARS25!$A$6:$BM$51,33,0)</f>
        <v>0</v>
      </c>
      <c r="Z10" s="36">
        <f>VLOOKUP($A10,[26]HISTOMARS25!$A$6:$BM$51,64,0)</f>
        <v>0</v>
      </c>
      <c r="AA10" s="36"/>
      <c r="AB10" s="36">
        <f>VLOOKUP($A10,[26]HISTOMARS25!$A$6:$AU$51,44,0)</f>
        <v>0</v>
      </c>
      <c r="AC10" s="36">
        <f>VLOOKUP($A10,[26]HISTOMARS25!$A$6:$AU$51,43,0)</f>
        <v>0</v>
      </c>
      <c r="AD10" s="36">
        <f>VLOOKUP($A10,[26]HISTOMARS25!$A$6:$BR$51,47,0)</f>
        <v>0</v>
      </c>
      <c r="AE10" s="36">
        <f>VLOOKUP(A10,[26]HISTOMARS25!$A$6:$BR$51,54,0)</f>
        <v>0</v>
      </c>
      <c r="AF10" s="36">
        <f>VLOOKUP($A10,[26]HISTOMARS25!$A$6:$BR$51,60,0)</f>
        <v>0</v>
      </c>
      <c r="AG10" s="36">
        <f>VLOOKUP($A10,[26]HISTOMARS25!$A$6:$CB$51,61,0)</f>
        <v>0</v>
      </c>
      <c r="AH10" s="36">
        <f>VLOOKUP($A10,[26]HISTOMARS25!$A$6:$CB$51,62,0)</f>
        <v>0</v>
      </c>
      <c r="AI10" s="36">
        <f>VLOOKUP($A10,[26]HISTOMARS25!$A$6:$CB$51,63,0)</f>
        <v>0</v>
      </c>
      <c r="AJ10" s="36">
        <f>VLOOKUP($A10,[26]HISTOMARS25!$A$6:$BR$51,64,0)</f>
        <v>0</v>
      </c>
      <c r="AK10" s="36">
        <f>VLOOKUP($A10,[26]HISTOMARS25!$A$6:$BR$51,65,0)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VLOOKUP($A11,[26]HISTOMARS25!$A$6:$BA$51,48,0)</f>
        <v>0</v>
      </c>
      <c r="F11" s="36">
        <f>VLOOKUP(A11,MVTFEV25!A11:AM47,6,0)+MVTFEV25!H11-E11+L11</f>
        <v>909294.40814212896</v>
      </c>
      <c r="G11" s="5">
        <f>IF(MVTMARS25!F11&gt;800000,(MVTFEV25!I11-E11+L11),0)</f>
        <v>909294.40814212896</v>
      </c>
      <c r="H11" s="36">
        <f>VLOOKUP(A11,[27]MVTMARS25!$A$6:$AM$42,8,0)</f>
        <v>13327.211031811526</v>
      </c>
      <c r="I11" s="6">
        <f t="shared" si="1"/>
        <v>922621.6191739405</v>
      </c>
      <c r="J11" s="36">
        <f>VLOOKUP($A11,[26]HISTOMARS25!$A$6:$AQ$51,22,0)</f>
        <v>0</v>
      </c>
      <c r="K11" s="36">
        <f>VLOOKUP($A11,[26]HISTOMARS25!$A$6:$AU$51,45,0)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VLOOKUP($A11,[26]HISTOMARS25!$A$6:$AU$51,8,0)</f>
        <v>0</v>
      </c>
      <c r="Q11" s="36">
        <f>VLOOKUP($A11,[26]HISTOMARS25!$A$6:$AU$51,23,0)</f>
        <v>0</v>
      </c>
      <c r="R11" s="36">
        <f>VLOOKUP($A11,[26]HISTOMARS25!$A$6:$AU$51,46,0)</f>
        <v>0</v>
      </c>
      <c r="S11" s="36">
        <f>VLOOKUP($A11,[26]HISTOMARS25!$A$6:$AU$51,26,0)</f>
        <v>1000000</v>
      </c>
      <c r="T11" s="13">
        <f>VLOOKUP($A11,[26]HISTOMARS25!$A$6:$BG$51,58,0)</f>
        <v>225000</v>
      </c>
      <c r="U11" s="36">
        <f>VLOOKUP($A11,[26]HISTOMARS25!$A$6:$AU$51,28,0)</f>
        <v>0</v>
      </c>
      <c r="V11" s="36">
        <f>VLOOKUP($A11,[26]HISTOMARS25!$A$6:$AU$51,19,0)</f>
        <v>1135000</v>
      </c>
      <c r="W11" s="36" t="str">
        <f>VLOOKUP($A11,[26]HISTOMARS25!$A$6:$AU$51,20,0)</f>
        <v>EN COMPTE</v>
      </c>
      <c r="X11" s="36" t="str">
        <f>VLOOKUP($A11,[26]HISTOMARS25!$A$6:$AU$51,27,0)</f>
        <v>BANQUE</v>
      </c>
      <c r="Y11" s="36">
        <f>VLOOKUP($A11,[26]HISTOMARS25!$A$6:$BM$51,33,0)</f>
        <v>0</v>
      </c>
      <c r="Z11" s="36">
        <f>VLOOKUP($A11,[26]HISTOMARS25!$A$6:$BM$51,64,0)</f>
        <v>0</v>
      </c>
      <c r="AA11" s="36"/>
      <c r="AB11" s="36">
        <f>VLOOKUP($A11,[26]HISTOMARS25!$A$6:$AU$51,44,0)</f>
        <v>0</v>
      </c>
      <c r="AC11" s="36">
        <f>VLOOKUP($A11,[26]HISTOMARS25!$A$6:$AU$51,43,0)</f>
        <v>0</v>
      </c>
      <c r="AD11" s="36">
        <f>VLOOKUP($A11,[26]HISTOMARS25!$A$6:$BR$51,47,0)</f>
        <v>0</v>
      </c>
      <c r="AE11" s="36">
        <f>VLOOKUP(A11,[26]HISTOMARS25!$A$6:$BR$51,54,0)</f>
        <v>0</v>
      </c>
      <c r="AF11" s="36">
        <f>VLOOKUP($A11,[26]HISTOMARS25!$A$6:$BR$51,60,0)</f>
        <v>0</v>
      </c>
      <c r="AG11" s="36">
        <f>VLOOKUP($A11,[26]HISTOMARS25!$A$6:$CB$51,61,0)</f>
        <v>0</v>
      </c>
      <c r="AH11" s="36">
        <f>VLOOKUP($A11,[26]HISTOMARS25!$A$6:$CB$51,62,0)</f>
        <v>0</v>
      </c>
      <c r="AI11" s="36">
        <f>VLOOKUP($A11,[26]HISTOMARS25!$A$6:$CB$51,63,0)</f>
        <v>0</v>
      </c>
      <c r="AJ11" s="36">
        <f>VLOOKUP($A11,[26]HISTOMARS25!$A$6:$BR$51,64,0)</f>
        <v>0</v>
      </c>
      <c r="AK11" s="36">
        <f>VLOOKUP($A11,[26]HISTOMARS25!$A$6:$BR$51,65,0)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VLOOKUP($A12,[26]HISTOMARS25!$A$6:$BA$51,48,0)</f>
        <v>0</v>
      </c>
      <c r="F12" s="36">
        <f>VLOOKUP(A12,MVTFEV25!A12:AM48,6,0)+MVTFEV25!H12-E12+L12</f>
        <v>1598518.8302611236</v>
      </c>
      <c r="G12" s="5">
        <f>IF(MVTMARS25!F12&gt;800000,(MVTFEV25!I12-E12+L12),0)</f>
        <v>1598518.8302611236</v>
      </c>
      <c r="H12" s="36">
        <f>VLOOKUP(A12,[27]MVTMARS25!$A$6:$AM$42,8,0)</f>
        <v>23428.933025929899</v>
      </c>
      <c r="I12" s="6">
        <f t="shared" si="1"/>
        <v>1621947.7632870534</v>
      </c>
      <c r="J12" s="36">
        <f>VLOOKUP($A12,[26]HISTOMARS25!$A$6:$AQ$51,22,0)</f>
        <v>0</v>
      </c>
      <c r="K12" s="36">
        <f>VLOOKUP($A12,[26]HISTOMARS25!$A$6:$AU$51,45,0)</f>
        <v>35000</v>
      </c>
      <c r="L12" s="36">
        <f t="shared" si="2"/>
        <v>29000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VLOOKUP($A12,[26]HISTOMARS25!$A$6:$AU$51,8,0)</f>
        <v>0</v>
      </c>
      <c r="Q12" s="36">
        <f>VLOOKUP($A12,[26]HISTOMARS25!$A$6:$AU$51,23,0)</f>
        <v>0</v>
      </c>
      <c r="R12" s="36">
        <f>VLOOKUP($A12,[26]HISTOMARS25!$A$6:$AU$51,46,0)</f>
        <v>0</v>
      </c>
      <c r="S12" s="36">
        <f>VLOOKUP($A12,[26]HISTOMARS25!$A$6:$AU$51,26,0)</f>
        <v>0</v>
      </c>
      <c r="T12" s="36">
        <f>VLOOKUP($A12,[26]HISTOMARS25!$A$6:$BG$51,58,0)</f>
        <v>0</v>
      </c>
      <c r="U12" s="36">
        <f>VLOOKUP($A12,[26]HISTOMARS25!$A$6:$AU$51,28,0)</f>
        <v>0</v>
      </c>
      <c r="V12" s="36">
        <f>VLOOKUP($A12,[26]HISTOMARS25!$A$6:$AU$51,19,0)</f>
        <v>0</v>
      </c>
      <c r="W12" s="36">
        <f>VLOOKUP($A12,[26]HISTOMARS25!$A$6:$AU$51,20,0)</f>
        <v>0</v>
      </c>
      <c r="X12" s="36">
        <f>VLOOKUP($A12,[26]HISTOMARS25!$A$6:$AU$51,27,0)</f>
        <v>0</v>
      </c>
      <c r="Y12" s="36">
        <f>VLOOKUP($A12,[26]HISTOMARS25!$A$6:$BM$51,33,0)</f>
        <v>0</v>
      </c>
      <c r="Z12" s="36">
        <f>VLOOKUP($A12,[26]HISTOMARS25!$A$6:$BM$51,64,0)</f>
        <v>0</v>
      </c>
      <c r="AA12" s="36"/>
      <c r="AB12" s="36">
        <f>VLOOKUP($A12,[26]HISTOMARS25!$A$6:$AU$51,44,0)</f>
        <v>0</v>
      </c>
      <c r="AC12" s="36">
        <f>VLOOKUP($A12,[26]HISTOMARS25!$A$6:$AU$51,43,0)</f>
        <v>0</v>
      </c>
      <c r="AD12" s="36">
        <f>VLOOKUP($A12,[26]HISTOMARS25!$A$6:$BR$51,47,0)</f>
        <v>0</v>
      </c>
      <c r="AE12" s="36">
        <f>VLOOKUP(A12,[26]HISTOMARS25!$A$6:$BR$51,54,0)</f>
        <v>0</v>
      </c>
      <c r="AF12" s="36">
        <f>VLOOKUP($A12,[26]HISTOMARS25!$A$6:$BR$51,60,0)</f>
        <v>0</v>
      </c>
      <c r="AG12" s="36">
        <f>VLOOKUP($A12,[26]HISTOMARS25!$A$6:$CB$51,61,0)</f>
        <v>0</v>
      </c>
      <c r="AH12" s="36">
        <f>VLOOKUP($A12,[26]HISTOMARS25!$A$6:$CB$51,62,0)</f>
        <v>0</v>
      </c>
      <c r="AI12" s="36">
        <f>VLOOKUP($A12,[26]HISTOMARS25!$A$6:$CB$51,63,0)</f>
        <v>0</v>
      </c>
      <c r="AJ12" s="36">
        <f>VLOOKUP($A12,[26]HISTOMARS25!$A$6:$BR$51,64,0)</f>
        <v>0</v>
      </c>
      <c r="AK12" s="36">
        <f>VLOOKUP($A12,[26]HISTOMARS25!$A$6:$BR$51,65,0)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VLOOKUP($A13,[26]HISTOMARS25!$A$6:$BA$51,48,0)</f>
        <v>0</v>
      </c>
      <c r="F13" s="36">
        <f>VLOOKUP(A13,MVTFEV25!A13:AM49,6,0)+MVTFEV25!H13-E13+L13</f>
        <v>909270.9623068535</v>
      </c>
      <c r="G13" s="5">
        <f>IF(MVTMARS25!F13&gt;800000,(MVTFEV25!I13-E13+L13),0)</f>
        <v>909270.9623068535</v>
      </c>
      <c r="H13" s="36">
        <f>VLOOKUP(A13,[27]MVTMARS25!$A$6:$AM$42,8,0)</f>
        <v>13326.867394380421</v>
      </c>
      <c r="I13" s="6">
        <f t="shared" si="1"/>
        <v>922597.82970123389</v>
      </c>
      <c r="J13" s="36">
        <f>VLOOKUP($A13,[26]HISTOMARS25!$A$6:$AQ$51,22,0)</f>
        <v>0</v>
      </c>
      <c r="K13" s="36">
        <f>VLOOKUP($A13,[26]HISTOMARS25!$A$6:$AU$51,45,0)</f>
        <v>25000</v>
      </c>
      <c r="L13" s="36">
        <f t="shared" si="2"/>
        <v>19000</v>
      </c>
      <c r="M13" s="36">
        <f t="shared" ref="M13:M42" si="5">IF(K13=0,0,1000)</f>
        <v>1000</v>
      </c>
      <c r="N13" s="36">
        <f t="shared" ref="N13:N42" si="6">IF(K13=0,0,1000)</f>
        <v>1000</v>
      </c>
      <c r="O13" s="36">
        <f t="shared" ref="O13:O42" si="7">IF(K13=0,0,4000)</f>
        <v>4000</v>
      </c>
      <c r="P13" s="36">
        <f>VLOOKUP($A13,[26]HISTOMARS25!$A$6:$AU$51,8,0)</f>
        <v>0</v>
      </c>
      <c r="Q13" s="36">
        <f>VLOOKUP($A13,[26]HISTOMARS25!$A$6:$AU$51,23,0)</f>
        <v>0</v>
      </c>
      <c r="R13" s="36">
        <f>VLOOKUP($A13,[26]HISTOMARS25!$A$6:$AU$51,46,0)</f>
        <v>0</v>
      </c>
      <c r="S13" s="36">
        <f>VLOOKUP($A13,[26]HISTOMARS25!$A$6:$AU$51,26,0)</f>
        <v>0</v>
      </c>
      <c r="T13" s="36">
        <f>VLOOKUP($A13,[26]HISTOMARS25!$A$6:$BG$51,58,0)</f>
        <v>0</v>
      </c>
      <c r="U13" s="36">
        <f>VLOOKUP($A13,[26]HISTOMARS25!$A$6:$AU$51,28,0)</f>
        <v>0</v>
      </c>
      <c r="V13" s="36">
        <f>VLOOKUP($A13,[26]HISTOMARS25!$A$6:$AU$51,19,0)</f>
        <v>0</v>
      </c>
      <c r="W13" s="36">
        <f>VLOOKUP($A13,[26]HISTOMARS25!$A$6:$AU$51,20,0)</f>
        <v>0</v>
      </c>
      <c r="X13" s="36">
        <f>VLOOKUP($A13,[26]HISTOMARS25!$A$6:$AU$51,27,0)</f>
        <v>0</v>
      </c>
      <c r="Y13" s="36">
        <f>VLOOKUP($A13,[26]HISTOMARS25!$A$6:$BM$51,33,0)</f>
        <v>0</v>
      </c>
      <c r="Z13" s="36">
        <f>VLOOKUP($A13,[26]HISTOMARS25!$A$6:$BM$51,64,0)</f>
        <v>0</v>
      </c>
      <c r="AA13" s="36"/>
      <c r="AB13" s="36">
        <f>VLOOKUP($A13,[26]HISTOMARS25!$A$6:$AU$51,44,0)</f>
        <v>0</v>
      </c>
      <c r="AC13" s="36">
        <f>VLOOKUP($A13,[26]HISTOMARS25!$A$6:$AU$51,43,0)</f>
        <v>0</v>
      </c>
      <c r="AD13" s="36">
        <f>VLOOKUP($A13,[26]HISTOMARS25!$A$6:$BR$51,47,0)</f>
        <v>0</v>
      </c>
      <c r="AE13" s="36">
        <f>VLOOKUP(A13,[26]HISTOMARS25!$A$6:$BR$51,54,0)</f>
        <v>0</v>
      </c>
      <c r="AF13" s="36">
        <f>VLOOKUP($A13,[26]HISTOMARS25!$A$6:$BR$51,60,0)</f>
        <v>0</v>
      </c>
      <c r="AG13" s="36">
        <f>VLOOKUP($A13,[26]HISTOMARS25!$A$6:$CB$51,61,0)</f>
        <v>0</v>
      </c>
      <c r="AH13" s="36">
        <f>VLOOKUP($A13,[26]HISTOMARS25!$A$6:$CB$51,62,0)</f>
        <v>0</v>
      </c>
      <c r="AI13" s="36">
        <f>VLOOKUP($A13,[26]HISTOMARS25!$A$6:$CB$51,63,0)</f>
        <v>0</v>
      </c>
      <c r="AJ13" s="36">
        <f>VLOOKUP($A13,[26]HISTOMARS25!$A$6:$BR$51,64,0)</f>
        <v>0</v>
      </c>
      <c r="AK13" s="36">
        <f>VLOOKUP($A13,[26]HISTOMARS25!$A$6:$BR$51,65,0)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VLOOKUP($A14,[26]HISTOMARS25!$A$6:$BA$51,48,0)</f>
        <v>0</v>
      </c>
      <c r="F14" s="36">
        <f>VLOOKUP(A14,MVTFEV25!A14:AM50,6,0)+MVTFEV25!H14-E14+L14</f>
        <v>1644771.6533828515</v>
      </c>
      <c r="G14" s="5">
        <f>IF(MVTMARS25!F14&gt;800000,(MVTFEV25!I14-E14+L14),0)</f>
        <v>1644771.6533828515</v>
      </c>
      <c r="H14" s="36">
        <f>VLOOKUP(A14,[27]MVTMARS25!$A$6:$AM$42,8,0)</f>
        <v>24106.844524164877</v>
      </c>
      <c r="I14" s="6">
        <f t="shared" si="1"/>
        <v>1668878.4979070164</v>
      </c>
      <c r="J14" s="36">
        <f>VLOOKUP($A14,[26]HISTOMARS25!$A$6:$AQ$51,22,0)</f>
        <v>0</v>
      </c>
      <c r="K14" s="36">
        <f>VLOOKUP($A14,[26]HISTOMARS25!$A$6:$AU$51,45,0)</f>
        <v>25000</v>
      </c>
      <c r="L14" s="36">
        <f t="shared" si="2"/>
        <v>19000</v>
      </c>
      <c r="M14" s="36">
        <f t="shared" si="5"/>
        <v>1000</v>
      </c>
      <c r="N14" s="36">
        <f t="shared" si="6"/>
        <v>1000</v>
      </c>
      <c r="O14" s="36">
        <f t="shared" si="7"/>
        <v>4000</v>
      </c>
      <c r="P14" s="36">
        <f>VLOOKUP($A14,[26]HISTOMARS25!$A$6:$AU$51,8,0)</f>
        <v>0</v>
      </c>
      <c r="Q14" s="36">
        <f>VLOOKUP($A14,[26]HISTOMARS25!$A$6:$AU$51,23,0)</f>
        <v>0</v>
      </c>
      <c r="R14" s="36">
        <f>VLOOKUP($A14,[26]HISTOMARS25!$A$6:$AU$51,46,0)</f>
        <v>0</v>
      </c>
      <c r="S14" s="36">
        <f>VLOOKUP($A14,[26]HISTOMARS25!$A$6:$AU$51,26,0)</f>
        <v>0</v>
      </c>
      <c r="T14" s="36">
        <f>VLOOKUP($A14,[26]HISTOMARS25!$A$6:$BG$51,58,0)</f>
        <v>0</v>
      </c>
      <c r="U14" s="36">
        <f>VLOOKUP($A14,[26]HISTOMARS25!$A$6:$AU$51,28,0)</f>
        <v>0</v>
      </c>
      <c r="V14" s="36">
        <f>VLOOKUP($A14,[26]HISTOMARS25!$A$6:$AU$51,19,0)</f>
        <v>0</v>
      </c>
      <c r="W14" s="36">
        <f>VLOOKUP($A14,[26]HISTOMARS25!$A$6:$AU$51,20,0)</f>
        <v>0</v>
      </c>
      <c r="X14" s="36">
        <f>VLOOKUP($A14,[26]HISTOMARS25!$A$6:$AU$51,27,0)</f>
        <v>0</v>
      </c>
      <c r="Y14" s="36">
        <f>VLOOKUP($A14,[26]HISTOMARS25!$A$6:$BM$51,33,0)</f>
        <v>0</v>
      </c>
      <c r="Z14" s="36">
        <f>VLOOKUP($A14,[26]HISTOMARS25!$A$6:$BM$51,64,0)</f>
        <v>0</v>
      </c>
      <c r="AA14" s="36"/>
      <c r="AB14" s="36">
        <f>VLOOKUP($A14,[26]HISTOMARS25!$A$6:$AU$51,44,0)</f>
        <v>0</v>
      </c>
      <c r="AC14" s="36">
        <f>VLOOKUP($A14,[26]HISTOMARS25!$A$6:$AU$51,43,0)</f>
        <v>0</v>
      </c>
      <c r="AD14" s="36">
        <f>VLOOKUP($A14,[26]HISTOMARS25!$A$6:$BR$51,47,0)</f>
        <v>0</v>
      </c>
      <c r="AE14" s="36">
        <f>VLOOKUP(A14,[26]HISTOMARS25!$A$6:$BR$51,54,0)</f>
        <v>0</v>
      </c>
      <c r="AF14" s="36">
        <f>VLOOKUP($A14,[26]HISTOMARS25!$A$6:$BR$51,60,0)</f>
        <v>0</v>
      </c>
      <c r="AG14" s="36">
        <f>VLOOKUP($A14,[26]HISTOMARS25!$A$6:$CB$51,61,0)</f>
        <v>0</v>
      </c>
      <c r="AH14" s="36">
        <f>VLOOKUP($A14,[26]HISTOMARS25!$A$6:$CB$51,62,0)</f>
        <v>0</v>
      </c>
      <c r="AI14" s="36">
        <f>VLOOKUP($A14,[26]HISTOMARS25!$A$6:$CB$51,63,0)</f>
        <v>0</v>
      </c>
      <c r="AJ14" s="36">
        <f>VLOOKUP($A14,[26]HISTOMARS25!$A$6:$BR$51,64,0)</f>
        <v>0</v>
      </c>
      <c r="AK14" s="36">
        <f>VLOOKUP($A14,[26]HISTOMARS25!$A$6:$BR$51,65,0)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VLOOKUP($A15,[26]HISTOMARS25!$A$6:$BA$51,48,0)</f>
        <v>0</v>
      </c>
      <c r="F15" s="36">
        <f>VLOOKUP(A15,MVTFEV25!A15:AM51,6,0)+MVTFEV25!H15-E15+L15</f>
        <v>57000</v>
      </c>
      <c r="G15" s="5">
        <f>IF(MVTMARS25!F15&gt;800000,(MVTFEV25!I15-E15+L15),0)</f>
        <v>0</v>
      </c>
      <c r="H15" s="36">
        <f>VLOOKUP(A15,[27]MVTMARS25!$A$6:$AM$42,8,0)</f>
        <v>0</v>
      </c>
      <c r="I15" s="6">
        <f t="shared" si="1"/>
        <v>57000</v>
      </c>
      <c r="J15" s="36">
        <f>VLOOKUP($A15,[26]HISTOMARS25!$A$6:$AQ$51,22,0)</f>
        <v>0</v>
      </c>
      <c r="K15" s="36">
        <f>VLOOKUP($A15,[26]HISTOMARS25!$A$6:$AU$51,45,0)</f>
        <v>25000</v>
      </c>
      <c r="L15" s="36">
        <f t="shared" si="2"/>
        <v>19000</v>
      </c>
      <c r="M15" s="36">
        <f t="shared" si="5"/>
        <v>1000</v>
      </c>
      <c r="N15" s="36">
        <f t="shared" si="6"/>
        <v>1000</v>
      </c>
      <c r="O15" s="36">
        <f t="shared" si="7"/>
        <v>4000</v>
      </c>
      <c r="P15" s="36">
        <f>VLOOKUP($A15,[26]HISTOMARS25!$A$6:$AU$51,8,0)</f>
        <v>0</v>
      </c>
      <c r="Q15" s="36">
        <f>VLOOKUP($A15,[26]HISTOMARS25!$A$6:$AU$51,23,0)</f>
        <v>0</v>
      </c>
      <c r="R15" s="36">
        <f>VLOOKUP($A15,[26]HISTOMARS25!$A$6:$AU$51,46,0)</f>
        <v>0</v>
      </c>
      <c r="S15" s="36">
        <f>VLOOKUP($A15,[26]HISTOMARS25!$A$6:$AU$51,26,0)</f>
        <v>0</v>
      </c>
      <c r="T15" s="36">
        <f>VLOOKUP($A15,[26]HISTOMARS25!$A$6:$BG$51,58,0)</f>
        <v>0</v>
      </c>
      <c r="U15" s="36">
        <f>VLOOKUP($A15,[26]HISTOMARS25!$A$6:$AU$51,28,0)</f>
        <v>0</v>
      </c>
      <c r="V15" s="36">
        <f>VLOOKUP($A15,[26]HISTOMARS25!$A$6:$AU$51,19,0)</f>
        <v>0</v>
      </c>
      <c r="W15" s="36">
        <f>VLOOKUP($A15,[26]HISTOMARS25!$A$6:$AU$51,20,0)</f>
        <v>0</v>
      </c>
      <c r="X15" s="36">
        <f>VLOOKUP($A15,[26]HISTOMARS25!$A$6:$AU$51,27,0)</f>
        <v>0</v>
      </c>
      <c r="Y15" s="36">
        <f>VLOOKUP($A15,[26]HISTOMARS25!$A$6:$BM$51,33,0)</f>
        <v>0</v>
      </c>
      <c r="Z15" s="36">
        <f>VLOOKUP($A15,[26]HISTOMARS25!$A$6:$BM$51,64,0)</f>
        <v>0</v>
      </c>
      <c r="AA15" s="36"/>
      <c r="AB15" s="36">
        <f>VLOOKUP($A15,[26]HISTOMARS25!$A$6:$AU$51,44,0)</f>
        <v>0</v>
      </c>
      <c r="AC15" s="36">
        <f>VLOOKUP($A15,[26]HISTOMARS25!$A$6:$AU$51,43,0)</f>
        <v>0</v>
      </c>
      <c r="AD15" s="36">
        <f>VLOOKUP($A15,[26]HISTOMARS25!$A$6:$BR$51,47,0)</f>
        <v>0</v>
      </c>
      <c r="AE15" s="36">
        <f>VLOOKUP(A15,[26]HISTOMARS25!$A$6:$BR$51,54,0)</f>
        <v>0</v>
      </c>
      <c r="AF15" s="36">
        <f>VLOOKUP($A15,[26]HISTOMARS25!$A$6:$BR$51,60,0)</f>
        <v>0</v>
      </c>
      <c r="AG15" s="36">
        <f>VLOOKUP($A15,[26]HISTOMARS25!$A$6:$CB$51,61,0)</f>
        <v>0</v>
      </c>
      <c r="AH15" s="36">
        <f>VLOOKUP($A15,[26]HISTOMARS25!$A$6:$CB$51,62,0)</f>
        <v>0</v>
      </c>
      <c r="AI15" s="36">
        <f>VLOOKUP($A15,[26]HISTOMARS25!$A$6:$CB$51,63,0)</f>
        <v>0</v>
      </c>
      <c r="AJ15" s="36">
        <f>VLOOKUP($A15,[26]HISTOMARS25!$A$6:$BR$51,64,0)</f>
        <v>0</v>
      </c>
      <c r="AK15" s="36">
        <f>VLOOKUP($A15,[26]HISTOMARS25!$A$6:$BR$51,65,0)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VLOOKUP($A16,[26]HISTOMARS25!$A$6:$BA$51,48,0)</f>
        <v>0</v>
      </c>
      <c r="F16" s="36">
        <f>VLOOKUP(A16,MVTFEV25!A16:AM52,6,0)+MVTFEV25!H16-E16+L16</f>
        <v>910093.0861034604</v>
      </c>
      <c r="G16" s="5">
        <f>IF(MVTMARS25!F16&gt;800000,(MVTFEV25!I16-E16+L16),0)</f>
        <v>910093.0861034604</v>
      </c>
      <c r="H16" s="36">
        <f>VLOOKUP(A16,[27]MVTMARS25!$A$6:$AM$42,8,0)</f>
        <v>13338.916976158935</v>
      </c>
      <c r="I16" s="6">
        <f t="shared" si="1"/>
        <v>923432.00307961938</v>
      </c>
      <c r="J16" s="36">
        <f>VLOOKUP($A16,[26]HISTOMARS25!$A$6:$AQ$51,22,0)</f>
        <v>0</v>
      </c>
      <c r="K16" s="36">
        <f>VLOOKUP($A16,[26]HISTOMARS25!$A$6:$AU$51,45,0)</f>
        <v>25000</v>
      </c>
      <c r="L16" s="36">
        <f t="shared" si="2"/>
        <v>19000</v>
      </c>
      <c r="M16" s="36">
        <f t="shared" si="5"/>
        <v>1000</v>
      </c>
      <c r="N16" s="36">
        <f t="shared" si="6"/>
        <v>1000</v>
      </c>
      <c r="O16" s="36">
        <f t="shared" si="7"/>
        <v>4000</v>
      </c>
      <c r="P16" s="36">
        <f>VLOOKUP($A16,[26]HISTOMARS25!$A$6:$AU$51,8,0)</f>
        <v>0</v>
      </c>
      <c r="Q16" s="36">
        <f>VLOOKUP($A16,[26]HISTOMARS25!$A$6:$AU$51,23,0)</f>
        <v>0</v>
      </c>
      <c r="R16" s="36">
        <f>VLOOKUP($A16,[26]HISTOMARS25!$A$6:$AU$51,46,0)</f>
        <v>0</v>
      </c>
      <c r="S16" s="36">
        <f>VLOOKUP($A16,[26]HISTOMARS25!$A$6:$AU$51,26,0)</f>
        <v>0</v>
      </c>
      <c r="T16" s="13">
        <f>VLOOKUP($A16,[26]HISTOMARS25!$A$6:$BG$51,58,0)</f>
        <v>155000</v>
      </c>
      <c r="U16" s="36">
        <f>VLOOKUP($A16,[26]HISTOMARS25!$A$6:$AU$51,28,0)</f>
        <v>0</v>
      </c>
      <c r="V16" s="36">
        <f>VLOOKUP($A16,[26]HISTOMARS25!$A$6:$AU$51,19,0)</f>
        <v>1050000</v>
      </c>
      <c r="W16" s="36">
        <f>VLOOKUP($A16,[26]HISTOMARS25!$A$6:$AU$51,20,0)</f>
        <v>0</v>
      </c>
      <c r="X16" s="36">
        <f>VLOOKUP($A16,[26]HISTOMARS25!$A$6:$AU$51,27,0)</f>
        <v>0</v>
      </c>
      <c r="Y16" s="36">
        <f>VLOOKUP($A16,[26]HISTOMARS25!$A$6:$BM$51,33,0)</f>
        <v>0</v>
      </c>
      <c r="Z16" s="36">
        <f>VLOOKUP($A16,[26]HISTOMARS25!$A$6:$BM$51,64,0)</f>
        <v>0</v>
      </c>
      <c r="AA16" s="36"/>
      <c r="AB16" s="36">
        <f>VLOOKUP($A16,[26]HISTOMARS25!$A$6:$AU$51,44,0)</f>
        <v>0</v>
      </c>
      <c r="AC16" s="36">
        <f>VLOOKUP($A16,[26]HISTOMARS25!$A$6:$AU$51,43,0)</f>
        <v>0</v>
      </c>
      <c r="AD16" s="36">
        <f>VLOOKUP($A16,[26]HISTOMARS25!$A$6:$BR$51,47,0)</f>
        <v>0</v>
      </c>
      <c r="AE16" s="36">
        <f>VLOOKUP(A16,[26]HISTOMARS25!$A$6:$BR$51,54,0)</f>
        <v>0</v>
      </c>
      <c r="AF16" s="36">
        <f>VLOOKUP($A16,[26]HISTOMARS25!$A$6:$BR$51,60,0)</f>
        <v>0</v>
      </c>
      <c r="AG16" s="36">
        <f>VLOOKUP($A16,[26]HISTOMARS25!$A$6:$CB$51,61,0)</f>
        <v>0</v>
      </c>
      <c r="AH16" s="36">
        <f>VLOOKUP($A16,[26]HISTOMARS25!$A$6:$CB$51,62,0)</f>
        <v>0</v>
      </c>
      <c r="AI16" s="36">
        <f>VLOOKUP($A16,[26]HISTOMARS25!$A$6:$CB$51,63,0)</f>
        <v>100000</v>
      </c>
      <c r="AJ16" s="36">
        <f>VLOOKUP($A16,[26]HISTOMARS25!$A$6:$BR$51,64,0)</f>
        <v>0</v>
      </c>
      <c r="AK16" s="36">
        <f>VLOOKUP($A16,[26]HISTOMARS25!$A$6:$BR$51,65,0)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VLOOKUP($A17,[26]HISTOMARS25!$A$6:$BA$51,48,0)</f>
        <v>0</v>
      </c>
      <c r="F17" s="36">
        <f>VLOOKUP(A17,MVTFEV25!A17:AM53,6,0)+MVTFEV25!H17-E17+L17</f>
        <v>1019646.5423857392</v>
      </c>
      <c r="G17" s="5">
        <f>IF(MVTMARS25!F17&gt;800000,(MVTFEV25!I17-E17+L17),0)</f>
        <v>1019646.5423857392</v>
      </c>
      <c r="H17" s="36">
        <f>VLOOKUP(A17,[27]MVTMARS25!$A$6:$AM$42,8,0)</f>
        <v>14944.60377909598</v>
      </c>
      <c r="I17" s="6">
        <f t="shared" si="1"/>
        <v>1034591.1461648351</v>
      </c>
      <c r="J17" s="36">
        <f>VLOOKUP($A17,[26]HISTOMARS25!$A$6:$AQ$51,22,0)</f>
        <v>0</v>
      </c>
      <c r="K17" s="36">
        <f>VLOOKUP($A17,[26]HISTOMARS25!$A$6:$AU$51,45,0)</f>
        <v>50000</v>
      </c>
      <c r="L17" s="36">
        <f t="shared" si="2"/>
        <v>44000</v>
      </c>
      <c r="M17" s="36">
        <f t="shared" si="5"/>
        <v>1000</v>
      </c>
      <c r="N17" s="36">
        <f t="shared" si="6"/>
        <v>1000</v>
      </c>
      <c r="O17" s="36">
        <f t="shared" si="7"/>
        <v>4000</v>
      </c>
      <c r="P17" s="36">
        <f>VLOOKUP($A17,[26]HISTOMARS25!$A$6:$AU$51,8,0)</f>
        <v>0</v>
      </c>
      <c r="Q17" s="36">
        <f>VLOOKUP($A17,[26]HISTOMARS25!$A$6:$AU$51,23,0)</f>
        <v>0</v>
      </c>
      <c r="R17" s="36">
        <f>VLOOKUP($A17,[26]HISTOMARS25!$A$6:$AU$51,46,0)</f>
        <v>0</v>
      </c>
      <c r="S17" s="36">
        <f>VLOOKUP($A17,[26]HISTOMARS25!$A$6:$AU$51,26,0)</f>
        <v>0</v>
      </c>
      <c r="T17" s="36">
        <f>VLOOKUP($A17,[26]HISTOMARS25!$A$6:$BG$51,58,0)</f>
        <v>0</v>
      </c>
      <c r="U17" s="36">
        <f>VLOOKUP($A17,[26]HISTOMARS25!$A$6:$AU$51,28,0)</f>
        <v>0</v>
      </c>
      <c r="V17" s="36">
        <f>VLOOKUP($A17,[26]HISTOMARS25!$A$6:$AU$51,19,0)</f>
        <v>0</v>
      </c>
      <c r="W17" s="36">
        <f>VLOOKUP($A17,[26]HISTOMARS25!$A$6:$AU$51,20,0)</f>
        <v>0</v>
      </c>
      <c r="X17" s="36">
        <f>VLOOKUP($A17,[26]HISTOMARS25!$A$6:$AU$51,27,0)</f>
        <v>0</v>
      </c>
      <c r="Y17" s="36">
        <f>VLOOKUP($A17,[26]HISTOMARS25!$A$6:$BM$51,33,0)</f>
        <v>0</v>
      </c>
      <c r="Z17" s="36">
        <f>VLOOKUP($A17,[26]HISTOMARS25!$A$6:$BM$51,64,0)</f>
        <v>0</v>
      </c>
      <c r="AA17" s="36"/>
      <c r="AB17" s="36">
        <f>VLOOKUP($A17,[26]HISTOMARS25!$A$6:$AU$51,44,0)</f>
        <v>0</v>
      </c>
      <c r="AC17" s="36">
        <f>VLOOKUP($A17,[26]HISTOMARS25!$A$6:$AU$51,43,0)</f>
        <v>0</v>
      </c>
      <c r="AD17" s="36">
        <f>VLOOKUP($A17,[26]HISTOMARS25!$A$6:$BR$51,47,0)</f>
        <v>0</v>
      </c>
      <c r="AE17" s="36">
        <f>VLOOKUP(A17,[26]HISTOMARS25!$A$6:$BR$51,54,0)</f>
        <v>0</v>
      </c>
      <c r="AF17" s="36">
        <f>VLOOKUP($A17,[26]HISTOMARS25!$A$6:$BR$51,60,0)</f>
        <v>0</v>
      </c>
      <c r="AG17" s="36">
        <f>VLOOKUP($A17,[26]HISTOMARS25!$A$6:$CB$51,61,0)</f>
        <v>0</v>
      </c>
      <c r="AH17" s="36">
        <f>VLOOKUP($A17,[26]HISTOMARS25!$A$6:$CB$51,62,0)</f>
        <v>0</v>
      </c>
      <c r="AI17" s="36">
        <f>VLOOKUP($A17,[26]HISTOMARS25!$A$6:$CB$51,63,0)</f>
        <v>0</v>
      </c>
      <c r="AJ17" s="36">
        <f>VLOOKUP($A17,[26]HISTOMARS25!$A$6:$BR$51,64,0)</f>
        <v>0</v>
      </c>
      <c r="AK17" s="36">
        <f>VLOOKUP($A17,[26]HISTOMARS25!$A$6:$BR$51,65,0)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VLOOKUP($A18,[26]HISTOMARS25!$A$6:$BA$51,48,0)</f>
        <v>0</v>
      </c>
      <c r="F18" s="36">
        <f>VLOOKUP(A18,MVTFEV25!A18:AM54,6,0)+MVTFEV25!H18-E18+L18</f>
        <v>909258.28173415526</v>
      </c>
      <c r="G18" s="5">
        <f>IF(MVTMARS25!F18&gt;800000,(MVTFEV25!I18-E18+L18),0)</f>
        <v>909258.28173415526</v>
      </c>
      <c r="H18" s="36">
        <f>VLOOKUP(A18,[27]MVTMARS25!$A$6:$AM$42,8,0)</f>
        <v>13326.68153964862</v>
      </c>
      <c r="I18" s="6">
        <f t="shared" si="1"/>
        <v>922584.96327380394</v>
      </c>
      <c r="J18" s="36">
        <f>VLOOKUP($A18,[26]HISTOMARS25!$A$6:$AQ$51,22,0)</f>
        <v>0</v>
      </c>
      <c r="K18" s="36">
        <f>VLOOKUP($A18,[26]HISTOMARS25!$A$6:$AU$51,45,0)</f>
        <v>25000</v>
      </c>
      <c r="L18" s="36">
        <f t="shared" si="2"/>
        <v>19000</v>
      </c>
      <c r="M18" s="36">
        <f t="shared" si="5"/>
        <v>1000</v>
      </c>
      <c r="N18" s="36">
        <f t="shared" si="6"/>
        <v>1000</v>
      </c>
      <c r="O18" s="36">
        <f t="shared" si="7"/>
        <v>4000</v>
      </c>
      <c r="P18" s="36">
        <f>VLOOKUP($A18,[26]HISTOMARS25!$A$6:$AU$51,8,0)</f>
        <v>0</v>
      </c>
      <c r="Q18" s="36">
        <f>VLOOKUP($A18,[26]HISTOMARS25!$A$6:$AU$51,23,0)</f>
        <v>0</v>
      </c>
      <c r="R18" s="36">
        <f>VLOOKUP($A18,[26]HISTOMARS25!$A$6:$AU$51,46,0)</f>
        <v>0</v>
      </c>
      <c r="S18" s="36">
        <f>VLOOKUP($A18,[26]HISTOMARS25!$A$6:$AU$51,26,0)</f>
        <v>0</v>
      </c>
      <c r="T18" s="36">
        <f>VLOOKUP($A18,[26]HISTOMARS25!$A$6:$BG$51,58,0)</f>
        <v>0</v>
      </c>
      <c r="U18" s="36">
        <f>VLOOKUP($A18,[26]HISTOMARS25!$A$6:$AU$51,28,0)</f>
        <v>0</v>
      </c>
      <c r="V18" s="36">
        <f>VLOOKUP($A18,[26]HISTOMARS25!$A$6:$AU$51,19,0)</f>
        <v>0</v>
      </c>
      <c r="W18" s="36">
        <f>VLOOKUP($A18,[26]HISTOMARS25!$A$6:$AU$51,20,0)</f>
        <v>0</v>
      </c>
      <c r="X18" s="36">
        <f>VLOOKUP($A18,[26]HISTOMARS25!$A$6:$AU$51,27,0)</f>
        <v>0</v>
      </c>
      <c r="Y18" s="36">
        <f>VLOOKUP($A18,[26]HISTOMARS25!$A$6:$BM$51,33,0)</f>
        <v>0</v>
      </c>
      <c r="Z18" s="36">
        <f>VLOOKUP($A18,[26]HISTOMARS25!$A$6:$BM$51,64,0)</f>
        <v>0</v>
      </c>
      <c r="AA18" s="36"/>
      <c r="AB18" s="36">
        <f>VLOOKUP($A18,[26]HISTOMARS25!$A$6:$AU$51,44,0)</f>
        <v>0</v>
      </c>
      <c r="AC18" s="36">
        <f>VLOOKUP($A18,[26]HISTOMARS25!$A$6:$AU$51,43,0)</f>
        <v>0</v>
      </c>
      <c r="AD18" s="36">
        <f>VLOOKUP($A18,[26]HISTOMARS25!$A$6:$BR$51,47,0)</f>
        <v>0</v>
      </c>
      <c r="AE18" s="36">
        <f>VLOOKUP(A18,[26]HISTOMARS25!$A$6:$BR$51,54,0)</f>
        <v>0</v>
      </c>
      <c r="AF18" s="36">
        <f>VLOOKUP($A18,[26]HISTOMARS25!$A$6:$BR$51,60,0)</f>
        <v>0</v>
      </c>
      <c r="AG18" s="36">
        <f>VLOOKUP($A18,[26]HISTOMARS25!$A$6:$CB$51,61,0)</f>
        <v>0</v>
      </c>
      <c r="AH18" s="36">
        <f>VLOOKUP($A18,[26]HISTOMARS25!$A$6:$CB$51,62,0)</f>
        <v>0</v>
      </c>
      <c r="AI18" s="36">
        <f>VLOOKUP($A18,[26]HISTOMARS25!$A$6:$CB$51,63,0)</f>
        <v>0</v>
      </c>
      <c r="AJ18" s="36">
        <f>VLOOKUP($A18,[26]HISTOMARS25!$A$6:$BR$51,64,0)</f>
        <v>0</v>
      </c>
      <c r="AK18" s="36">
        <f>VLOOKUP($A18,[26]HISTOMARS25!$A$6:$BR$51,65,0)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VLOOKUP($A19,[26]HISTOMARS25!$A$6:$BA$51,48,0)</f>
        <v>0</v>
      </c>
      <c r="F19" s="36">
        <f>VLOOKUP(A19,MVTFEV25!A19:AM55,6,0)+MVTFEV25!H19-E19+L19</f>
        <v>944644.23889534059</v>
      </c>
      <c r="G19" s="5">
        <f>IF(MVTMARS25!F19&gt;800000,(MVTFEV25!I19-E19+L19),0)</f>
        <v>944644.23889534059</v>
      </c>
      <c r="H19" s="36">
        <f>VLOOKUP(A19,[27]MVTMARS25!$A$6:$AM$42,8,0)</f>
        <v>13845.321173222663</v>
      </c>
      <c r="I19" s="6">
        <f t="shared" si="1"/>
        <v>958489.56006856321</v>
      </c>
      <c r="J19" s="36">
        <f>VLOOKUP($A19,[26]HISTOMARS25!$A$6:$AQ$51,22,0)</f>
        <v>0</v>
      </c>
      <c r="K19" s="36">
        <f>VLOOKUP($A19,[26]HISTOMARS25!$A$6:$AU$51,45,0)</f>
        <v>36500</v>
      </c>
      <c r="L19" s="36">
        <f t="shared" si="2"/>
        <v>30500</v>
      </c>
      <c r="M19" s="36">
        <f t="shared" si="5"/>
        <v>1000</v>
      </c>
      <c r="N19" s="36">
        <f t="shared" si="6"/>
        <v>1000</v>
      </c>
      <c r="O19" s="36">
        <f t="shared" si="7"/>
        <v>4000</v>
      </c>
      <c r="P19" s="36">
        <f>VLOOKUP($A19,[26]HISTOMARS25!$A$6:$AU$51,8,0)</f>
        <v>0</v>
      </c>
      <c r="Q19" s="36">
        <f>VLOOKUP($A19,[26]HISTOMARS25!$A$6:$AU$51,23,0)</f>
        <v>0</v>
      </c>
      <c r="R19" s="36">
        <f>VLOOKUP($A19,[26]HISTOMARS25!$A$6:$AU$51,46,0)</f>
        <v>0</v>
      </c>
      <c r="S19" s="36">
        <f>VLOOKUP($A19,[26]HISTOMARS25!$A$6:$AU$51,26,0)</f>
        <v>0</v>
      </c>
      <c r="T19" s="36">
        <f>VLOOKUP($A19,[26]HISTOMARS25!$A$6:$BG$51,58,0)</f>
        <v>0</v>
      </c>
      <c r="U19" s="36">
        <f>VLOOKUP($A19,[26]HISTOMARS25!$A$6:$AU$51,28,0)</f>
        <v>0</v>
      </c>
      <c r="V19" s="36">
        <f>VLOOKUP($A19,[26]HISTOMARS25!$A$6:$AU$51,19,0)</f>
        <v>0</v>
      </c>
      <c r="W19" s="36">
        <f>VLOOKUP($A19,[26]HISTOMARS25!$A$6:$AU$51,20,0)</f>
        <v>0</v>
      </c>
      <c r="X19" s="36">
        <f>VLOOKUP($A19,[26]HISTOMARS25!$A$6:$AU$51,27,0)</f>
        <v>0</v>
      </c>
      <c r="Y19" s="36">
        <f>VLOOKUP($A19,[26]HISTOMARS25!$A$6:$BM$51,33,0)</f>
        <v>0</v>
      </c>
      <c r="Z19" s="36">
        <f>VLOOKUP($A19,[26]HISTOMARS25!$A$6:$BM$51,64,0)</f>
        <v>0</v>
      </c>
      <c r="AA19" s="36"/>
      <c r="AB19" s="36">
        <f>VLOOKUP($A19,[26]HISTOMARS25!$A$6:$AU$51,44,0)</f>
        <v>0</v>
      </c>
      <c r="AC19" s="36">
        <f>VLOOKUP($A19,[26]HISTOMARS25!$A$6:$AU$51,43,0)</f>
        <v>0</v>
      </c>
      <c r="AD19" s="36">
        <f>VLOOKUP($A19,[26]HISTOMARS25!$A$6:$BR$51,47,0)</f>
        <v>0</v>
      </c>
      <c r="AE19" s="36">
        <f>VLOOKUP(A19,[26]HISTOMARS25!$A$6:$BR$51,54,0)</f>
        <v>0</v>
      </c>
      <c r="AF19" s="36">
        <f>VLOOKUP($A19,[26]HISTOMARS25!$A$6:$BR$51,60,0)</f>
        <v>0</v>
      </c>
      <c r="AG19" s="36">
        <f>VLOOKUP($A19,[26]HISTOMARS25!$A$6:$CB$51,61,0)</f>
        <v>0</v>
      </c>
      <c r="AH19" s="36">
        <f>VLOOKUP($A19,[26]HISTOMARS25!$A$6:$CB$51,62,0)</f>
        <v>0</v>
      </c>
      <c r="AI19" s="36">
        <f>VLOOKUP($A19,[26]HISTOMARS25!$A$6:$CB$51,63,0)</f>
        <v>0</v>
      </c>
      <c r="AJ19" s="36">
        <f>VLOOKUP($A19,[26]HISTOMARS25!$A$6:$BR$51,64,0)</f>
        <v>0</v>
      </c>
      <c r="AK19" s="36">
        <f>VLOOKUP($A19,[26]HISTOMARS25!$A$6:$BR$51,65,0)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VLOOKUP($A20,[26]HISTOMARS25!$A$6:$BA$51,48,0)</f>
        <v>0</v>
      </c>
      <c r="F20" s="36">
        <f>VLOOKUP(A20,MVTFEV25!A20:AM56,6,0)+MVTFEV25!H20-E20+L20</f>
        <v>0</v>
      </c>
      <c r="G20" s="5">
        <f>IF(MVTMARS25!F20&gt;800000,(MVTFEV25!I20-E20+L20),0)</f>
        <v>0</v>
      </c>
      <c r="H20" s="36">
        <f>VLOOKUP(A20,[27]MVTMARS25!$A$6:$AM$42,8,0)</f>
        <v>0</v>
      </c>
      <c r="I20" s="6">
        <f t="shared" ref="I20" si="8">F20+H20</f>
        <v>0</v>
      </c>
      <c r="J20" s="36">
        <f>VLOOKUP($A20,[26]HISTOMARS25!$A$6:$AQ$51,22,0)</f>
        <v>0</v>
      </c>
      <c r="K20" s="36">
        <f>VLOOKUP($A20,[26]HISTOMARS25!$A$6:$AU$51,45,0)</f>
        <v>0</v>
      </c>
      <c r="L20" s="36">
        <f t="shared" ref="L20" si="9">IF(K20=0,0,K20-(M20+N20+O20))</f>
        <v>0</v>
      </c>
      <c r="M20" s="36">
        <f t="shared" ref="M20" si="10">IF(K20=0,0,1000)</f>
        <v>0</v>
      </c>
      <c r="N20" s="36">
        <f t="shared" ref="N20" si="11">IF(K20=0,0,1000)</f>
        <v>0</v>
      </c>
      <c r="O20" s="36">
        <f t="shared" ref="O20" si="12">IF(K20=0,0,4000)</f>
        <v>0</v>
      </c>
      <c r="P20" s="36">
        <f>VLOOKUP($A20,[26]HISTOMARS25!$A$6:$AU$51,8,0)</f>
        <v>0</v>
      </c>
      <c r="Q20" s="36">
        <f>VLOOKUP($A20,[26]HISTOMARS25!$A$6:$AU$51,23,0)</f>
        <v>0</v>
      </c>
      <c r="R20" s="36">
        <f>VLOOKUP($A20,[26]HISTOMARS25!$A$6:$AU$51,46,0)</f>
        <v>0</v>
      </c>
      <c r="S20" s="36">
        <f>VLOOKUP($A20,[26]HISTOMARS25!$A$6:$AU$51,26,0)</f>
        <v>0</v>
      </c>
      <c r="T20" s="36">
        <f>VLOOKUP($A20,[26]HISTOMARS25!$A$6:$BG$51,58,0)</f>
        <v>0</v>
      </c>
      <c r="U20" s="36">
        <f>VLOOKUP($A20,[26]HISTOMARS25!$A$6:$AU$51,28,0)</f>
        <v>0</v>
      </c>
      <c r="V20" s="36">
        <f>VLOOKUP($A20,[26]HISTOMARS25!$A$6:$AU$51,19,0)</f>
        <v>0</v>
      </c>
      <c r="W20" s="36">
        <f>VLOOKUP($A20,[26]HISTOMARS25!$A$6:$AU$51,20,0)</f>
        <v>0</v>
      </c>
      <c r="X20" s="36">
        <f>VLOOKUP($A20,[26]HISTOMARS25!$A$6:$AU$51,27,0)</f>
        <v>0</v>
      </c>
      <c r="Y20" s="36">
        <f>VLOOKUP($A20,[26]HISTOMARS25!$A$6:$BM$51,33,0)</f>
        <v>0</v>
      </c>
      <c r="Z20" s="36">
        <f>VLOOKUP($A20,[26]HISTOMARS25!$A$6:$BM$51,64,0)</f>
        <v>0</v>
      </c>
      <c r="AA20" s="36"/>
      <c r="AB20" s="36">
        <f>VLOOKUP($A20,[26]HISTOMARS25!$A$6:$AU$51,44,0)</f>
        <v>0</v>
      </c>
      <c r="AC20" s="36">
        <f>VLOOKUP($A20,[26]HISTOMARS25!$A$6:$AU$51,43,0)</f>
        <v>0</v>
      </c>
      <c r="AD20" s="36">
        <f>VLOOKUP($A20,[26]HISTOMARS25!$A$6:$BR$51,47,0)</f>
        <v>0</v>
      </c>
      <c r="AE20" s="36">
        <f>VLOOKUP(A20,[26]HISTOMARS25!$A$6:$BR$51,54,0)</f>
        <v>0</v>
      </c>
      <c r="AF20" s="36">
        <f>VLOOKUP($A20,[26]HISTOMARS25!$A$6:$BR$51,60,0)</f>
        <v>0</v>
      </c>
      <c r="AG20" s="36">
        <f>VLOOKUP($A20,[26]HISTOMARS25!$A$6:$CB$51,61,0)</f>
        <v>0</v>
      </c>
      <c r="AH20" s="36">
        <f>VLOOKUP($A20,[26]HISTOMARS25!$A$6:$CB$51,62,0)</f>
        <v>0</v>
      </c>
      <c r="AI20" s="36">
        <f>VLOOKUP($A20,[26]HISTOMARS25!$A$6:$CB$51,63,0)</f>
        <v>0</v>
      </c>
      <c r="AJ20" s="36">
        <f>VLOOKUP($A20,[26]HISTOMARS25!$A$6:$BR$51,64,0)</f>
        <v>0</v>
      </c>
      <c r="AK20" s="36">
        <f>VLOOKUP($A20,[26]HISTOMARS25!$A$6:$BR$51,65,0)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VLOOKUP($A21,[26]HISTOMARS25!$A$6:$BA$51,48,0)</f>
        <v>0</v>
      </c>
      <c r="F21" s="36">
        <f>VLOOKUP(A21,MVTFEV25!A21:AM56,6,0)+MVTFEV25!H21-E21+L21</f>
        <v>1062645.7593595227</v>
      </c>
      <c r="G21" s="5">
        <f>IF(MVTMARS25!F21&gt;800000,(MVTFEV25!I21-E21+L21),0)</f>
        <v>1062645.7593595227</v>
      </c>
      <c r="H21" s="36">
        <f>VLOOKUP(A21,[27]MVTMARS25!$A$6:$AM$42,8,0)</f>
        <v>15574.82830668671</v>
      </c>
      <c r="I21" s="6">
        <f t="shared" si="1"/>
        <v>1078220.5876662093</v>
      </c>
      <c r="J21" s="36">
        <f>VLOOKUP($A21,[26]HISTOMARS25!$A$6:$AQ$51,22,0)</f>
        <v>0</v>
      </c>
      <c r="K21" s="36">
        <f>VLOOKUP($A21,[26]HISTOMARS25!$A$6:$AU$51,45,0)</f>
        <v>25000</v>
      </c>
      <c r="L21" s="36">
        <f t="shared" si="2"/>
        <v>19000</v>
      </c>
      <c r="M21" s="36">
        <f t="shared" si="5"/>
        <v>1000</v>
      </c>
      <c r="N21" s="36">
        <f t="shared" si="6"/>
        <v>1000</v>
      </c>
      <c r="O21" s="36">
        <f t="shared" si="7"/>
        <v>4000</v>
      </c>
      <c r="P21" s="36">
        <f>VLOOKUP($A21,[26]HISTOMARS25!$A$6:$AU$51,8,0)</f>
        <v>0</v>
      </c>
      <c r="Q21" s="36">
        <f>VLOOKUP($A21,[26]HISTOMARS25!$A$6:$AU$51,23,0)</f>
        <v>0</v>
      </c>
      <c r="R21" s="36">
        <f>VLOOKUP($A21,[26]HISTOMARS25!$A$6:$AU$51,46,0)</f>
        <v>0</v>
      </c>
      <c r="S21" s="36">
        <f>VLOOKUP($A21,[26]HISTOMARS25!$A$6:$AU$51,26,0)</f>
        <v>0</v>
      </c>
      <c r="T21" s="36">
        <f>VLOOKUP($A21,[26]HISTOMARS25!$A$6:$BG$51,58,0)</f>
        <v>0</v>
      </c>
      <c r="U21" s="36">
        <f>VLOOKUP($A21,[26]HISTOMARS25!$A$6:$AU$51,28,0)</f>
        <v>0</v>
      </c>
      <c r="V21" s="36">
        <f>VLOOKUP($A21,[26]HISTOMARS25!$A$6:$AU$51,19,0)</f>
        <v>0</v>
      </c>
      <c r="W21" s="36">
        <f>VLOOKUP($A21,[26]HISTOMARS25!$A$6:$AU$51,20,0)</f>
        <v>0</v>
      </c>
      <c r="X21" s="36">
        <f>VLOOKUP($A21,[26]HISTOMARS25!$A$6:$AU$51,27,0)</f>
        <v>0</v>
      </c>
      <c r="Y21" s="36">
        <f>VLOOKUP($A21,[26]HISTOMARS25!$A$6:$BM$51,33,0)</f>
        <v>0</v>
      </c>
      <c r="Z21" s="36">
        <f>VLOOKUP($A21,[26]HISTOMARS25!$A$6:$BM$51,64,0)</f>
        <v>0</v>
      </c>
      <c r="AA21" s="36"/>
      <c r="AB21" s="36">
        <f>VLOOKUP($A21,[26]HISTOMARS25!$A$6:$AU$51,44,0)</f>
        <v>0</v>
      </c>
      <c r="AC21" s="36">
        <f>VLOOKUP($A21,[26]HISTOMARS25!$A$6:$AU$51,43,0)</f>
        <v>0</v>
      </c>
      <c r="AD21" s="36">
        <f>VLOOKUP($A21,[26]HISTOMARS25!$A$6:$BR$51,47,0)</f>
        <v>0</v>
      </c>
      <c r="AE21" s="36">
        <f>VLOOKUP(A21,[26]HISTOMARS25!$A$6:$BR$51,54,0)</f>
        <v>0</v>
      </c>
      <c r="AF21" s="36">
        <f>VLOOKUP($A21,[26]HISTOMARS25!$A$6:$BR$51,60,0)</f>
        <v>0</v>
      </c>
      <c r="AG21" s="36">
        <f>VLOOKUP($A21,[26]HISTOMARS25!$A$6:$CB$51,61,0)</f>
        <v>0</v>
      </c>
      <c r="AH21" s="36">
        <f>VLOOKUP($A21,[26]HISTOMARS25!$A$6:$CB$51,62,0)</f>
        <v>0</v>
      </c>
      <c r="AI21" s="36">
        <f>VLOOKUP($A21,[26]HISTOMARS25!$A$6:$CB$51,63,0)</f>
        <v>0</v>
      </c>
      <c r="AJ21" s="36">
        <f>VLOOKUP($A21,[26]HISTOMARS25!$A$6:$BR$51,64,0)</f>
        <v>0</v>
      </c>
      <c r="AK21" s="36">
        <f>VLOOKUP($A21,[26]HISTOMARS25!$A$6:$BR$51,65,0)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VLOOKUP($A22,[26]HISTOMARS25!$A$6:$BA$51,48,0)</f>
        <v>0</v>
      </c>
      <c r="F22" s="36">
        <f>VLOOKUP(A22,MVTFEV25!A22:AM57,6,0)+MVTFEV25!H22-E22+L22</f>
        <v>911528.10424715211</v>
      </c>
      <c r="G22" s="5">
        <f>IF(MVTMARS25!F22&gt;800000,(MVTFEV25!I22-E22+L22),0)</f>
        <v>911528.10424715211</v>
      </c>
      <c r="H22" s="36">
        <f>VLOOKUP(A22,[27]MVTMARS25!$A$6:$AM$42,8,0)</f>
        <v>13359.949536641227</v>
      </c>
      <c r="I22" s="6">
        <f t="shared" si="1"/>
        <v>924888.05378379335</v>
      </c>
      <c r="J22" s="36">
        <f>VLOOKUP($A22,[26]HISTOMARS25!$A$6:$AQ$51,22,0)</f>
        <v>0</v>
      </c>
      <c r="K22" s="36">
        <f>VLOOKUP($A22,[26]HISTOMARS25!$A$6:$AU$51,45,0)</f>
        <v>25000</v>
      </c>
      <c r="L22" s="36">
        <f t="shared" si="2"/>
        <v>19000</v>
      </c>
      <c r="M22" s="36">
        <f t="shared" si="5"/>
        <v>1000</v>
      </c>
      <c r="N22" s="36">
        <f t="shared" si="6"/>
        <v>1000</v>
      </c>
      <c r="O22" s="36">
        <f t="shared" si="7"/>
        <v>4000</v>
      </c>
      <c r="P22" s="36">
        <f>VLOOKUP($A22,[26]HISTOMARS25!$A$6:$AU$51,8,0)</f>
        <v>0</v>
      </c>
      <c r="Q22" s="36">
        <f>VLOOKUP($A22,[26]HISTOMARS25!$A$6:$AU$51,23,0)</f>
        <v>0</v>
      </c>
      <c r="R22" s="36">
        <f>VLOOKUP($A22,[26]HISTOMARS25!$A$6:$AU$51,46,0)</f>
        <v>0</v>
      </c>
      <c r="S22" s="36">
        <f>VLOOKUP($A22,[26]HISTOMARS25!$A$6:$AU$51,26,0)</f>
        <v>1000000</v>
      </c>
      <c r="T22" s="36">
        <f>VLOOKUP($A22,[26]HISTOMARS25!$A$6:$BG$51,58,0)</f>
        <v>30000</v>
      </c>
      <c r="U22" s="36">
        <f>VLOOKUP($A22,[26]HISTOMARS25!$A$6:$AU$51,28,0)</f>
        <v>0</v>
      </c>
      <c r="V22" s="36">
        <f>VLOOKUP($A22,[26]HISTOMARS25!$A$6:$AU$51,19,0)</f>
        <v>1000000</v>
      </c>
      <c r="W22" s="36" t="str">
        <f>VLOOKUP($A22,[26]HISTOMARS25!$A$6:$AU$51,20,0)</f>
        <v>AUTRES</v>
      </c>
      <c r="X22" s="36">
        <f>VLOOKUP($A22,[26]HISTOMARS25!$A$6:$AU$51,27,0)</f>
        <v>0</v>
      </c>
      <c r="Y22" s="36">
        <f>VLOOKUP($A22,[26]HISTOMARS25!$A$6:$BM$51,33,0)</f>
        <v>0</v>
      </c>
      <c r="Z22" s="36">
        <f>VLOOKUP($A22,[26]HISTOMARS25!$A$6:$BM$51,64,0)</f>
        <v>0</v>
      </c>
      <c r="AA22" s="36"/>
      <c r="AB22" s="36">
        <f>VLOOKUP($A22,[26]HISTOMARS25!$A$6:$AU$51,44,0)</f>
        <v>0</v>
      </c>
      <c r="AC22" s="36">
        <f>VLOOKUP($A22,[26]HISTOMARS25!$A$6:$AU$51,43,0)</f>
        <v>0</v>
      </c>
      <c r="AD22" s="36">
        <f>VLOOKUP($A22,[26]HISTOMARS25!$A$6:$BR$51,47,0)</f>
        <v>0</v>
      </c>
      <c r="AE22" s="36">
        <f>VLOOKUP(A22,[26]HISTOMARS25!$A$6:$BR$51,54,0)</f>
        <v>0</v>
      </c>
      <c r="AF22" s="36">
        <f>VLOOKUP($A22,[26]HISTOMARS25!$A$6:$BR$51,60,0)</f>
        <v>0</v>
      </c>
      <c r="AG22" s="36">
        <f>VLOOKUP($A22,[26]HISTOMARS25!$A$6:$CB$51,61,0)</f>
        <v>0</v>
      </c>
      <c r="AH22" s="36">
        <f>VLOOKUP($A22,[26]HISTOMARS25!$A$6:$CB$51,62,0)</f>
        <v>0</v>
      </c>
      <c r="AI22" s="36">
        <f>VLOOKUP($A22,[26]HISTOMARS25!$A$6:$CB$51,63,0)</f>
        <v>0</v>
      </c>
      <c r="AJ22" s="36">
        <f>VLOOKUP($A22,[26]HISTOMARS25!$A$6:$BR$51,64,0)</f>
        <v>0</v>
      </c>
      <c r="AK22" s="36">
        <f>VLOOKUP($A22,[26]HISTOMARS25!$A$6:$BR$51,65,0)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VLOOKUP($A23,[26]HISTOMARS25!$A$6:$BA$51,48,0)</f>
        <v>0</v>
      </c>
      <c r="F23" s="36">
        <f>VLOOKUP(A23,MVTFEV25!A23:AM58,6,0)+MVTFEV25!H23-E23+L23</f>
        <v>910807.42503213172</v>
      </c>
      <c r="G23" s="5">
        <f>IF(MVTMARS25!F23&gt;800000,(MVTFEV25!I23-E23+L23),0)</f>
        <v>910807.42503213172</v>
      </c>
      <c r="H23" s="36">
        <f>VLOOKUP(A23,[27]MVTMARS25!$A$6:$AM$42,8,0)</f>
        <v>13349.38679271713</v>
      </c>
      <c r="I23" s="6">
        <f t="shared" si="1"/>
        <v>924156.81182484888</v>
      </c>
      <c r="J23" s="36">
        <f>VLOOKUP($A23,[26]HISTOMARS25!$A$6:$AQ$51,22,0)</f>
        <v>0</v>
      </c>
      <c r="K23" s="36">
        <f>VLOOKUP($A23,[26]HISTOMARS25!$A$6:$AU$51,45,0)</f>
        <v>25000</v>
      </c>
      <c r="L23" s="36">
        <f t="shared" si="2"/>
        <v>19000</v>
      </c>
      <c r="M23" s="36">
        <f t="shared" si="5"/>
        <v>1000</v>
      </c>
      <c r="N23" s="36">
        <f t="shared" si="6"/>
        <v>1000</v>
      </c>
      <c r="O23" s="36">
        <f t="shared" si="7"/>
        <v>4000</v>
      </c>
      <c r="P23" s="36">
        <f>VLOOKUP($A23,[26]HISTOMARS25!$A$6:$AU$51,8,0)</f>
        <v>0</v>
      </c>
      <c r="Q23" s="36">
        <f>VLOOKUP($A23,[26]HISTOMARS25!$A$6:$AU$51,23,0)</f>
        <v>0</v>
      </c>
      <c r="R23" s="36">
        <f>VLOOKUP($A23,[26]HISTOMARS25!$A$6:$AU$51,46,0)</f>
        <v>0</v>
      </c>
      <c r="S23" s="36">
        <f>VLOOKUP($A23,[26]HISTOMARS25!$A$6:$AU$51,26,0)</f>
        <v>0</v>
      </c>
      <c r="T23" s="36">
        <f>VLOOKUP($A23,[26]HISTOMARS25!$A$6:$BG$51,58,0)</f>
        <v>0</v>
      </c>
      <c r="U23" s="36">
        <f>VLOOKUP($A23,[26]HISTOMARS25!$A$6:$AU$51,28,0)</f>
        <v>0</v>
      </c>
      <c r="V23" s="36">
        <f>VLOOKUP($A23,[26]HISTOMARS25!$A$6:$AU$51,19,0)</f>
        <v>0</v>
      </c>
      <c r="W23" s="36">
        <f>VLOOKUP($A23,[26]HISTOMARS25!$A$6:$AU$51,20,0)</f>
        <v>0</v>
      </c>
      <c r="X23" s="36">
        <f>VLOOKUP($A23,[26]HISTOMARS25!$A$6:$AU$51,27,0)</f>
        <v>0</v>
      </c>
      <c r="Y23" s="36">
        <f>VLOOKUP($A23,[26]HISTOMARS25!$A$6:$BM$51,33,0)</f>
        <v>0</v>
      </c>
      <c r="Z23" s="36">
        <f>VLOOKUP($A23,[26]HISTOMARS25!$A$6:$BM$51,64,0)</f>
        <v>0</v>
      </c>
      <c r="AA23" s="36"/>
      <c r="AB23" s="36">
        <f>VLOOKUP($A23,[26]HISTOMARS25!$A$6:$AU$51,44,0)</f>
        <v>0</v>
      </c>
      <c r="AC23" s="36">
        <f>VLOOKUP($A23,[26]HISTOMARS25!$A$6:$AU$51,43,0)</f>
        <v>0</v>
      </c>
      <c r="AD23" s="36">
        <f>VLOOKUP($A23,[26]HISTOMARS25!$A$6:$BR$51,47,0)</f>
        <v>0</v>
      </c>
      <c r="AE23" s="36">
        <f>VLOOKUP(A23,[26]HISTOMARS25!$A$6:$BR$51,54,0)</f>
        <v>0</v>
      </c>
      <c r="AF23" s="36">
        <f>VLOOKUP($A23,[26]HISTOMARS25!$A$6:$BR$51,60,0)</f>
        <v>0</v>
      </c>
      <c r="AG23" s="36">
        <f>VLOOKUP($A23,[26]HISTOMARS25!$A$6:$CB$51,61,0)</f>
        <v>0</v>
      </c>
      <c r="AH23" s="36">
        <f>VLOOKUP($A23,[26]HISTOMARS25!$A$6:$CB$51,62,0)</f>
        <v>0</v>
      </c>
      <c r="AI23" s="36">
        <f>VLOOKUP($A23,[26]HISTOMARS25!$A$6:$CB$51,63,0)</f>
        <v>0</v>
      </c>
      <c r="AJ23" s="36">
        <f>VLOOKUP($A23,[26]HISTOMARS25!$A$6:$BR$51,64,0)</f>
        <v>0</v>
      </c>
      <c r="AK23" s="36">
        <f>VLOOKUP($A23,[26]HISTOMARS25!$A$6:$BR$51,65,0)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VLOOKUP($A24,[26]HISTOMARS25!$A$6:$BA$51,48,0)</f>
        <v>600000</v>
      </c>
      <c r="F24" s="36">
        <f>VLOOKUP(A24,MVTFEV25!A24:AM59,6,0)+MVTFEV25!H24-E24+L24</f>
        <v>858698.23857744434</v>
      </c>
      <c r="G24" s="5">
        <f>IF(MVTMARS25!F24&gt;800000,(MVTFEV25!I24-E24+L24),0)</f>
        <v>858698.23857744434</v>
      </c>
      <c r="H24" s="36">
        <f>VLOOKUP(A24,[27]MVTMARS25!$A$6:$AM$42,8,0)</f>
        <v>12585.640619465526</v>
      </c>
      <c r="I24" s="6">
        <f t="shared" si="1"/>
        <v>871283.87919690984</v>
      </c>
      <c r="J24" s="36">
        <f>VLOOKUP($A24,[26]HISTOMARS25!$A$6:$AQ$51,22,0)</f>
        <v>0</v>
      </c>
      <c r="K24" s="36">
        <f>VLOOKUP($A24,[26]HISTOMARS25!$A$6:$AU$51,45,0)</f>
        <v>25000</v>
      </c>
      <c r="L24" s="36">
        <f t="shared" si="2"/>
        <v>19000</v>
      </c>
      <c r="M24" s="36">
        <f t="shared" si="5"/>
        <v>1000</v>
      </c>
      <c r="N24" s="36">
        <f t="shared" si="6"/>
        <v>1000</v>
      </c>
      <c r="O24" s="36">
        <f t="shared" si="7"/>
        <v>4000</v>
      </c>
      <c r="P24" s="36">
        <f>VLOOKUP($A24,[26]HISTOMARS25!$A$6:$AU$51,8,0)</f>
        <v>0</v>
      </c>
      <c r="Q24" s="36">
        <f>VLOOKUP($A24,[26]HISTOMARS25!$A$6:$AU$51,23,0)</f>
        <v>0</v>
      </c>
      <c r="R24" s="36">
        <f>VLOOKUP($A24,[26]HISTOMARS25!$A$6:$AU$51,46,0)</f>
        <v>0</v>
      </c>
      <c r="S24" s="36">
        <f>VLOOKUP($A24,[26]HISTOMARS25!$A$6:$AU$51,26,0)</f>
        <v>0</v>
      </c>
      <c r="T24" s="36">
        <f>VLOOKUP($A24,[26]HISTOMARS25!$A$6:$BG$51,58,0)</f>
        <v>0</v>
      </c>
      <c r="U24" s="36">
        <f>VLOOKUP($A24,[26]HISTOMARS25!$A$6:$AU$51,28,0)</f>
        <v>0</v>
      </c>
      <c r="V24" s="36">
        <f>VLOOKUP($A24,[26]HISTOMARS25!$A$6:$AU$51,19,0)</f>
        <v>0</v>
      </c>
      <c r="W24" s="36">
        <f>VLOOKUP($A24,[26]HISTOMARS25!$A$6:$AU$51,20,0)</f>
        <v>0</v>
      </c>
      <c r="X24" s="36">
        <f>VLOOKUP($A24,[26]HISTOMARS25!$A$6:$AU$51,27,0)</f>
        <v>0</v>
      </c>
      <c r="Y24" s="36">
        <f>VLOOKUP($A24,[26]HISTOMARS25!$A$6:$BM$51,33,0)</f>
        <v>0</v>
      </c>
      <c r="Z24" s="36">
        <f>VLOOKUP($A24,[26]HISTOMARS25!$A$6:$BM$51,64,0)</f>
        <v>0</v>
      </c>
      <c r="AA24" s="36"/>
      <c r="AB24" s="36">
        <f>VLOOKUP($A24,[26]HISTOMARS25!$A$6:$AU$51,44,0)</f>
        <v>0</v>
      </c>
      <c r="AC24" s="36">
        <f>VLOOKUP($A24,[26]HISTOMARS25!$A$6:$AU$51,43,0)</f>
        <v>0</v>
      </c>
      <c r="AD24" s="36">
        <f>VLOOKUP($A24,[26]HISTOMARS25!$A$6:$BR$51,47,0)</f>
        <v>0</v>
      </c>
      <c r="AE24" s="36">
        <f>VLOOKUP(A24,[26]HISTOMARS25!$A$6:$BR$51,54,0)</f>
        <v>0</v>
      </c>
      <c r="AF24" s="36">
        <f>VLOOKUP($A24,[26]HISTOMARS25!$A$6:$BR$51,60,0)</f>
        <v>0</v>
      </c>
      <c r="AG24" s="36">
        <f>VLOOKUP($A24,[26]HISTOMARS25!$A$6:$CB$51,61,0)</f>
        <v>0</v>
      </c>
      <c r="AH24" s="36">
        <f>VLOOKUP($A24,[26]HISTOMARS25!$A$6:$CB$51,62,0)</f>
        <v>0</v>
      </c>
      <c r="AI24" s="36">
        <f>VLOOKUP($A24,[26]HISTOMARS25!$A$6:$CB$51,63,0)</f>
        <v>0</v>
      </c>
      <c r="AJ24" s="36">
        <f>VLOOKUP($A24,[26]HISTOMARS25!$A$6:$BR$51,64,0)</f>
        <v>0</v>
      </c>
      <c r="AK24" s="36">
        <f>VLOOKUP($A24,[26]HISTOMARS25!$A$6:$BR$51,65,0)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VLOOKUP($A25,[26]HISTOMARS25!$A$6:$BA$51,48,0)</f>
        <v>0</v>
      </c>
      <c r="F25" s="36">
        <f>VLOOKUP(A25,MVTFEV25!A25:AM60,6,0)+MVTFEV25!H25-E25+L25</f>
        <v>1203322.1160904251</v>
      </c>
      <c r="G25" s="5">
        <f>IF(MVTMARS25!F25&gt;800000,(MVTFEV25!I25-E25+L25),0)</f>
        <v>1203322.1160904251</v>
      </c>
      <c r="H25" s="36">
        <f>VLOOKUP(A25,[27]MVTMARS25!$A$6:$AM$42,8,0)</f>
        <v>17636.672607664845</v>
      </c>
      <c r="I25" s="6">
        <f t="shared" si="1"/>
        <v>1220958.78869809</v>
      </c>
      <c r="J25" s="36">
        <f>VLOOKUP($A25,[26]HISTOMARS25!$A$6:$AQ$51,22,0)</f>
        <v>0</v>
      </c>
      <c r="K25" s="36">
        <f>VLOOKUP($A25,[26]HISTOMARS25!$A$6:$AU$51,45,0)</f>
        <v>35000</v>
      </c>
      <c r="L25" s="36">
        <f t="shared" si="2"/>
        <v>29000</v>
      </c>
      <c r="M25" s="36">
        <f t="shared" si="5"/>
        <v>1000</v>
      </c>
      <c r="N25" s="36">
        <f t="shared" si="6"/>
        <v>1000</v>
      </c>
      <c r="O25" s="36">
        <f t="shared" si="7"/>
        <v>4000</v>
      </c>
      <c r="P25" s="36">
        <f>VLOOKUP($A25,[26]HISTOMARS25!$A$6:$AU$51,8,0)</f>
        <v>0</v>
      </c>
      <c r="Q25" s="36">
        <f>VLOOKUP($A25,[26]HISTOMARS25!$A$6:$AU$51,23,0)</f>
        <v>0</v>
      </c>
      <c r="R25" s="36">
        <f>VLOOKUP($A25,[26]HISTOMARS25!$A$6:$AU$51,46,0)</f>
        <v>0</v>
      </c>
      <c r="S25" s="36">
        <f>VLOOKUP($A25,[26]HISTOMARS25!$A$6:$AU$51,26,0)</f>
        <v>0</v>
      </c>
      <c r="T25" s="36">
        <f>VLOOKUP($A25,[26]HISTOMARS25!$A$6:$BG$51,58,0)</f>
        <v>0</v>
      </c>
      <c r="U25" s="36">
        <f>VLOOKUP($A25,[26]HISTOMARS25!$A$6:$AU$51,28,0)</f>
        <v>0</v>
      </c>
      <c r="V25" s="36">
        <f>VLOOKUP($A25,[26]HISTOMARS25!$A$6:$AU$51,19,0)</f>
        <v>0</v>
      </c>
      <c r="W25" s="36">
        <f>VLOOKUP($A25,[26]HISTOMARS25!$A$6:$AU$51,20,0)</f>
        <v>0</v>
      </c>
      <c r="X25" s="36">
        <f>VLOOKUP($A25,[26]HISTOMARS25!$A$6:$AU$51,27,0)</f>
        <v>0</v>
      </c>
      <c r="Y25" s="36">
        <f>VLOOKUP($A25,[26]HISTOMARS25!$A$6:$BM$51,33,0)</f>
        <v>0</v>
      </c>
      <c r="Z25" s="36">
        <f>VLOOKUP($A25,[26]HISTOMARS25!$A$6:$BM$51,64,0)</f>
        <v>0</v>
      </c>
      <c r="AA25" s="36"/>
      <c r="AB25" s="36">
        <f>VLOOKUP($A25,[26]HISTOMARS25!$A$6:$AU$51,44,0)</f>
        <v>0</v>
      </c>
      <c r="AC25" s="36">
        <f>VLOOKUP($A25,[26]HISTOMARS25!$A$6:$AU$51,43,0)</f>
        <v>0</v>
      </c>
      <c r="AD25" s="36">
        <f>VLOOKUP($A25,[26]HISTOMARS25!$A$6:$BR$51,47,0)</f>
        <v>0</v>
      </c>
      <c r="AE25" s="36">
        <f>VLOOKUP(A25,[26]HISTOMARS25!$A$6:$BR$51,54,0)</f>
        <v>0</v>
      </c>
      <c r="AF25" s="36">
        <f>VLOOKUP($A25,[26]HISTOMARS25!$A$6:$BR$51,60,0)</f>
        <v>0</v>
      </c>
      <c r="AG25" s="36">
        <f>VLOOKUP($A25,[26]HISTOMARS25!$A$6:$CB$51,61,0)</f>
        <v>0</v>
      </c>
      <c r="AH25" s="36">
        <f>VLOOKUP($A25,[26]HISTOMARS25!$A$6:$CB$51,62,0)</f>
        <v>0</v>
      </c>
      <c r="AI25" s="36">
        <f>VLOOKUP($A25,[26]HISTOMARS25!$A$6:$CB$51,63,0)</f>
        <v>0</v>
      </c>
      <c r="AJ25" s="36">
        <f>VLOOKUP($A25,[26]HISTOMARS25!$A$6:$BR$51,64,0)</f>
        <v>0</v>
      </c>
      <c r="AK25" s="36">
        <f>VLOOKUP($A25,[26]HISTOMARS25!$A$6:$BR$51,65,0)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VLOOKUP($A26,[26]HISTOMARS25!$A$6:$BA$51,48,0)</f>
        <v>0</v>
      </c>
      <c r="F26" s="36">
        <f>VLOOKUP(A26,MVTFEV25!A26:AM61,6,0)+MVTFEV25!H26-E26+L26</f>
        <v>1321078.289408539</v>
      </c>
      <c r="G26" s="5">
        <f>IF(MVTMARS25!F26&gt;800000,(MVTFEV25!I26-E26+L26),0)</f>
        <v>1321078.289408539</v>
      </c>
      <c r="H26" s="36">
        <f>VLOOKUP(A26,[27]MVTMARS25!$A$6:$AM$42,8,0)</f>
        <v>19362.583773571605</v>
      </c>
      <c r="I26" s="6">
        <f t="shared" si="1"/>
        <v>1340440.8731821105</v>
      </c>
      <c r="J26" s="36">
        <f>VLOOKUP($A26,[26]HISTOMARS25!$A$6:$AQ$51,22,0)</f>
        <v>0</v>
      </c>
      <c r="K26" s="36">
        <f>VLOOKUP($A26,[26]HISTOMARS25!$A$6:$AU$51,45,0)</f>
        <v>40000</v>
      </c>
      <c r="L26" s="36">
        <f t="shared" si="2"/>
        <v>34000</v>
      </c>
      <c r="M26" s="36">
        <f t="shared" si="5"/>
        <v>1000</v>
      </c>
      <c r="N26" s="36">
        <f t="shared" si="6"/>
        <v>1000</v>
      </c>
      <c r="O26" s="36">
        <f t="shared" si="7"/>
        <v>4000</v>
      </c>
      <c r="P26" s="36">
        <f>VLOOKUP($A26,[26]HISTOMARS25!$A$6:$AU$51,8,0)</f>
        <v>0</v>
      </c>
      <c r="Q26" s="36">
        <f>VLOOKUP($A26,[26]HISTOMARS25!$A$6:$AU$51,23,0)</f>
        <v>0</v>
      </c>
      <c r="R26" s="36">
        <f>VLOOKUP($A26,[26]HISTOMARS25!$A$6:$AU$51,46,0)</f>
        <v>0</v>
      </c>
      <c r="S26" s="36">
        <f>VLOOKUP($A26,[26]HISTOMARS25!$A$6:$AU$51,26,0)</f>
        <v>0</v>
      </c>
      <c r="T26" s="36">
        <f>VLOOKUP($A26,[26]HISTOMARS25!$A$6:$BG$51,58,0)</f>
        <v>0</v>
      </c>
      <c r="U26" s="36">
        <f>VLOOKUP($A26,[26]HISTOMARS25!$A$6:$AU$51,28,0)</f>
        <v>0</v>
      </c>
      <c r="V26" s="36">
        <f>VLOOKUP($A26,[26]HISTOMARS25!$A$6:$AU$51,19,0)</f>
        <v>0</v>
      </c>
      <c r="W26" s="36">
        <f>VLOOKUP($A26,[26]HISTOMARS25!$A$6:$AU$51,20,0)</f>
        <v>0</v>
      </c>
      <c r="X26" s="36">
        <f>VLOOKUP($A26,[26]HISTOMARS25!$A$6:$AU$51,27,0)</f>
        <v>0</v>
      </c>
      <c r="Y26" s="36">
        <f>VLOOKUP($A26,[26]HISTOMARS25!$A$6:$BM$51,33,0)</f>
        <v>0</v>
      </c>
      <c r="Z26" s="36">
        <f>VLOOKUP($A26,[26]HISTOMARS25!$A$6:$BM$51,64,0)</f>
        <v>0</v>
      </c>
      <c r="AA26" s="36"/>
      <c r="AB26" s="36">
        <f>VLOOKUP($A26,[26]HISTOMARS25!$A$6:$AU$51,44,0)</f>
        <v>0</v>
      </c>
      <c r="AC26" s="36">
        <f>VLOOKUP($A26,[26]HISTOMARS25!$A$6:$AU$51,43,0)</f>
        <v>0</v>
      </c>
      <c r="AD26" s="36">
        <f>VLOOKUP($A26,[26]HISTOMARS25!$A$6:$BR$51,47,0)</f>
        <v>0</v>
      </c>
      <c r="AE26" s="36">
        <f>VLOOKUP(A26,[26]HISTOMARS25!$A$6:$BR$51,54,0)</f>
        <v>0</v>
      </c>
      <c r="AF26" s="36">
        <f>VLOOKUP($A26,[26]HISTOMARS25!$A$6:$BR$51,60,0)</f>
        <v>0</v>
      </c>
      <c r="AG26" s="36">
        <f>VLOOKUP($A26,[26]HISTOMARS25!$A$6:$CB$51,61,0)</f>
        <v>0</v>
      </c>
      <c r="AH26" s="36">
        <f>VLOOKUP($A26,[26]HISTOMARS25!$A$6:$CB$51,62,0)</f>
        <v>0</v>
      </c>
      <c r="AI26" s="36">
        <f>VLOOKUP($A26,[26]HISTOMARS25!$A$6:$CB$51,63,0)</f>
        <v>0</v>
      </c>
      <c r="AJ26" s="36">
        <f>VLOOKUP($A26,[26]HISTOMARS25!$A$6:$BR$51,64,0)</f>
        <v>0</v>
      </c>
      <c r="AK26" s="36">
        <f>VLOOKUP($A26,[26]HISTOMARS25!$A$6:$BR$51,65,0)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VLOOKUP($A27,[26]HISTOMARS25!$A$6:$BA$51,48,0)</f>
        <v>0</v>
      </c>
      <c r="F27" s="36">
        <f>VLOOKUP(A27,MVTFEV25!A27:AM62,6,0)+MVTFEV25!H27-E27+L27</f>
        <v>905740.32974704041</v>
      </c>
      <c r="G27" s="5">
        <f>IF(MVTMARS25!F27&gt;800000,(MVTFEV25!I27-E27+L27),0)</f>
        <v>905740.32974704041</v>
      </c>
      <c r="H27" s="36">
        <f>VLOOKUP(A27,[27]MVTMARS25!$A$6:$AM$42,8,0)</f>
        <v>13275.120144227905</v>
      </c>
      <c r="I27" s="6">
        <f t="shared" si="1"/>
        <v>919015.44989126828</v>
      </c>
      <c r="J27" s="36">
        <f>VLOOKUP($A27,[26]HISTOMARS25!$A$6:$AQ$51,22,0)</f>
        <v>0</v>
      </c>
      <c r="K27" s="36">
        <f>VLOOKUP($A27,[26]HISTOMARS25!$A$6:$AU$51,45,0)</f>
        <v>18500</v>
      </c>
      <c r="L27" s="36">
        <f t="shared" si="2"/>
        <v>12500</v>
      </c>
      <c r="M27" s="36">
        <f t="shared" si="5"/>
        <v>1000</v>
      </c>
      <c r="N27" s="36">
        <f t="shared" si="6"/>
        <v>1000</v>
      </c>
      <c r="O27" s="36">
        <f t="shared" si="7"/>
        <v>4000</v>
      </c>
      <c r="P27" s="36">
        <f>VLOOKUP($A27,[26]HISTOMARS25!$A$6:$AU$51,8,0)</f>
        <v>0</v>
      </c>
      <c r="Q27" s="36">
        <f>VLOOKUP($A27,[26]HISTOMARS25!$A$6:$AU$51,23,0)</f>
        <v>0</v>
      </c>
      <c r="R27" s="36">
        <f>VLOOKUP($A27,[26]HISTOMARS25!$A$6:$AU$51,46,0)</f>
        <v>0</v>
      </c>
      <c r="S27" s="36">
        <f>VLOOKUP($A27,[26]HISTOMARS25!$A$6:$AU$51,26,0)</f>
        <v>0</v>
      </c>
      <c r="T27" s="36">
        <f>VLOOKUP($A27,[26]HISTOMARS25!$A$6:$BG$51,58,0)</f>
        <v>0</v>
      </c>
      <c r="U27" s="36">
        <f>VLOOKUP($A27,[26]HISTOMARS25!$A$6:$AU$51,28,0)</f>
        <v>0</v>
      </c>
      <c r="V27" s="36">
        <f>VLOOKUP($A27,[26]HISTOMARS25!$A$6:$AU$51,19,0)</f>
        <v>0</v>
      </c>
      <c r="W27" s="36">
        <f>VLOOKUP($A27,[26]HISTOMARS25!$A$6:$AU$51,20,0)</f>
        <v>0</v>
      </c>
      <c r="X27" s="36">
        <f>VLOOKUP($A27,[26]HISTOMARS25!$A$6:$AU$51,27,0)</f>
        <v>0</v>
      </c>
      <c r="Y27" s="36">
        <f>VLOOKUP($A27,[26]HISTOMARS25!$A$6:$BM$51,33,0)</f>
        <v>0</v>
      </c>
      <c r="Z27" s="36">
        <f>VLOOKUP($A27,[26]HISTOMARS25!$A$6:$BM$51,64,0)</f>
        <v>0</v>
      </c>
      <c r="AA27" s="36"/>
      <c r="AB27" s="36">
        <f>VLOOKUP($A27,[26]HISTOMARS25!$A$6:$AU$51,44,0)</f>
        <v>0</v>
      </c>
      <c r="AC27" s="36">
        <f>VLOOKUP($A27,[26]HISTOMARS25!$A$6:$AU$51,43,0)</f>
        <v>0</v>
      </c>
      <c r="AD27" s="36">
        <f>VLOOKUP($A27,[26]HISTOMARS25!$A$6:$BR$51,47,0)</f>
        <v>0</v>
      </c>
      <c r="AE27" s="36">
        <f>VLOOKUP(A27,[26]HISTOMARS25!$A$6:$BR$51,54,0)</f>
        <v>0</v>
      </c>
      <c r="AF27" s="36">
        <f>VLOOKUP($A27,[26]HISTOMARS25!$A$6:$BR$51,60,0)</f>
        <v>0</v>
      </c>
      <c r="AG27" s="36">
        <f>VLOOKUP($A27,[26]HISTOMARS25!$A$6:$CB$51,61,0)</f>
        <v>0</v>
      </c>
      <c r="AH27" s="36">
        <f>VLOOKUP($A27,[26]HISTOMARS25!$A$6:$CB$51,62,0)</f>
        <v>0</v>
      </c>
      <c r="AI27" s="36">
        <f>VLOOKUP($A27,[26]HISTOMARS25!$A$6:$CB$51,63,0)</f>
        <v>0</v>
      </c>
      <c r="AJ27" s="36">
        <f>VLOOKUP($A27,[26]HISTOMARS25!$A$6:$BR$51,64,0)</f>
        <v>0</v>
      </c>
      <c r="AK27" s="36">
        <f>VLOOKUP($A27,[26]HISTOMARS25!$A$6:$BR$51,65,0)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VLOOKUP($A28,[26]HISTOMARS25!$A$6:$BA$51,48,0)</f>
        <v>0</v>
      </c>
      <c r="F28" s="36">
        <f>VLOOKUP(A28,MVTFEV25!A28:AM63,6,0)+MVTFEV25!H28-E28+L28</f>
        <v>921680.31131855806</v>
      </c>
      <c r="G28" s="5">
        <f>IF(MVTMARS25!F28&gt;800000,(MVTFEV25!I28-E28+L28),0)</f>
        <v>921680.31131855806</v>
      </c>
      <c r="H28" s="36">
        <f>VLOOKUP(A28,[27]MVTMARS25!$A$6:$AM$42,8,0)</f>
        <v>13508.74689519501</v>
      </c>
      <c r="I28" s="6">
        <f t="shared" si="1"/>
        <v>935189.05821375304</v>
      </c>
      <c r="J28" s="36">
        <f>VLOOKUP($A28,[26]HISTOMARS25!$A$6:$AQ$51,22,0)</f>
        <v>0</v>
      </c>
      <c r="K28" s="36">
        <f>VLOOKUP($A28,[26]HISTOMARS25!$A$6:$AU$51,45,0)</f>
        <v>25000</v>
      </c>
      <c r="L28" s="36">
        <f t="shared" si="2"/>
        <v>19000</v>
      </c>
      <c r="M28" s="36">
        <f t="shared" si="5"/>
        <v>1000</v>
      </c>
      <c r="N28" s="36">
        <f t="shared" si="6"/>
        <v>1000</v>
      </c>
      <c r="O28" s="36">
        <f t="shared" si="7"/>
        <v>4000</v>
      </c>
      <c r="P28" s="36">
        <f>VLOOKUP($A28,[26]HISTOMARS25!$A$6:$AU$51,8,0)</f>
        <v>0</v>
      </c>
      <c r="Q28" s="36">
        <f>VLOOKUP($A28,[26]HISTOMARS25!$A$6:$AU$51,23,0)</f>
        <v>0</v>
      </c>
      <c r="R28" s="36">
        <f>VLOOKUP($A28,[26]HISTOMARS25!$A$6:$AU$51,46,0)</f>
        <v>0</v>
      </c>
      <c r="S28" s="36">
        <f>VLOOKUP($A28,[26]HISTOMARS25!$A$6:$AU$51,26,0)</f>
        <v>1000000</v>
      </c>
      <c r="T28" s="36">
        <f>VLOOKUP($A28,[26]HISTOMARS25!$A$6:$BG$51,58,0)</f>
        <v>30000</v>
      </c>
      <c r="U28" s="36">
        <f>VLOOKUP($A28,[26]HISTOMARS25!$A$6:$AU$51,28,0)</f>
        <v>0</v>
      </c>
      <c r="V28" s="36">
        <f>VLOOKUP($A28,[26]HISTOMARS25!$A$6:$AU$51,19,0)</f>
        <v>1000000</v>
      </c>
      <c r="W28" s="36">
        <f>VLOOKUP($A28,[26]HISTOMARS25!$A$6:$AU$51,20,0)</f>
        <v>0</v>
      </c>
      <c r="X28" s="36" t="str">
        <f>VLOOKUP($A28,[26]HISTOMARS25!$A$6:$AU$51,27,0)</f>
        <v>AUTRES</v>
      </c>
      <c r="Y28" s="36">
        <f>VLOOKUP($A28,[26]HISTOMARS25!$A$6:$BM$51,33,0)</f>
        <v>0</v>
      </c>
      <c r="Z28" s="36">
        <f>VLOOKUP($A28,[26]HISTOMARS25!$A$6:$BM$51,64,0)</f>
        <v>0</v>
      </c>
      <c r="AA28" s="36"/>
      <c r="AB28" s="36">
        <f>VLOOKUP($A28,[26]HISTOMARS25!$A$6:$AU$51,44,0)</f>
        <v>0</v>
      </c>
      <c r="AC28" s="36">
        <f>VLOOKUP($A28,[26]HISTOMARS25!$A$6:$AU$51,43,0)</f>
        <v>0</v>
      </c>
      <c r="AD28" s="36">
        <f>VLOOKUP($A28,[26]HISTOMARS25!$A$6:$BR$51,47,0)</f>
        <v>0</v>
      </c>
      <c r="AE28" s="36">
        <f>VLOOKUP(A28,[26]HISTOMARS25!$A$6:$BR$51,54,0)</f>
        <v>0</v>
      </c>
      <c r="AF28" s="36">
        <f>VLOOKUP($A28,[26]HISTOMARS25!$A$6:$BR$51,60,0)</f>
        <v>0</v>
      </c>
      <c r="AG28" s="36">
        <f>VLOOKUP($A28,[26]HISTOMARS25!$A$6:$CB$51,61,0)</f>
        <v>0</v>
      </c>
      <c r="AH28" s="36">
        <f>VLOOKUP($A28,[26]HISTOMARS25!$A$6:$CB$51,62,0)</f>
        <v>0</v>
      </c>
      <c r="AI28" s="36">
        <f>VLOOKUP($A28,[26]HISTOMARS25!$A$6:$CB$51,63,0)</f>
        <v>0</v>
      </c>
      <c r="AJ28" s="36">
        <f>VLOOKUP($A28,[26]HISTOMARS25!$A$6:$BR$51,64,0)</f>
        <v>0</v>
      </c>
      <c r="AK28" s="36">
        <f>VLOOKUP($A28,[26]HISTOMARS25!$A$6:$BR$51,65,0)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VLOOKUP($A29,[26]HISTOMARS25!$A$6:$BA$51,48,0)</f>
        <v>0</v>
      </c>
      <c r="F29" s="36">
        <f>VLOOKUP(A29,MVTFEV25!A29:AM64,6,0)+MVTFEV25!H29-E29+L29</f>
        <v>884412.81296060525</v>
      </c>
      <c r="G29" s="5">
        <f>IF(MVTMARS25!F29&gt;800000,(MVTFEV25!I29-E29+L29),0)</f>
        <v>884412.81296060525</v>
      </c>
      <c r="H29" s="36">
        <f>VLOOKUP(A29,[27]MVTMARS25!$A$6:$AM$42,8,0)</f>
        <v>12962.530168470686</v>
      </c>
      <c r="I29" s="6">
        <f t="shared" si="1"/>
        <v>897375.34312907595</v>
      </c>
      <c r="J29" s="36">
        <f>VLOOKUP($A29,[26]HISTOMARS25!$A$6:$AQ$51,22,0)</f>
        <v>0</v>
      </c>
      <c r="K29" s="36">
        <f>VLOOKUP($A29,[26]HISTOMARS25!$A$6:$AU$51,45,0)</f>
        <v>25000</v>
      </c>
      <c r="L29" s="36">
        <f t="shared" si="2"/>
        <v>19000</v>
      </c>
      <c r="M29" s="36">
        <f t="shared" si="5"/>
        <v>1000</v>
      </c>
      <c r="N29" s="36">
        <f t="shared" si="6"/>
        <v>1000</v>
      </c>
      <c r="O29" s="36">
        <f t="shared" si="7"/>
        <v>4000</v>
      </c>
      <c r="P29" s="36">
        <f>VLOOKUP($A29,[26]HISTOMARS25!$A$6:$AU$51,8,0)</f>
        <v>0</v>
      </c>
      <c r="Q29" s="36">
        <f>VLOOKUP($A29,[26]HISTOMARS25!$A$6:$AU$51,23,0)</f>
        <v>0</v>
      </c>
      <c r="R29" s="36">
        <f>VLOOKUP($A29,[26]HISTOMARS25!$A$6:$AU$51,46,0)</f>
        <v>0</v>
      </c>
      <c r="S29" s="13">
        <f>VLOOKUP($A29,[26]HISTOMARS25!$A$6:$AU$51,26,0)</f>
        <v>150000</v>
      </c>
      <c r="T29" s="13">
        <f>VLOOKUP($A29,[26]HISTOMARS25!$A$6:$BG$51,58,0)</f>
        <v>13500</v>
      </c>
      <c r="U29" s="36">
        <f>VLOOKUP($A29,[26]HISTOMARS25!$A$6:$AU$51,28,0)</f>
        <v>0</v>
      </c>
      <c r="V29" s="36">
        <f>VLOOKUP($A29,[26]HISTOMARS25!$A$6:$AU$51,19,0)</f>
        <v>0</v>
      </c>
      <c r="W29" s="36">
        <f>VLOOKUP($A29,[26]HISTOMARS25!$A$6:$AU$51,20,0)</f>
        <v>0</v>
      </c>
      <c r="X29" s="36" t="str">
        <f>VLOOKUP($A29,[26]HISTOMARS25!$A$6:$AU$51,27,0)</f>
        <v>BANQUE</v>
      </c>
      <c r="Y29" s="36">
        <f>VLOOKUP($A29,[26]HISTOMARS25!$A$6:$BM$51,33,0)</f>
        <v>0</v>
      </c>
      <c r="Z29" s="36">
        <f>VLOOKUP($A29,[26]HISTOMARS25!$A$6:$BM$51,64,0)</f>
        <v>0</v>
      </c>
      <c r="AA29" s="36"/>
      <c r="AB29" s="36">
        <f>VLOOKUP($A29,[26]HISTOMARS25!$A$6:$AU$51,44,0)</f>
        <v>0</v>
      </c>
      <c r="AC29" s="36">
        <f>VLOOKUP($A29,[26]HISTOMARS25!$A$6:$AU$51,43,0)</f>
        <v>0</v>
      </c>
      <c r="AD29" s="36">
        <f>VLOOKUP($A29,[26]HISTOMARS25!$A$6:$BR$51,47,0)</f>
        <v>0</v>
      </c>
      <c r="AE29" s="36">
        <f>VLOOKUP(A29,[26]HISTOMARS25!$A$6:$BR$51,54,0)</f>
        <v>0</v>
      </c>
      <c r="AF29" s="36">
        <f>VLOOKUP($A29,[26]HISTOMARS25!$A$6:$BR$51,60,0)</f>
        <v>0</v>
      </c>
      <c r="AG29" s="36">
        <f>VLOOKUP($A29,[26]HISTOMARS25!$A$6:$CB$51,61,0)</f>
        <v>0</v>
      </c>
      <c r="AH29" s="36">
        <f>VLOOKUP($A29,[26]HISTOMARS25!$A$6:$CB$51,62,0)</f>
        <v>0</v>
      </c>
      <c r="AI29" s="36">
        <f>VLOOKUP($A29,[26]HISTOMARS25!$A$6:$CB$51,63,0)</f>
        <v>0</v>
      </c>
      <c r="AJ29" s="36">
        <f>VLOOKUP($A29,[26]HISTOMARS25!$A$6:$BR$51,64,0)</f>
        <v>0</v>
      </c>
      <c r="AK29" s="36">
        <f>VLOOKUP($A29,[26]HISTOMARS25!$A$6:$BR$51,65,0)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VLOOKUP($A30,[26]HISTOMARS25!$A$6:$BA$51,48,0)</f>
        <v>0</v>
      </c>
      <c r="F30" s="36">
        <f>VLOOKUP(A30,MVTFEV25!A30:AM65,6,0)+MVTFEV25!H30-E30+L30</f>
        <v>1043449.3855995997</v>
      </c>
      <c r="G30" s="5">
        <f>IF(MVTMARS25!F30&gt;800000,(MVTFEV25!I30-E30+L30),0)</f>
        <v>1043449.3855995997</v>
      </c>
      <c r="H30" s="36">
        <f>VLOOKUP(A30,[27]MVTMARS25!$A$6:$AM$42,8,0)</f>
        <v>15293.473751051924</v>
      </c>
      <c r="I30" s="6">
        <f t="shared" si="1"/>
        <v>1058742.8593506515</v>
      </c>
      <c r="J30" s="36">
        <f>VLOOKUP($A30,[26]HISTOMARS25!$A$6:$AQ$51,22,0)</f>
        <v>0</v>
      </c>
      <c r="K30" s="36">
        <f>VLOOKUP($A30,[26]HISTOMARS25!$A$6:$AU$51,45,0)</f>
        <v>25000</v>
      </c>
      <c r="L30" s="36">
        <f t="shared" si="2"/>
        <v>19000</v>
      </c>
      <c r="M30" s="36">
        <f t="shared" si="5"/>
        <v>1000</v>
      </c>
      <c r="N30" s="36">
        <f t="shared" si="6"/>
        <v>1000</v>
      </c>
      <c r="O30" s="36">
        <f t="shared" si="7"/>
        <v>4000</v>
      </c>
      <c r="P30" s="36">
        <f>VLOOKUP($A30,[26]HISTOMARS25!$A$6:$AU$51,8,0)</f>
        <v>0</v>
      </c>
      <c r="Q30" s="36">
        <f>VLOOKUP($A30,[26]HISTOMARS25!$A$6:$AU$51,23,0)</f>
        <v>0</v>
      </c>
      <c r="R30" s="36">
        <f>VLOOKUP($A30,[26]HISTOMARS25!$A$6:$AU$51,46,0)</f>
        <v>0</v>
      </c>
      <c r="S30" s="13">
        <f>VLOOKUP($A30,[26]HISTOMARS25!$A$6:$AU$51,26,0)</f>
        <v>0</v>
      </c>
      <c r="T30" s="13">
        <f>VLOOKUP($A30,[26]HISTOMARS25!$A$6:$BG$51,58,0)</f>
        <v>0</v>
      </c>
      <c r="U30" s="36">
        <f>VLOOKUP($A30,[26]HISTOMARS25!$A$6:$AU$51,28,0)</f>
        <v>0</v>
      </c>
      <c r="V30" s="36">
        <f>VLOOKUP($A30,[26]HISTOMARS25!$A$6:$AU$51,19,0)</f>
        <v>0</v>
      </c>
      <c r="W30" s="36">
        <f>VLOOKUP($A30,[26]HISTOMARS25!$A$6:$AU$51,20,0)</f>
        <v>0</v>
      </c>
      <c r="X30" s="36">
        <f>VLOOKUP($A30,[26]HISTOMARS25!$A$6:$AU$51,27,0)</f>
        <v>0</v>
      </c>
      <c r="Y30" s="36">
        <f>VLOOKUP($A30,[26]HISTOMARS25!$A$6:$BM$51,33,0)</f>
        <v>0</v>
      </c>
      <c r="Z30" s="36">
        <f>VLOOKUP($A30,[26]HISTOMARS25!$A$6:$BM$51,64,0)</f>
        <v>0</v>
      </c>
      <c r="AA30" s="36"/>
      <c r="AB30" s="36">
        <f>VLOOKUP($A30,[26]HISTOMARS25!$A$6:$AU$51,44,0)</f>
        <v>0</v>
      </c>
      <c r="AC30" s="36">
        <f>VLOOKUP($A30,[26]HISTOMARS25!$A$6:$AU$51,43,0)</f>
        <v>0</v>
      </c>
      <c r="AD30" s="36">
        <f>VLOOKUP($A30,[26]HISTOMARS25!$A$6:$BR$51,47,0)</f>
        <v>0</v>
      </c>
      <c r="AE30" s="36">
        <f>VLOOKUP(A30,[26]HISTOMARS25!$A$6:$BR$51,54,0)</f>
        <v>0</v>
      </c>
      <c r="AF30" s="36">
        <f>VLOOKUP($A30,[26]HISTOMARS25!$A$6:$BR$51,60,0)</f>
        <v>0</v>
      </c>
      <c r="AG30" s="36">
        <f>VLOOKUP($A30,[26]HISTOMARS25!$A$6:$CB$51,61,0)</f>
        <v>0</v>
      </c>
      <c r="AH30" s="36">
        <f>VLOOKUP($A30,[26]HISTOMARS25!$A$6:$CB$51,62,0)</f>
        <v>0</v>
      </c>
      <c r="AI30" s="36">
        <f>VLOOKUP($A30,[26]HISTOMARS25!$A$6:$CB$51,63,0)</f>
        <v>0</v>
      </c>
      <c r="AJ30" s="36">
        <f>VLOOKUP($A30,[26]HISTOMARS25!$A$6:$BR$51,64,0)</f>
        <v>0</v>
      </c>
      <c r="AK30" s="36">
        <f>VLOOKUP($A30,[26]HISTOMARS25!$A$6:$BR$51,65,0)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VLOOKUP($A31,[26]HISTOMARS25!$A$6:$BA$51,48,0)</f>
        <v>0</v>
      </c>
      <c r="F31" s="36">
        <f>VLOOKUP(A31,MVTFEV25!A31:AM66,6,0)+MVTFEV25!H31-E31+L31</f>
        <v>892002.13572054205</v>
      </c>
      <c r="G31" s="5">
        <f>IF(MVTMARS25!F31&gt;800000,(MVTFEV25!I31-E31+L31),0)</f>
        <v>892002.13572054205</v>
      </c>
      <c r="H31" s="36">
        <f>VLOOKUP(A31,[27]MVTMARS25!$A$6:$AM$42,8,0)</f>
        <v>13073.76422545435</v>
      </c>
      <c r="I31" s="6">
        <f t="shared" si="1"/>
        <v>905075.89994599635</v>
      </c>
      <c r="J31" s="36">
        <f>VLOOKUP($A31,[26]HISTOMARS25!$A$6:$AQ$51,22,0)</f>
        <v>0</v>
      </c>
      <c r="K31" s="36">
        <f>VLOOKUP($A31,[26]HISTOMARS25!$A$6:$AU$51,45,0)</f>
        <v>25000</v>
      </c>
      <c r="L31" s="36">
        <f t="shared" si="2"/>
        <v>19000</v>
      </c>
      <c r="M31" s="36">
        <f t="shared" si="5"/>
        <v>1000</v>
      </c>
      <c r="N31" s="36">
        <f t="shared" si="6"/>
        <v>1000</v>
      </c>
      <c r="O31" s="36">
        <f t="shared" si="7"/>
        <v>4000</v>
      </c>
      <c r="P31" s="36">
        <f>VLOOKUP($A31,[26]HISTOMARS25!$A$6:$AU$51,8,0)</f>
        <v>0</v>
      </c>
      <c r="Q31" s="36">
        <f>VLOOKUP($A31,[26]HISTOMARS25!$A$6:$AU$51,23,0)</f>
        <v>0</v>
      </c>
      <c r="R31" s="36">
        <f>VLOOKUP($A31,[26]HISTOMARS25!$A$6:$AU$51,46,0)</f>
        <v>0</v>
      </c>
      <c r="S31" s="36">
        <f>VLOOKUP($A31,[26]HISTOMARS25!$A$6:$AU$51,26,0)</f>
        <v>0</v>
      </c>
      <c r="T31" s="36">
        <f>VLOOKUP($A31,[26]HISTOMARS25!$A$6:$BG$51,58,0)</f>
        <v>0</v>
      </c>
      <c r="U31" s="36">
        <f>VLOOKUP($A31,[26]HISTOMARS25!$A$6:$AU$51,28,0)</f>
        <v>0</v>
      </c>
      <c r="V31" s="36">
        <f>VLOOKUP($A31,[26]HISTOMARS25!$A$6:$AU$51,19,0)</f>
        <v>0</v>
      </c>
      <c r="W31" s="36">
        <f>VLOOKUP($A31,[26]HISTOMARS25!$A$6:$AU$51,20,0)</f>
        <v>0</v>
      </c>
      <c r="X31" s="36">
        <f>VLOOKUP($A31,[26]HISTOMARS25!$A$6:$AU$51,27,0)</f>
        <v>0</v>
      </c>
      <c r="Y31" s="36">
        <f>VLOOKUP($A31,[26]HISTOMARS25!$A$6:$BM$51,33,0)</f>
        <v>0</v>
      </c>
      <c r="Z31" s="36">
        <f>VLOOKUP($A31,[26]HISTOMARS25!$A$6:$BM$51,64,0)</f>
        <v>0</v>
      </c>
      <c r="AA31" s="36"/>
      <c r="AB31" s="36">
        <f>VLOOKUP($A31,[26]HISTOMARS25!$A$6:$AU$51,44,0)</f>
        <v>0</v>
      </c>
      <c r="AC31" s="36">
        <f>VLOOKUP($A31,[26]HISTOMARS25!$A$6:$AU$51,43,0)</f>
        <v>0</v>
      </c>
      <c r="AD31" s="36">
        <f>VLOOKUP($A31,[26]HISTOMARS25!$A$6:$BR$51,47,0)</f>
        <v>0</v>
      </c>
      <c r="AE31" s="36">
        <f>VLOOKUP(A31,[26]HISTOMARS25!$A$6:$BR$51,54,0)</f>
        <v>0</v>
      </c>
      <c r="AF31" s="36">
        <f>VLOOKUP($A31,[26]HISTOMARS25!$A$6:$BR$51,60,0)</f>
        <v>0</v>
      </c>
      <c r="AG31" s="36">
        <f>VLOOKUP($A31,[26]HISTOMARS25!$A$6:$CB$51,61,0)</f>
        <v>0</v>
      </c>
      <c r="AH31" s="36">
        <f>VLOOKUP($A31,[26]HISTOMARS25!$A$6:$CB$51,62,0)</f>
        <v>0</v>
      </c>
      <c r="AI31" s="36">
        <f>VLOOKUP($A31,[26]HISTOMARS25!$A$6:$CB$51,63,0)</f>
        <v>0</v>
      </c>
      <c r="AJ31" s="36">
        <f>VLOOKUP($A31,[26]HISTOMARS25!$A$6:$BR$51,64,0)</f>
        <v>0</v>
      </c>
      <c r="AK31" s="36">
        <f>VLOOKUP($A31,[26]HISTOMARS25!$A$6:$BR$51,65,0)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VLOOKUP($A32,[26]HISTOMARS25!$A$6:$BA$51,48,0)</f>
        <v>0</v>
      </c>
      <c r="F32" s="36">
        <f>VLOOKUP(A32,MVTFEV25!A32:AM67,6,0)+MVTFEV25!H32-E32+L32</f>
        <v>986137.42386081722</v>
      </c>
      <c r="G32" s="5">
        <f>IF(MVTMARS25!F32&gt;800000,(MVTFEV25!I32-E32+L32),0)</f>
        <v>986137.42386081722</v>
      </c>
      <c r="H32" s="36">
        <f>VLOOKUP(A32,[27]MVTMARS25!$A$6:$AM$42,8,0)</f>
        <v>14453.472314882889</v>
      </c>
      <c r="I32" s="6">
        <f t="shared" si="1"/>
        <v>1000590.8961757001</v>
      </c>
      <c r="J32" s="36">
        <f>VLOOKUP($A32,[26]HISTOMARS25!$A$6:$AQ$51,22,0)</f>
        <v>0</v>
      </c>
      <c r="K32" s="36">
        <f>VLOOKUP($A32,[26]HISTOMARS25!$A$6:$AU$51,45,0)</f>
        <v>25000</v>
      </c>
      <c r="L32" s="36">
        <f t="shared" si="2"/>
        <v>19000</v>
      </c>
      <c r="M32" s="36">
        <f t="shared" si="5"/>
        <v>1000</v>
      </c>
      <c r="N32" s="36">
        <f t="shared" si="6"/>
        <v>1000</v>
      </c>
      <c r="O32" s="36">
        <f t="shared" si="7"/>
        <v>4000</v>
      </c>
      <c r="P32" s="36">
        <f>VLOOKUP($A32,[26]HISTOMARS25!$A$6:$AU$51,8,0)</f>
        <v>3000</v>
      </c>
      <c r="Q32" s="36">
        <f>VLOOKUP($A32,[26]HISTOMARS25!$A$6:$AU$51,23,0)</f>
        <v>0</v>
      </c>
      <c r="R32" s="36">
        <f>VLOOKUP($A32,[26]HISTOMARS25!$A$6:$AU$51,46,0)</f>
        <v>0</v>
      </c>
      <c r="S32" s="36">
        <f>VLOOKUP($A32,[26]HISTOMARS25!$A$6:$AU$51,26,0)</f>
        <v>1000000</v>
      </c>
      <c r="T32" s="36">
        <f>VLOOKUP($A32,[26]HISTOMARS25!$A$6:$BG$51,58,0)</f>
        <v>30000</v>
      </c>
      <c r="U32" s="36">
        <f>VLOOKUP($A32,[26]HISTOMARS25!$A$6:$AU$51,28,0)</f>
        <v>0</v>
      </c>
      <c r="V32" s="36">
        <f>VLOOKUP($A32,[26]HISTOMARS25!$A$6:$AU$51,19,0)</f>
        <v>1000000</v>
      </c>
      <c r="W32" s="36" t="str">
        <f>VLOOKUP($A32,[26]HISTOMARS25!$A$6:$AU$51,20,0)</f>
        <v>AUTRES</v>
      </c>
      <c r="X32" s="36" t="str">
        <f>VLOOKUP($A32,[26]HISTOMARS25!$A$6:$AU$51,27,0)</f>
        <v>AUTRES</v>
      </c>
      <c r="Y32" s="36">
        <f>VLOOKUP($A32,[26]HISTOMARS25!$A$6:$BM$51,33,0)</f>
        <v>0</v>
      </c>
      <c r="Z32" s="36">
        <f>VLOOKUP($A32,[26]HISTOMARS25!$A$6:$BM$51,64,0)</f>
        <v>0</v>
      </c>
      <c r="AA32" s="36"/>
      <c r="AB32" s="36">
        <f>VLOOKUP($A32,[26]HISTOMARS25!$A$6:$AU$51,44,0)</f>
        <v>0</v>
      </c>
      <c r="AC32" s="36">
        <f>VLOOKUP($A32,[26]HISTOMARS25!$A$6:$AU$51,43,0)</f>
        <v>0</v>
      </c>
      <c r="AD32" s="36">
        <f>VLOOKUP($A32,[26]HISTOMARS25!$A$6:$BR$51,47,0)</f>
        <v>0</v>
      </c>
      <c r="AE32" s="36">
        <f>VLOOKUP(A32,[26]HISTOMARS25!$A$6:$BR$51,54,0)</f>
        <v>0</v>
      </c>
      <c r="AF32" s="36">
        <f>VLOOKUP($A32,[26]HISTOMARS25!$A$6:$BR$51,60,0)</f>
        <v>0</v>
      </c>
      <c r="AG32" s="36">
        <f>VLOOKUP($A32,[26]HISTOMARS25!$A$6:$CB$51,61,0)</f>
        <v>0</v>
      </c>
      <c r="AH32" s="36">
        <f>VLOOKUP($A32,[26]HISTOMARS25!$A$6:$CB$51,62,0)</f>
        <v>0</v>
      </c>
      <c r="AI32" s="36">
        <f>VLOOKUP($A32,[26]HISTOMARS25!$A$6:$CB$51,63,0)</f>
        <v>0</v>
      </c>
      <c r="AJ32" s="36">
        <f>VLOOKUP($A32,[26]HISTOMARS25!$A$6:$BR$51,64,0)</f>
        <v>0</v>
      </c>
      <c r="AK32" s="36">
        <f>VLOOKUP($A32,[26]HISTOMARS25!$A$6:$BR$51,65,0)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VLOOKUP($A33,[26]HISTOMARS25!$A$6:$BA$51,48,0)</f>
        <v>0</v>
      </c>
      <c r="F33" s="36">
        <f>VLOOKUP(A33,MVTFEV25!A33:AM68,6,0)+MVTFEV25!H33-E33+L33</f>
        <v>57000</v>
      </c>
      <c r="G33" s="5">
        <f>IF(MVTMARS25!F33&gt;800000,(MVTFEV25!I33-E33+L33),0)</f>
        <v>0</v>
      </c>
      <c r="H33" s="36">
        <f>VLOOKUP(A33,[27]MVTMARS25!$A$6:$AM$42,8,0)</f>
        <v>0</v>
      </c>
      <c r="I33" s="6">
        <f t="shared" si="1"/>
        <v>57000</v>
      </c>
      <c r="J33" s="36">
        <f>VLOOKUP($A33,[26]HISTOMARS25!$A$6:$AQ$51,22,0)</f>
        <v>0</v>
      </c>
      <c r="K33" s="36">
        <f>VLOOKUP($A33,[26]HISTOMARS25!$A$6:$AU$51,45,0)</f>
        <v>25000</v>
      </c>
      <c r="L33" s="36">
        <f t="shared" si="2"/>
        <v>19000</v>
      </c>
      <c r="M33" s="36">
        <f t="shared" si="5"/>
        <v>1000</v>
      </c>
      <c r="N33" s="36">
        <f t="shared" si="6"/>
        <v>1000</v>
      </c>
      <c r="O33" s="36">
        <f t="shared" si="7"/>
        <v>4000</v>
      </c>
      <c r="P33" s="36">
        <f>VLOOKUP($A33,[26]HISTOMARS25!$A$6:$AU$51,8,0)</f>
        <v>0</v>
      </c>
      <c r="Q33" s="36">
        <f>VLOOKUP($A33,[26]HISTOMARS25!$A$6:$AU$51,23,0)</f>
        <v>0</v>
      </c>
      <c r="R33" s="36">
        <f>VLOOKUP($A33,[26]HISTOMARS25!$A$6:$AU$51,46,0)</f>
        <v>0</v>
      </c>
      <c r="S33" s="36">
        <f>VLOOKUP($A33,[26]HISTOMARS25!$A$6:$AU$51,26,0)</f>
        <v>0</v>
      </c>
      <c r="T33" s="36">
        <f>VLOOKUP($A33,[26]HISTOMARS25!$A$6:$BG$51,58,0)</f>
        <v>0</v>
      </c>
      <c r="U33" s="36">
        <f>VLOOKUP($A33,[26]HISTOMARS25!$A$6:$AU$51,28,0)</f>
        <v>0</v>
      </c>
      <c r="V33" s="36">
        <f>VLOOKUP($A33,[26]HISTOMARS25!$A$6:$AU$51,19,0)</f>
        <v>0</v>
      </c>
      <c r="W33" s="36">
        <f>VLOOKUP($A33,[26]HISTOMARS25!$A$6:$AU$51,20,0)</f>
        <v>0</v>
      </c>
      <c r="X33" s="36">
        <f>VLOOKUP($A33,[26]HISTOMARS25!$A$6:$AU$51,27,0)</f>
        <v>0</v>
      </c>
      <c r="Y33" s="36">
        <f>VLOOKUP($A33,[26]HISTOMARS25!$A$6:$BM$51,33,0)</f>
        <v>0</v>
      </c>
      <c r="Z33" s="36">
        <f>VLOOKUP($A33,[26]HISTOMARS25!$A$6:$BM$51,64,0)</f>
        <v>0</v>
      </c>
      <c r="AA33" s="36"/>
      <c r="AB33" s="36">
        <f>VLOOKUP($A33,[26]HISTOMARS25!$A$6:$AU$51,44,0)</f>
        <v>0</v>
      </c>
      <c r="AC33" s="36">
        <f>VLOOKUP($A33,[26]HISTOMARS25!$A$6:$AU$51,43,0)</f>
        <v>0</v>
      </c>
      <c r="AD33" s="36">
        <f>VLOOKUP($A33,[26]HISTOMARS25!$A$6:$BR$51,47,0)</f>
        <v>0</v>
      </c>
      <c r="AE33" s="36">
        <f>VLOOKUP(A33,[26]HISTOMARS25!$A$6:$BR$51,54,0)</f>
        <v>0</v>
      </c>
      <c r="AF33" s="36">
        <f>VLOOKUP($A33,[26]HISTOMARS25!$A$6:$BR$51,60,0)</f>
        <v>0</v>
      </c>
      <c r="AG33" s="36">
        <f>VLOOKUP($A33,[26]HISTOMARS25!$A$6:$CB$51,61,0)</f>
        <v>0</v>
      </c>
      <c r="AH33" s="36">
        <f>VLOOKUP($A33,[26]HISTOMARS25!$A$6:$CB$51,62,0)</f>
        <v>0</v>
      </c>
      <c r="AI33" s="36">
        <f>VLOOKUP($A33,[26]HISTOMARS25!$A$6:$CB$51,63,0)</f>
        <v>0</v>
      </c>
      <c r="AJ33" s="36">
        <f>VLOOKUP($A33,[26]HISTOMARS25!$A$6:$BR$51,64,0)</f>
        <v>0</v>
      </c>
      <c r="AK33" s="36">
        <f>VLOOKUP($A33,[26]HISTOMARS25!$A$6:$BR$51,65,0)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VLOOKUP($A34,[26]HISTOMARS25!$A$6:$BA$51,48,0)</f>
        <v>0</v>
      </c>
      <c r="F34" s="36">
        <f>VLOOKUP(A34,MVTFEV25!A34:AM69,6,0)+MVTFEV25!H34-E34+L34</f>
        <v>951884.02685951488</v>
      </c>
      <c r="G34" s="5">
        <f>IF(MVTMARS25!F34&gt;800000,(MVTFEV25!I34-E34+L34),0)</f>
        <v>951884.02685951488</v>
      </c>
      <c r="H34" s="36">
        <f>VLOOKUP(A34,[27]MVTMARS25!$A$6:$AM$42,8,0)</f>
        <v>13951.432220601982</v>
      </c>
      <c r="I34" s="6">
        <f t="shared" si="1"/>
        <v>965835.45908011682</v>
      </c>
      <c r="J34" s="36">
        <f>VLOOKUP($A34,[26]HISTOMARS25!$A$6:$AQ$51,22,0)</f>
        <v>0</v>
      </c>
      <c r="K34" s="36">
        <f>VLOOKUP($A34,[26]HISTOMARS25!$A$6:$AU$51,45,0)</f>
        <v>25000</v>
      </c>
      <c r="L34" s="36">
        <f t="shared" si="2"/>
        <v>19000</v>
      </c>
      <c r="M34" s="36">
        <f t="shared" si="5"/>
        <v>1000</v>
      </c>
      <c r="N34" s="36">
        <f t="shared" si="6"/>
        <v>1000</v>
      </c>
      <c r="O34" s="36">
        <f t="shared" si="7"/>
        <v>4000</v>
      </c>
      <c r="P34" s="36">
        <f>VLOOKUP($A34,[26]HISTOMARS25!$A$6:$AU$51,8,0)</f>
        <v>0</v>
      </c>
      <c r="Q34" s="36">
        <f>VLOOKUP($A34,[26]HISTOMARS25!$A$6:$AU$51,23,0)</f>
        <v>0</v>
      </c>
      <c r="R34" s="36">
        <f>VLOOKUP($A34,[26]HISTOMARS25!$A$6:$AU$51,46,0)</f>
        <v>0</v>
      </c>
      <c r="S34" s="36">
        <f>VLOOKUP($A34,[26]HISTOMARS25!$A$6:$AU$51,26,0)</f>
        <v>0</v>
      </c>
      <c r="T34" s="36">
        <f>VLOOKUP($A34,[26]HISTOMARS25!$A$6:$BG$51,58,0)</f>
        <v>0</v>
      </c>
      <c r="U34" s="36">
        <f>VLOOKUP($A34,[26]HISTOMARS25!$A$6:$AU$51,28,0)</f>
        <v>0</v>
      </c>
      <c r="V34" s="36">
        <f>VLOOKUP($A34,[26]HISTOMARS25!$A$6:$AU$51,19,0)</f>
        <v>0</v>
      </c>
      <c r="W34" s="36">
        <f>VLOOKUP($A34,[26]HISTOMARS25!$A$6:$AU$51,20,0)</f>
        <v>0</v>
      </c>
      <c r="X34" s="36">
        <f>VLOOKUP($A34,[26]HISTOMARS25!$A$6:$AU$51,27,0)</f>
        <v>0</v>
      </c>
      <c r="Y34" s="36">
        <f>VLOOKUP($A34,[26]HISTOMARS25!$A$6:$BM$51,33,0)</f>
        <v>0</v>
      </c>
      <c r="Z34" s="36">
        <f>VLOOKUP($A34,[26]HISTOMARS25!$A$6:$BM$51,64,0)</f>
        <v>0</v>
      </c>
      <c r="AA34" s="36"/>
      <c r="AB34" s="36">
        <f>VLOOKUP($A34,[26]HISTOMARS25!$A$6:$AU$51,44,0)</f>
        <v>0</v>
      </c>
      <c r="AC34" s="36">
        <f>VLOOKUP($A34,[26]HISTOMARS25!$A$6:$AU$51,43,0)</f>
        <v>0</v>
      </c>
      <c r="AD34" s="36">
        <f>VLOOKUP($A34,[26]HISTOMARS25!$A$6:$BR$51,47,0)</f>
        <v>0</v>
      </c>
      <c r="AE34" s="36">
        <f>VLOOKUP(A34,[26]HISTOMARS25!$A$6:$BR$51,54,0)</f>
        <v>0</v>
      </c>
      <c r="AF34" s="36">
        <f>VLOOKUP($A34,[26]HISTOMARS25!$A$6:$BR$51,60,0)</f>
        <v>0</v>
      </c>
      <c r="AG34" s="36">
        <f>VLOOKUP($A34,[26]HISTOMARS25!$A$6:$CB$51,61,0)</f>
        <v>0</v>
      </c>
      <c r="AH34" s="36">
        <f>VLOOKUP($A34,[26]HISTOMARS25!$A$6:$CB$51,62,0)</f>
        <v>0</v>
      </c>
      <c r="AI34" s="36">
        <f>VLOOKUP($A34,[26]HISTOMARS25!$A$6:$CB$51,63,0)</f>
        <v>0</v>
      </c>
      <c r="AJ34" s="36">
        <f>VLOOKUP($A34,[26]HISTOMARS25!$A$6:$BR$51,64,0)</f>
        <v>0</v>
      </c>
      <c r="AK34" s="36">
        <f>VLOOKUP($A34,[26]HISTOMARS25!$A$6:$BR$51,65,0)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VLOOKUP($A35,[26]HISTOMARS25!$A$6:$BA$51,48,0)</f>
        <v>0</v>
      </c>
      <c r="F35" s="36">
        <f>VLOOKUP(A35,MVTFEV25!A35:AM70,6,0)+MVTFEV25!H35-E35+L35</f>
        <v>908938.09727352287</v>
      </c>
      <c r="G35" s="5">
        <f>IF(MVTMARS25!F35&gt;800000,(MVTFEV25!I35-E35+L35),0)</f>
        <v>908938.09727352287</v>
      </c>
      <c r="H35" s="36">
        <f>VLOOKUP(A35,[27]MVTMARS25!$A$6:$AM$42,8,0)</f>
        <v>13321.988707670611</v>
      </c>
      <c r="I35" s="6">
        <f t="shared" si="1"/>
        <v>922260.08598119346</v>
      </c>
      <c r="J35" s="36">
        <f>VLOOKUP($A35,[26]HISTOMARS25!$A$6:$AQ$51,22,0)</f>
        <v>0</v>
      </c>
      <c r="K35" s="36">
        <f>VLOOKUP($A35,[26]HISTOMARS25!$A$6:$AU$51,45,0)</f>
        <v>25000</v>
      </c>
      <c r="L35" s="36">
        <f t="shared" si="2"/>
        <v>19000</v>
      </c>
      <c r="M35" s="36">
        <f t="shared" si="5"/>
        <v>1000</v>
      </c>
      <c r="N35" s="36">
        <f t="shared" si="6"/>
        <v>1000</v>
      </c>
      <c r="O35" s="36">
        <f t="shared" si="7"/>
        <v>4000</v>
      </c>
      <c r="P35" s="36">
        <f>VLOOKUP($A35,[26]HISTOMARS25!$A$6:$AU$51,8,0)</f>
        <v>0</v>
      </c>
      <c r="Q35" s="36">
        <f>VLOOKUP($A35,[26]HISTOMARS25!$A$6:$AU$51,23,0)</f>
        <v>0</v>
      </c>
      <c r="R35" s="36">
        <f>VLOOKUP($A35,[26]HISTOMARS25!$A$6:$AU$51,46,0)</f>
        <v>0</v>
      </c>
      <c r="S35" s="36">
        <f>VLOOKUP($A35,[26]HISTOMARS25!$A$6:$AU$51,26,0)</f>
        <v>0</v>
      </c>
      <c r="T35" s="36">
        <f>VLOOKUP($A35,[26]HISTOMARS25!$A$6:$BG$51,58,0)</f>
        <v>0</v>
      </c>
      <c r="U35" s="36">
        <f>VLOOKUP($A35,[26]HISTOMARS25!$A$6:$AU$51,28,0)</f>
        <v>0</v>
      </c>
      <c r="V35" s="36">
        <f>VLOOKUP($A35,[26]HISTOMARS25!$A$6:$AU$51,19,0)</f>
        <v>0</v>
      </c>
      <c r="W35" s="36">
        <f>VLOOKUP($A35,[26]HISTOMARS25!$A$6:$AU$51,20,0)</f>
        <v>0</v>
      </c>
      <c r="X35" s="36">
        <f>VLOOKUP($A35,[26]HISTOMARS25!$A$6:$AU$51,27,0)</f>
        <v>0</v>
      </c>
      <c r="Y35" s="36">
        <f>VLOOKUP($A35,[26]HISTOMARS25!$A$6:$BM$51,33,0)</f>
        <v>0</v>
      </c>
      <c r="Z35" s="36">
        <f>VLOOKUP($A35,[26]HISTOMARS25!$A$6:$BM$51,64,0)</f>
        <v>0</v>
      </c>
      <c r="AA35" s="36"/>
      <c r="AB35" s="36">
        <f>VLOOKUP($A35,[26]HISTOMARS25!$A$6:$AU$51,44,0)</f>
        <v>0</v>
      </c>
      <c r="AC35" s="36">
        <f>VLOOKUP($A35,[26]HISTOMARS25!$A$6:$AU$51,43,0)</f>
        <v>0</v>
      </c>
      <c r="AD35" s="36">
        <f>VLOOKUP($A35,[26]HISTOMARS25!$A$6:$BR$51,47,0)</f>
        <v>0</v>
      </c>
      <c r="AE35" s="36">
        <f>VLOOKUP(A35,[26]HISTOMARS25!$A$6:$BR$51,54,0)</f>
        <v>0</v>
      </c>
      <c r="AF35" s="36">
        <f>VLOOKUP($A35,[26]HISTOMARS25!$A$6:$BR$51,60,0)</f>
        <v>0</v>
      </c>
      <c r="AG35" s="36">
        <f>VLOOKUP($A35,[26]HISTOMARS25!$A$6:$CB$51,61,0)</f>
        <v>0</v>
      </c>
      <c r="AH35" s="36">
        <f>VLOOKUP($A35,[26]HISTOMARS25!$A$6:$CB$51,62,0)</f>
        <v>0</v>
      </c>
      <c r="AI35" s="36">
        <f>VLOOKUP($A35,[26]HISTOMARS25!$A$6:$CB$51,63,0)</f>
        <v>0</v>
      </c>
      <c r="AJ35" s="36">
        <f>VLOOKUP($A35,[26]HISTOMARS25!$A$6:$BR$51,64,0)</f>
        <v>0</v>
      </c>
      <c r="AK35" s="36">
        <f>VLOOKUP($A35,[26]HISTOMARS25!$A$6:$BR$51,65,0)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VLOOKUP($A36,[26]HISTOMARS25!$A$6:$BA$51,48,0)</f>
        <v>0</v>
      </c>
      <c r="F36" s="36">
        <f>VLOOKUP(A36,MVTFEV25!A36:AM71,6,0)+MVTFEV25!H36-E36+L36</f>
        <v>898960.59998873819</v>
      </c>
      <c r="G36" s="5">
        <f>IF(MVTMARS25!F36&gt;800000,(MVTFEV25!I36-E36+L36),0)</f>
        <v>898960.59998873819</v>
      </c>
      <c r="H36" s="36">
        <f>VLOOKUP(A36,[27]MVTMARS25!$A$6:$AM$42,8,0)</f>
        <v>13175.75200953085</v>
      </c>
      <c r="I36" s="6">
        <f t="shared" si="1"/>
        <v>912136.35199826909</v>
      </c>
      <c r="J36" s="36">
        <f>VLOOKUP($A36,[26]HISTOMARS25!$A$6:$AQ$51,22,0)</f>
        <v>0</v>
      </c>
      <c r="K36" s="36">
        <f>VLOOKUP($A36,[26]HISTOMARS25!$A$6:$AU$51,45,0)</f>
        <v>25000</v>
      </c>
      <c r="L36" s="36">
        <f t="shared" si="2"/>
        <v>19000</v>
      </c>
      <c r="M36" s="36">
        <f t="shared" si="5"/>
        <v>1000</v>
      </c>
      <c r="N36" s="36">
        <f t="shared" si="6"/>
        <v>1000</v>
      </c>
      <c r="O36" s="36">
        <f t="shared" si="7"/>
        <v>4000</v>
      </c>
      <c r="P36" s="36">
        <f>VLOOKUP($A36,[26]HISTOMARS25!$A$6:$AU$51,8,0)</f>
        <v>0</v>
      </c>
      <c r="Q36" s="36">
        <f>VLOOKUP($A36,[26]HISTOMARS25!$A$6:$AU$51,23,0)</f>
        <v>0</v>
      </c>
      <c r="R36" s="36">
        <f>VLOOKUP($A36,[26]HISTOMARS25!$A$6:$AU$51,46,0)</f>
        <v>0</v>
      </c>
      <c r="S36" s="36">
        <f>VLOOKUP($A36,[26]HISTOMARS25!$A$6:$AU$51,26,0)</f>
        <v>0</v>
      </c>
      <c r="T36" s="36">
        <f>VLOOKUP($A36,[26]HISTOMARS25!$A$6:$BG$51,58,0)</f>
        <v>0</v>
      </c>
      <c r="U36" s="36">
        <f>VLOOKUP($A36,[26]HISTOMARS25!$A$6:$AU$51,28,0)</f>
        <v>0</v>
      </c>
      <c r="V36" s="36">
        <f>VLOOKUP($A36,[26]HISTOMARS25!$A$6:$AU$51,19,0)</f>
        <v>0</v>
      </c>
      <c r="W36" s="36">
        <f>VLOOKUP($A36,[26]HISTOMARS25!$A$6:$AU$51,20,0)</f>
        <v>0</v>
      </c>
      <c r="X36" s="36">
        <f>VLOOKUP($A36,[26]HISTOMARS25!$A$6:$AU$51,27,0)</f>
        <v>0</v>
      </c>
      <c r="Y36" s="36">
        <f>VLOOKUP($A36,[26]HISTOMARS25!$A$6:$BM$51,33,0)</f>
        <v>0</v>
      </c>
      <c r="Z36" s="36">
        <f>VLOOKUP($A36,[26]HISTOMARS25!$A$6:$BM$51,64,0)</f>
        <v>0</v>
      </c>
      <c r="AA36" s="36"/>
      <c r="AB36" s="36">
        <f>VLOOKUP($A36,[26]HISTOMARS25!$A$6:$AU$51,44,0)</f>
        <v>0</v>
      </c>
      <c r="AC36" s="36">
        <f>VLOOKUP($A36,[26]HISTOMARS25!$A$6:$AU$51,43,0)</f>
        <v>0</v>
      </c>
      <c r="AD36" s="36">
        <f>VLOOKUP($A36,[26]HISTOMARS25!$A$6:$BR$51,47,0)</f>
        <v>0</v>
      </c>
      <c r="AE36" s="36">
        <f>VLOOKUP(A36,[26]HISTOMARS25!$A$6:$BR$51,54,0)</f>
        <v>0</v>
      </c>
      <c r="AF36" s="36">
        <f>VLOOKUP($A36,[26]HISTOMARS25!$A$6:$BR$51,60,0)</f>
        <v>0</v>
      </c>
      <c r="AG36" s="36">
        <f>VLOOKUP($A36,[26]HISTOMARS25!$A$6:$CB$51,61,0)</f>
        <v>0</v>
      </c>
      <c r="AH36" s="36">
        <f>VLOOKUP($A36,[26]HISTOMARS25!$A$6:$CB$51,62,0)</f>
        <v>0</v>
      </c>
      <c r="AI36" s="36">
        <f>VLOOKUP($A36,[26]HISTOMARS25!$A$6:$CB$51,63,0)</f>
        <v>0</v>
      </c>
      <c r="AJ36" s="36">
        <f>VLOOKUP($A36,[26]HISTOMARS25!$A$6:$BR$51,64,0)</f>
        <v>0</v>
      </c>
      <c r="AK36" s="36">
        <f>VLOOKUP($A36,[26]HISTOMARS25!$A$6:$BR$51,65,0)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VLOOKUP($A37,[26]HISTOMARS25!$A$6:$BA$51,48,0)</f>
        <v>0</v>
      </c>
      <c r="F37" s="36">
        <f>VLOOKUP(A37,MVTFEV25!A37:AM72,6,0)+MVTFEV25!H37-E37+L37</f>
        <v>544750</v>
      </c>
      <c r="G37" s="5">
        <f>IF(MVTMARS25!F37&gt;800000,(MVTFEV25!I37-E37+L37),0)</f>
        <v>0</v>
      </c>
      <c r="H37" s="36">
        <f>VLOOKUP(A37,[27]MVTMARS25!$A$6:$AM$42,8,0)</f>
        <v>0</v>
      </c>
      <c r="I37" s="6">
        <f t="shared" si="1"/>
        <v>544750</v>
      </c>
      <c r="J37" s="36">
        <f>VLOOKUP($A37,[26]HISTOMARS25!$A$6:$AQ$51,22,0)</f>
        <v>0</v>
      </c>
      <c r="K37" s="36">
        <f>VLOOKUP($A37,[26]HISTOMARS25!$A$6:$AU$51,45,0)</f>
        <v>25000</v>
      </c>
      <c r="L37" s="36">
        <f t="shared" si="2"/>
        <v>19000</v>
      </c>
      <c r="M37" s="36">
        <f t="shared" si="5"/>
        <v>1000</v>
      </c>
      <c r="N37" s="36">
        <f t="shared" si="6"/>
        <v>1000</v>
      </c>
      <c r="O37" s="36">
        <f t="shared" si="7"/>
        <v>4000</v>
      </c>
      <c r="P37" s="36">
        <f>VLOOKUP($A37,[26]HISTOMARS25!$A$6:$AU$51,8,0)</f>
        <v>0</v>
      </c>
      <c r="Q37" s="36">
        <f>VLOOKUP($A37,[26]HISTOMARS25!$A$6:$AU$51,23,0)</f>
        <v>0</v>
      </c>
      <c r="R37" s="36">
        <f>VLOOKUP($A37,[26]HISTOMARS25!$A$6:$AU$51,46,0)</f>
        <v>0</v>
      </c>
      <c r="S37" s="36">
        <f>VLOOKUP($A37,[26]HISTOMARS25!$A$6:$AU$51,26,0)</f>
        <v>0</v>
      </c>
      <c r="T37" s="36">
        <f>VLOOKUP($A37,[26]HISTOMARS25!$A$6:$BG$51,58,0)</f>
        <v>0</v>
      </c>
      <c r="U37" s="36">
        <f>VLOOKUP($A37,[26]HISTOMARS25!$A$6:$AU$51,28,0)</f>
        <v>0</v>
      </c>
      <c r="V37" s="36">
        <f>VLOOKUP($A37,[26]HISTOMARS25!$A$6:$AU$51,19,0)</f>
        <v>0</v>
      </c>
      <c r="W37" s="36">
        <f>VLOOKUP($A37,[26]HISTOMARS25!$A$6:$AU$51,20,0)</f>
        <v>0</v>
      </c>
      <c r="X37" s="36">
        <f>VLOOKUP($A37,[26]HISTOMARS25!$A$6:$AU$51,27,0)</f>
        <v>0</v>
      </c>
      <c r="Y37" s="36">
        <f>VLOOKUP($A37,[26]HISTOMARS25!$A$6:$BM$51,33,0)</f>
        <v>0</v>
      </c>
      <c r="Z37" s="36">
        <f>VLOOKUP($A37,[26]HISTOMARS25!$A$6:$BM$51,64,0)</f>
        <v>0</v>
      </c>
      <c r="AA37" s="36"/>
      <c r="AB37" s="36">
        <f>VLOOKUP($A37,[26]HISTOMARS25!$A$6:$AU$51,44,0)</f>
        <v>0</v>
      </c>
      <c r="AC37" s="36">
        <f>VLOOKUP($A37,[26]HISTOMARS25!$A$6:$AU$51,43,0)</f>
        <v>0</v>
      </c>
      <c r="AD37" s="36">
        <f>VLOOKUP($A37,[26]HISTOMARS25!$A$6:$BR$51,47,0)</f>
        <v>0</v>
      </c>
      <c r="AE37" s="36">
        <f>VLOOKUP(A37,[26]HISTOMARS25!$A$6:$BR$51,54,0)</f>
        <v>0</v>
      </c>
      <c r="AF37" s="36">
        <f>VLOOKUP($A37,[26]HISTOMARS25!$A$6:$BR$51,60,0)</f>
        <v>0</v>
      </c>
      <c r="AG37" s="36">
        <f>VLOOKUP($A37,[26]HISTOMARS25!$A$6:$CB$51,61,0)</f>
        <v>0</v>
      </c>
      <c r="AH37" s="36">
        <f>VLOOKUP($A37,[26]HISTOMARS25!$A$6:$CB$51,62,0)</f>
        <v>0</v>
      </c>
      <c r="AI37" s="36">
        <f>VLOOKUP($A37,[26]HISTOMARS25!$A$6:$CB$51,63,0)</f>
        <v>0</v>
      </c>
      <c r="AJ37" s="36">
        <f>VLOOKUP($A37,[26]HISTOMARS25!$A$6:$BR$51,64,0)</f>
        <v>0</v>
      </c>
      <c r="AK37" s="36">
        <f>VLOOKUP($A37,[26]HISTOMARS25!$A$6:$BR$51,65,0)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VLOOKUP($A38,[26]HISTOMARS25!$A$6:$BA$51,48,0)</f>
        <v>0</v>
      </c>
      <c r="F38" s="36">
        <f>VLOOKUP(A38,MVTFEV25!A38:AM73,6,0)+MVTFEV25!H38-E38+L38</f>
        <v>54000</v>
      </c>
      <c r="G38" s="5">
        <f>IF(MVTMARS25!F38&gt;800000,(MVTFEV25!I38-E38+L38),0)</f>
        <v>0</v>
      </c>
      <c r="H38" s="36">
        <f>VLOOKUP(A38,[27]MVTMARS25!$A$6:$AM$42,8,0)</f>
        <v>0</v>
      </c>
      <c r="I38" s="6">
        <f t="shared" si="1"/>
        <v>54000</v>
      </c>
      <c r="J38" s="36">
        <f>VLOOKUP($A38,[26]HISTOMARS25!$A$6:$AQ$51,22,0)</f>
        <v>0</v>
      </c>
      <c r="K38" s="36">
        <f>VLOOKUP($A38,[26]HISTOMARS25!$A$6:$AU$51,45,0)</f>
        <v>22000</v>
      </c>
      <c r="L38" s="36">
        <f t="shared" si="2"/>
        <v>16000</v>
      </c>
      <c r="M38" s="36">
        <f t="shared" si="5"/>
        <v>1000</v>
      </c>
      <c r="N38" s="36">
        <f t="shared" si="6"/>
        <v>1000</v>
      </c>
      <c r="O38" s="36">
        <f t="shared" si="7"/>
        <v>4000</v>
      </c>
      <c r="P38" s="36">
        <f>VLOOKUP($A38,[26]HISTOMARS25!$A$6:$AU$51,8,0)</f>
        <v>3000</v>
      </c>
      <c r="Q38" s="36">
        <f>VLOOKUP($A38,[26]HISTOMARS25!$A$6:$AU$51,23,0)</f>
        <v>0</v>
      </c>
      <c r="R38" s="36">
        <f>VLOOKUP($A38,[26]HISTOMARS25!$A$6:$AU$51,46,0)</f>
        <v>0</v>
      </c>
      <c r="S38" s="36">
        <f>VLOOKUP($A38,[26]HISTOMARS25!$A$6:$AU$51,26,0)</f>
        <v>0</v>
      </c>
      <c r="T38" s="36">
        <f>VLOOKUP($A38,[26]HISTOMARS25!$A$6:$BG$51,58,0)</f>
        <v>0</v>
      </c>
      <c r="U38" s="36">
        <f>VLOOKUP($A38,[26]HISTOMARS25!$A$6:$AU$51,28,0)</f>
        <v>0</v>
      </c>
      <c r="V38" s="36">
        <f>VLOOKUP($A38,[26]HISTOMARS25!$A$6:$AU$51,19,0)</f>
        <v>0</v>
      </c>
      <c r="W38" s="36">
        <f>VLOOKUP($A38,[26]HISTOMARS25!$A$6:$AU$51,20,0)</f>
        <v>0</v>
      </c>
      <c r="X38" s="36">
        <f>VLOOKUP($A38,[26]HISTOMARS25!$A$6:$AU$51,27,0)</f>
        <v>0</v>
      </c>
      <c r="Y38" s="36">
        <f>VLOOKUP($A38,[26]HISTOMARS25!$A$6:$BM$51,33,0)</f>
        <v>0</v>
      </c>
      <c r="Z38" s="36">
        <f>VLOOKUP($A38,[26]HISTOMARS25!$A$6:$BM$51,64,0)</f>
        <v>0</v>
      </c>
      <c r="AA38" s="36"/>
      <c r="AB38" s="36">
        <f>VLOOKUP($A38,[26]HISTOMARS25!$A$6:$AU$51,44,0)</f>
        <v>0</v>
      </c>
      <c r="AC38" s="36">
        <f>VLOOKUP($A38,[26]HISTOMARS25!$A$6:$AU$51,43,0)</f>
        <v>0</v>
      </c>
      <c r="AD38" s="36">
        <f>VLOOKUP($A38,[26]HISTOMARS25!$A$6:$BR$51,47,0)</f>
        <v>0</v>
      </c>
      <c r="AE38" s="36">
        <f>VLOOKUP(A38,[26]HISTOMARS25!$A$6:$BR$51,54,0)</f>
        <v>0</v>
      </c>
      <c r="AF38" s="36">
        <f>VLOOKUP($A38,[26]HISTOMARS25!$A$6:$BR$51,60,0)</f>
        <v>0</v>
      </c>
      <c r="AG38" s="36">
        <f>VLOOKUP($A38,[26]HISTOMARS25!$A$6:$CB$51,61,0)</f>
        <v>0</v>
      </c>
      <c r="AH38" s="36">
        <f>VLOOKUP($A38,[26]HISTOMARS25!$A$6:$CB$51,62,0)</f>
        <v>0</v>
      </c>
      <c r="AI38" s="36">
        <f>VLOOKUP($A38,[26]HISTOMARS25!$A$6:$CB$51,63,0)</f>
        <v>0</v>
      </c>
      <c r="AJ38" s="36">
        <f>VLOOKUP($A38,[26]HISTOMARS25!$A$6:$BR$51,64,0)</f>
        <v>0</v>
      </c>
      <c r="AK38" s="36">
        <f>VLOOKUP($A38,[26]HISTOMARS25!$A$6:$BR$51,65,0)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VLOOKUP($A39,[26]HISTOMARS25!$A$6:$BA$51,48,0)</f>
        <v>0</v>
      </c>
      <c r="F39" s="36">
        <f>VLOOKUP(A39,MVTFEV25!A39:AM74,6,0)+MVTFEV25!H39-E39+L39</f>
        <v>873204.92762338568</v>
      </c>
      <c r="G39" s="5">
        <f>IF(MVTMARS25!F39&gt;800000,(MVTFEV25!I39-E39+L39),0)</f>
        <v>873204.92762338568</v>
      </c>
      <c r="H39" s="36">
        <f>VLOOKUP(A39,[27]MVTMARS25!$A$6:$AM$42,8,0)</f>
        <v>12798.260101733264</v>
      </c>
      <c r="I39" s="6">
        <f t="shared" si="1"/>
        <v>886003.18772511894</v>
      </c>
      <c r="J39" s="36">
        <f>VLOOKUP($A39,[26]HISTOMARS25!$A$6:$AQ$51,22,0)</f>
        <v>0</v>
      </c>
      <c r="K39" s="36">
        <f>VLOOKUP($A39,[26]HISTOMARS25!$A$6:$AU$51,45,0)</f>
        <v>30000</v>
      </c>
      <c r="L39" s="36">
        <f t="shared" si="2"/>
        <v>24000</v>
      </c>
      <c r="M39" s="36">
        <f t="shared" si="5"/>
        <v>1000</v>
      </c>
      <c r="N39" s="36">
        <f t="shared" si="6"/>
        <v>1000</v>
      </c>
      <c r="O39" s="36">
        <f t="shared" si="7"/>
        <v>4000</v>
      </c>
      <c r="P39" s="36">
        <f>VLOOKUP($A39,[26]HISTOMARS25!$A$6:$AU$51,8,0)</f>
        <v>0</v>
      </c>
      <c r="Q39" s="36">
        <f>VLOOKUP($A39,[26]HISTOMARS25!$A$6:$AU$51,23,0)</f>
        <v>0</v>
      </c>
      <c r="R39" s="36">
        <f>VLOOKUP($A39,[26]HISTOMARS25!$A$6:$AU$51,46,0)</f>
        <v>0</v>
      </c>
      <c r="S39" s="36">
        <f>VLOOKUP($A39,[26]HISTOMARS25!$A$6:$AU$51,26,0)</f>
        <v>0</v>
      </c>
      <c r="T39" s="36">
        <f>VLOOKUP($A39,[26]HISTOMARS25!$A$6:$BG$51,58,0)</f>
        <v>0</v>
      </c>
      <c r="U39" s="36">
        <f>VLOOKUP($A39,[26]HISTOMARS25!$A$6:$AU$51,28,0)</f>
        <v>0</v>
      </c>
      <c r="V39" s="36">
        <f>VLOOKUP($A39,[26]HISTOMARS25!$A$6:$AU$51,19,0)</f>
        <v>0</v>
      </c>
      <c r="W39" s="36">
        <f>VLOOKUP($A39,[26]HISTOMARS25!$A$6:$AU$51,20,0)</f>
        <v>0</v>
      </c>
      <c r="X39" s="36">
        <f>VLOOKUP($A39,[26]HISTOMARS25!$A$6:$AU$51,27,0)</f>
        <v>0</v>
      </c>
      <c r="Y39" s="36">
        <f>VLOOKUP($A39,[26]HISTOMARS25!$A$6:$BM$51,33,0)</f>
        <v>0</v>
      </c>
      <c r="Z39" s="36">
        <f>VLOOKUP($A39,[26]HISTOMARS25!$A$6:$BM$51,64,0)</f>
        <v>0</v>
      </c>
      <c r="AA39" s="36"/>
      <c r="AB39" s="36">
        <f>VLOOKUP($A39,[26]HISTOMARS25!$A$6:$AU$51,44,0)</f>
        <v>0</v>
      </c>
      <c r="AC39" s="36">
        <f>VLOOKUP($A39,[26]HISTOMARS25!$A$6:$AU$51,43,0)</f>
        <v>0</v>
      </c>
      <c r="AD39" s="36">
        <f>VLOOKUP($A39,[26]HISTOMARS25!$A$6:$BR$51,47,0)</f>
        <v>0</v>
      </c>
      <c r="AE39" s="36">
        <f>VLOOKUP(A39,[26]HISTOMARS25!$A$6:$BR$51,54,0)</f>
        <v>0</v>
      </c>
      <c r="AF39" s="36">
        <f>VLOOKUP($A39,[26]HISTOMARS25!$A$6:$BR$51,60,0)</f>
        <v>0</v>
      </c>
      <c r="AG39" s="36">
        <f>VLOOKUP($A39,[26]HISTOMARS25!$A$6:$CB$51,61,0)</f>
        <v>0</v>
      </c>
      <c r="AH39" s="36">
        <f>VLOOKUP($A39,[26]HISTOMARS25!$A$6:$CB$51,62,0)</f>
        <v>0</v>
      </c>
      <c r="AI39" s="36">
        <f>VLOOKUP($A39,[26]HISTOMARS25!$A$6:$CB$51,63,0)</f>
        <v>0</v>
      </c>
      <c r="AJ39" s="36">
        <f>VLOOKUP($A39,[26]HISTOMARS25!$A$6:$BR$51,64,0)</f>
        <v>0</v>
      </c>
      <c r="AK39" s="36">
        <f>VLOOKUP($A39,[26]HISTOMARS25!$A$6:$BR$51,65,0)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VLOOKUP($A40,[26]HISTOMARS25!$A$6:$BA$51,48,0)</f>
        <v>0</v>
      </c>
      <c r="F40" s="36">
        <f>VLOOKUP(A40,MVTFEV25!A40:AM75,6,0)+MVTFEV25!H40-E40+L40</f>
        <v>1681133.7240747348</v>
      </c>
      <c r="G40" s="5">
        <f>IF(MVTMARS25!F40&gt;800000,(MVTFEV25!I40-E40+L40),0)</f>
        <v>1681133.7240747348</v>
      </c>
      <c r="H40" s="36">
        <f>VLOOKUP(A40,[27]MVTMARS25!$A$6:$AM$42,8,0)</f>
        <v>24639.790713347458</v>
      </c>
      <c r="I40" s="6">
        <f t="shared" si="1"/>
        <v>1705773.5147880823</v>
      </c>
      <c r="J40" s="36">
        <f>VLOOKUP($A40,[26]HISTOMARS25!$A$6:$AQ$51,22,0)</f>
        <v>0</v>
      </c>
      <c r="K40" s="36">
        <f>VLOOKUP($A40,[26]HISTOMARS25!$A$6:$AU$51,45,0)</f>
        <v>25000</v>
      </c>
      <c r="L40" s="36">
        <f t="shared" si="2"/>
        <v>19000</v>
      </c>
      <c r="M40" s="36">
        <f t="shared" si="5"/>
        <v>1000</v>
      </c>
      <c r="N40" s="36">
        <f t="shared" si="6"/>
        <v>1000</v>
      </c>
      <c r="O40" s="36">
        <f t="shared" si="7"/>
        <v>4000</v>
      </c>
      <c r="P40" s="36">
        <f>VLOOKUP($A40,[26]HISTOMARS25!$A$6:$AU$51,8,0)</f>
        <v>0</v>
      </c>
      <c r="Q40" s="36">
        <f>VLOOKUP($A40,[26]HISTOMARS25!$A$6:$AU$51,23,0)</f>
        <v>0</v>
      </c>
      <c r="R40" s="36">
        <f>VLOOKUP($A40,[26]HISTOMARS25!$A$6:$AU$51,46,0)</f>
        <v>0</v>
      </c>
      <c r="S40" s="36">
        <f>VLOOKUP($A40,[26]HISTOMARS25!$A$6:$AU$51,26,0)</f>
        <v>0</v>
      </c>
      <c r="T40" s="36">
        <f>VLOOKUP($A40,[26]HISTOMARS25!$A$6:$BG$51,58,0)</f>
        <v>0</v>
      </c>
      <c r="U40" s="36">
        <f>VLOOKUP($A40,[26]HISTOMARS25!$A$6:$AU$51,28,0)</f>
        <v>0</v>
      </c>
      <c r="V40" s="36">
        <f>VLOOKUP($A40,[26]HISTOMARS25!$A$6:$AU$51,19,0)</f>
        <v>0</v>
      </c>
      <c r="W40" s="36">
        <f>VLOOKUP($A40,[26]HISTOMARS25!$A$6:$AU$51,20,0)</f>
        <v>0</v>
      </c>
      <c r="X40" s="36">
        <f>VLOOKUP($A40,[26]HISTOMARS25!$A$6:$AU$51,27,0)</f>
        <v>0</v>
      </c>
      <c r="Y40" s="36">
        <f>VLOOKUP($A40,[26]HISTOMARS25!$A$6:$BM$51,33,0)</f>
        <v>0</v>
      </c>
      <c r="Z40" s="36">
        <f>VLOOKUP($A40,[26]HISTOMARS25!$A$6:$BM$51,64,0)</f>
        <v>0</v>
      </c>
      <c r="AA40" s="36"/>
      <c r="AB40" s="36">
        <f>VLOOKUP($A40,[26]HISTOMARS25!$A$6:$AU$51,44,0)</f>
        <v>0</v>
      </c>
      <c r="AC40" s="36">
        <f>VLOOKUP($A40,[26]HISTOMARS25!$A$6:$AU$51,43,0)</f>
        <v>0</v>
      </c>
      <c r="AD40" s="36">
        <f>VLOOKUP($A40,[26]HISTOMARS25!$A$6:$BR$51,47,0)</f>
        <v>0</v>
      </c>
      <c r="AE40" s="36">
        <f>VLOOKUP(A40,[26]HISTOMARS25!$A$6:$BR$51,54,0)</f>
        <v>0</v>
      </c>
      <c r="AF40" s="36">
        <f>VLOOKUP($A40,[26]HISTOMARS25!$A$6:$BR$51,60,0)</f>
        <v>0</v>
      </c>
      <c r="AG40" s="36">
        <f>VLOOKUP($A40,[26]HISTOMARS25!$A$6:$CB$51,61,0)</f>
        <v>0</v>
      </c>
      <c r="AH40" s="36">
        <f>VLOOKUP($A40,[26]HISTOMARS25!$A$6:$CB$51,62,0)</f>
        <v>0</v>
      </c>
      <c r="AI40" s="36">
        <f>VLOOKUP($A40,[26]HISTOMARS25!$A$6:$CB$51,63,0)</f>
        <v>0</v>
      </c>
      <c r="AJ40" s="36">
        <f>VLOOKUP($A40,[26]HISTOMARS25!$A$6:$BR$51,64,0)</f>
        <v>0</v>
      </c>
      <c r="AK40" s="36">
        <f>VLOOKUP($A40,[26]HISTOMARS25!$A$6:$BR$51,65,0)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VLOOKUP($A41,[26]HISTOMARS25!$A$6:$BA$51,48,0)</f>
        <v>0</v>
      </c>
      <c r="F41" s="36">
        <f>VLOOKUP(A41,MVTFEV25!A41:AM76,6,0)+MVTFEV25!H41-E41+L41</f>
        <v>902799.64337315073</v>
      </c>
      <c r="G41" s="5">
        <f>IF(MVTMARS25!F41&gt;800000,(MVTFEV25!I41-E41+L41),0)</f>
        <v>902799.64337315073</v>
      </c>
      <c r="H41" s="36">
        <f>VLOOKUP(A41,[27]MVTMARS25!$A$6:$AM$42,8,0)</f>
        <v>13232.019529583991</v>
      </c>
      <c r="I41" s="6">
        <f t="shared" si="1"/>
        <v>916031.66290273471</v>
      </c>
      <c r="J41" s="36">
        <f>VLOOKUP($A41,[26]HISTOMARS25!$A$6:$AQ$51,22,0)</f>
        <v>0</v>
      </c>
      <c r="K41" s="36">
        <f>VLOOKUP($A41,[26]HISTOMARS25!$A$6:$AU$51,45,0)</f>
        <v>25000</v>
      </c>
      <c r="L41" s="36">
        <f t="shared" si="2"/>
        <v>19000</v>
      </c>
      <c r="M41" s="36">
        <f t="shared" si="5"/>
        <v>1000</v>
      </c>
      <c r="N41" s="36">
        <f t="shared" si="6"/>
        <v>1000</v>
      </c>
      <c r="O41" s="36">
        <f t="shared" si="7"/>
        <v>4000</v>
      </c>
      <c r="P41" s="36">
        <f>VLOOKUP($A41,[26]HISTOMARS25!$A$6:$AU$51,8,0)</f>
        <v>3000</v>
      </c>
      <c r="Q41" s="36">
        <f>VLOOKUP($A41,[26]HISTOMARS25!$A$6:$AU$51,23,0)</f>
        <v>0</v>
      </c>
      <c r="R41" s="36">
        <f>VLOOKUP($A41,[26]HISTOMARS25!$A$6:$AU$51,46,0)</f>
        <v>0</v>
      </c>
      <c r="S41" s="36">
        <f>VLOOKUP($A41,[26]HISTOMARS25!$A$6:$AU$51,26,0)</f>
        <v>0</v>
      </c>
      <c r="T41" s="36">
        <f>VLOOKUP($A41,[26]HISTOMARS25!$A$6:$BG$51,58,0)</f>
        <v>0</v>
      </c>
      <c r="U41" s="36">
        <f>VLOOKUP($A41,[26]HISTOMARS25!$A$6:$AU$51,28,0)</f>
        <v>0</v>
      </c>
      <c r="V41" s="36">
        <f>VLOOKUP($A41,[26]HISTOMARS25!$A$6:$AU$51,19,0)</f>
        <v>0</v>
      </c>
      <c r="W41" s="36">
        <f>VLOOKUP($A41,[26]HISTOMARS25!$A$6:$AU$51,20,0)</f>
        <v>0</v>
      </c>
      <c r="X41" s="36">
        <f>VLOOKUP($A41,[26]HISTOMARS25!$A$6:$AU$51,27,0)</f>
        <v>0</v>
      </c>
      <c r="Y41" s="36">
        <f>VLOOKUP($A41,[26]HISTOMARS25!$A$6:$BM$51,33,0)</f>
        <v>0</v>
      </c>
      <c r="Z41" s="36">
        <f>VLOOKUP($A41,[26]HISTOMARS25!$A$6:$BM$51,64,0)</f>
        <v>0</v>
      </c>
      <c r="AA41" s="36"/>
      <c r="AB41" s="36">
        <f>VLOOKUP($A41,[26]HISTOMARS25!$A$6:$AU$51,44,0)</f>
        <v>0</v>
      </c>
      <c r="AC41" s="36">
        <f>VLOOKUP($A41,[26]HISTOMARS25!$A$6:$AU$51,43,0)</f>
        <v>0</v>
      </c>
      <c r="AD41" s="36">
        <f>VLOOKUP($A41,[26]HISTOMARS25!$A$6:$BR$51,47,0)</f>
        <v>0</v>
      </c>
      <c r="AE41" s="36">
        <f>VLOOKUP(A41,[26]HISTOMARS25!$A$6:$BR$51,54,0)</f>
        <v>0</v>
      </c>
      <c r="AF41" s="36">
        <f>VLOOKUP($A41,[26]HISTOMARS25!$A$6:$BR$51,60,0)</f>
        <v>0</v>
      </c>
      <c r="AG41" s="36">
        <f>VLOOKUP($A41,[26]HISTOMARS25!$A$6:$CB$51,61,0)</f>
        <v>0</v>
      </c>
      <c r="AH41" s="36">
        <f>VLOOKUP($A41,[26]HISTOMARS25!$A$6:$CB$51,62,0)</f>
        <v>0</v>
      </c>
      <c r="AI41" s="36">
        <f>VLOOKUP($A41,[26]HISTOMARS25!$A$6:$CB$51,63,0)</f>
        <v>0</v>
      </c>
      <c r="AJ41" s="36">
        <f>VLOOKUP($A41,[26]HISTOMARS25!$A$6:$BR$51,64,0)</f>
        <v>0</v>
      </c>
      <c r="AK41" s="36">
        <f>VLOOKUP($A41,[26]HISTOMARS25!$A$6:$BR$51,65,0)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VLOOKUP($A42,[26]HISTOMARS25!$A$6:$BA$51,48,0)</f>
        <v>0</v>
      </c>
      <c r="F42" s="36">
        <f>VLOOKUP(A42,MVTFEV25!A42:AM77,6,0)+MVTFEV25!H42-E42+L42</f>
        <v>2172577.6005477943</v>
      </c>
      <c r="G42" s="5">
        <f>IF(MVTMARS25!F42&gt;800000,(MVTFEV25!I42-E42+L42),0)</f>
        <v>2172577.6005477943</v>
      </c>
      <c r="H42" s="36">
        <f>VLOOKUP(A42,[27]MVTMARS25!$A$6:$AM$42,8,0)</f>
        <v>31842.712224137431</v>
      </c>
      <c r="I42" s="6">
        <f t="shared" si="1"/>
        <v>2204420.3127719318</v>
      </c>
      <c r="J42" s="36">
        <f>VLOOKUP($A42,[26]HISTOMARS25!$A$6:$AQ$51,22,0)</f>
        <v>0</v>
      </c>
      <c r="K42" s="36">
        <f>VLOOKUP($A42,[26]HISTOMARS25!$A$6:$AU$51,45,0)</f>
        <v>25000</v>
      </c>
      <c r="L42" s="36">
        <f t="shared" si="2"/>
        <v>19000</v>
      </c>
      <c r="M42" s="36">
        <f t="shared" si="5"/>
        <v>1000</v>
      </c>
      <c r="N42" s="36">
        <f t="shared" si="6"/>
        <v>1000</v>
      </c>
      <c r="O42" s="36">
        <f t="shared" si="7"/>
        <v>4000</v>
      </c>
      <c r="P42" s="36">
        <f>VLOOKUP($A42,[26]HISTOMARS25!$A$6:$AU$51,8,0)</f>
        <v>0</v>
      </c>
      <c r="Q42" s="36">
        <f>VLOOKUP($A42,[26]HISTOMARS25!$A$6:$AU$51,23,0)</f>
        <v>0</v>
      </c>
      <c r="R42" s="36">
        <f>VLOOKUP($A42,[26]HISTOMARS25!$A$6:$AU$51,46,0)</f>
        <v>0</v>
      </c>
      <c r="S42" s="36">
        <f>VLOOKUP($A42,[26]HISTOMARS25!$A$6:$AU$51,26,0)</f>
        <v>0</v>
      </c>
      <c r="T42" s="36">
        <f>VLOOKUP($A42,[26]HISTOMARS25!$A$6:$BG$51,58,0)</f>
        <v>0</v>
      </c>
      <c r="U42" s="36">
        <f>VLOOKUP($A42,[26]HISTOMARS25!$A$6:$AU$51,28,0)</f>
        <v>0</v>
      </c>
      <c r="V42" s="36">
        <f>VLOOKUP($A42,[26]HISTOMARS25!$A$6:$AU$51,19,0)</f>
        <v>500000</v>
      </c>
      <c r="W42" s="36" t="str">
        <f>VLOOKUP($A42,[26]HISTOMARS25!$A$6:$AU$51,20,0)</f>
        <v>BANQUE</v>
      </c>
      <c r="X42" s="36">
        <f>VLOOKUP($A42,[26]HISTOMARS25!$A$6:$AU$51,27,0)</f>
        <v>0</v>
      </c>
      <c r="Y42" s="36">
        <f>VLOOKUP($A42,[26]HISTOMARS25!$A$6:$BM$51,33,0)</f>
        <v>0</v>
      </c>
      <c r="Z42" s="36">
        <f>VLOOKUP($A42,[26]HISTOMARS25!$A$6:$BM$51,64,0)</f>
        <v>0</v>
      </c>
      <c r="AA42" s="36"/>
      <c r="AB42" s="36">
        <f>VLOOKUP($A42,[26]HISTOMARS25!$A$6:$AU$51,44,0)</f>
        <v>0</v>
      </c>
      <c r="AC42" s="36">
        <f>VLOOKUP($A42,[26]HISTOMARS25!$A$6:$AU$51,43,0)</f>
        <v>0</v>
      </c>
      <c r="AD42" s="36">
        <f>VLOOKUP($A42,[26]HISTOMARS25!$A$6:$BR$51,47,0)</f>
        <v>0</v>
      </c>
      <c r="AE42" s="36">
        <f>VLOOKUP(A42,[26]HISTOMARS25!$A$6:$BR$51,54,0)</f>
        <v>0</v>
      </c>
      <c r="AF42" s="36">
        <f>VLOOKUP($A42,[26]HISTOMARS25!$A$6:$BR$51,60,0)</f>
        <v>0</v>
      </c>
      <c r="AG42" s="36">
        <f>VLOOKUP($A42,[26]HISTOMARS25!$A$6:$CB$51,61,0)</f>
        <v>0</v>
      </c>
      <c r="AH42" s="36">
        <f>VLOOKUP($A42,[26]HISTOMARS25!$A$6:$CB$51,62,0)</f>
        <v>0</v>
      </c>
      <c r="AI42" s="36">
        <f>VLOOKUP($A42,[26]HISTOMARS25!$A$6:$CB$51,63,0)</f>
        <v>0</v>
      </c>
      <c r="AJ42" s="36">
        <f>VLOOKUP($A42,[26]HISTOMARS25!$A$6:$BR$51,64,0)</f>
        <v>0</v>
      </c>
      <c r="AK42" s="36">
        <f>VLOOKUP($A42,[26]HISTOMARS25!$A$6:$BR$51,65,0)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79"/>
      <c r="L43" s="179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13">SUM(C6:C43)</f>
        <v>0</v>
      </c>
      <c r="D44" s="9">
        <f t="shared" si="13"/>
        <v>0</v>
      </c>
      <c r="E44" s="9">
        <f t="shared" si="13"/>
        <v>600000</v>
      </c>
      <c r="F44" s="9">
        <f t="shared" si="13"/>
        <v>34724612</v>
      </c>
      <c r="G44" s="9">
        <f t="shared" si="13"/>
        <v>34011862</v>
      </c>
      <c r="H44" s="36">
        <f t="shared" si="13"/>
        <v>498500</v>
      </c>
      <c r="I44" s="9">
        <f t="shared" si="13"/>
        <v>35223112</v>
      </c>
      <c r="J44" s="9">
        <f t="shared" si="13"/>
        <v>0</v>
      </c>
      <c r="K44" s="9">
        <f t="shared" si="13"/>
        <v>951500</v>
      </c>
      <c r="L44" s="9">
        <f t="shared" si="13"/>
        <v>741500</v>
      </c>
      <c r="M44" s="9">
        <f t="shared" si="13"/>
        <v>35000</v>
      </c>
      <c r="N44" s="9">
        <f t="shared" si="13"/>
        <v>35000</v>
      </c>
      <c r="O44" s="9">
        <f t="shared" si="13"/>
        <v>140000</v>
      </c>
      <c r="P44" s="9">
        <f t="shared" si="13"/>
        <v>9000</v>
      </c>
      <c r="Q44" s="9">
        <f t="shared" si="13"/>
        <v>0</v>
      </c>
      <c r="R44" s="9">
        <f t="shared" si="13"/>
        <v>0</v>
      </c>
      <c r="S44" s="9">
        <f t="shared" si="13"/>
        <v>4650000</v>
      </c>
      <c r="T44" s="9">
        <f t="shared" si="13"/>
        <v>498500</v>
      </c>
      <c r="U44" s="9">
        <f t="shared" si="13"/>
        <v>0</v>
      </c>
      <c r="V44" s="9">
        <f t="shared" si="13"/>
        <v>6185000</v>
      </c>
      <c r="W44" s="9"/>
      <c r="X44" s="9">
        <f t="shared" si="13"/>
        <v>0</v>
      </c>
      <c r="Y44" s="9">
        <f t="shared" si="13"/>
        <v>0</v>
      </c>
      <c r="Z44" s="9">
        <f t="shared" si="13"/>
        <v>0</v>
      </c>
      <c r="AA44" s="9">
        <f t="shared" si="13"/>
        <v>0</v>
      </c>
      <c r="AB44" s="9">
        <f t="shared" si="13"/>
        <v>0</v>
      </c>
      <c r="AC44" s="9">
        <f t="shared" si="13"/>
        <v>0</v>
      </c>
      <c r="AD44" s="9">
        <f t="shared" si="13"/>
        <v>0</v>
      </c>
      <c r="AE44" s="9">
        <f t="shared" si="13"/>
        <v>0</v>
      </c>
      <c r="AF44" s="9">
        <f t="shared" si="13"/>
        <v>52000</v>
      </c>
      <c r="AG44" s="9">
        <f t="shared" si="13"/>
        <v>0</v>
      </c>
      <c r="AH44" s="9">
        <f t="shared" si="13"/>
        <v>300000</v>
      </c>
      <c r="AI44" s="9">
        <f t="shared" si="13"/>
        <v>100000</v>
      </c>
      <c r="AJ44" s="9">
        <f t="shared" si="13"/>
        <v>0</v>
      </c>
      <c r="AK44" s="9">
        <f t="shared" si="13"/>
        <v>0</v>
      </c>
      <c r="AL44" s="9">
        <f t="shared" si="13"/>
        <v>0</v>
      </c>
    </row>
    <row r="46" spans="1:38" x14ac:dyDescent="0.35">
      <c r="H46">
        <v>498500.00000000006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79"/>
      <c r="L47" s="179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420E-E5D1-4024-AAAA-E04B7910DBD6}">
  <dimension ref="A1:AM47"/>
  <sheetViews>
    <sheetView workbookViewId="0">
      <pane xSplit="2" ySplit="5" topLeftCell="R6" activePane="bottomRight" state="frozen"/>
      <selection activeCell="B43" sqref="B43"/>
      <selection pane="topRight" activeCell="B43" sqref="B43"/>
      <selection pane="bottomLeft" activeCell="B43" sqref="B43"/>
      <selection pane="bottomRight" activeCell="A14" sqref="A14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1" bestFit="1" customWidth="1"/>
    <col min="12" max="12" width="17.54296875" style="181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0"/>
      <c r="K4" s="192">
        <v>45764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VLOOKUP(A6,MVTMARS25!A6:AM42,6,0)+MVTMARS25!H6-E6+L6</f>
        <v>1097006.6135231371</v>
      </c>
      <c r="G6" s="5">
        <f>IF(MVTAVRIL25!F6&gt;800000,(MVTMARS25!I6-E6+L6),0)</f>
        <v>1097006.6135231371</v>
      </c>
      <c r="H6" s="36">
        <f>VLOOKUP(A6,[27]MVTAVRIL25!$A$6:$AM$42,8,0)</f>
        <v>281.17270386573352</v>
      </c>
      <c r="I6" s="6">
        <f>F6+H6</f>
        <v>1097287.7862270027</v>
      </c>
      <c r="J6" s="36">
        <f>VLOOKUP($A6,[26]HISTOAVRIL25!$A$6:$AQ$51,22,0)</f>
        <v>0</v>
      </c>
      <c r="K6" s="36">
        <f>VLOOKUP($A6,[26]HISTOAVRIL25!$A$6:$AU$51,45,0)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VLOOKUP($A6,[26]HISTOAVRIL25!$A$6:$AU$51,8,0)</f>
        <v>0</v>
      </c>
      <c r="Q6" s="36">
        <f>VLOOKUP($A6,[26]HISTOAVRIL25!$A$6:$AU$51,23,0)</f>
        <v>0</v>
      </c>
      <c r="R6" s="36">
        <f>VLOOKUP($A6,[26]HISTOAVRIL25!$A$6:$AU$51,46,0)</f>
        <v>0</v>
      </c>
      <c r="S6" s="36">
        <f>VLOOKUP($A6,[26]HISTOAVRIL25!$A$6:$AU$51,26,0)</f>
        <v>0</v>
      </c>
      <c r="T6" s="36">
        <f>VLOOKUP($A6,[26]HISTOAVRIL25!$A$6:$BG$51,58,0)</f>
        <v>0</v>
      </c>
      <c r="U6" s="36">
        <f>VLOOKUP($A6,[26]HISTOAVRIL25!$A$6:$AU$51,28,0)</f>
        <v>0</v>
      </c>
      <c r="V6" s="36">
        <f>VLOOKUP($A6,[26]HISTOAVRIL25!$A$6:$AU$51,19,0)</f>
        <v>0</v>
      </c>
      <c r="W6" s="36">
        <f>VLOOKUP($A6,[26]HISTOAVRIL25!$A$6:$AU$51,20,0)</f>
        <v>0</v>
      </c>
      <c r="X6" s="36">
        <f>VLOOKUP($A6,[26]HISTOAVRIL25!$A$6:$AU$51,27,0)</f>
        <v>0</v>
      </c>
      <c r="Y6" s="36">
        <f>VLOOKUP($A6,[26]HISTOAVRIL25!$A$6:$BM$51,33,0)</f>
        <v>0</v>
      </c>
      <c r="Z6" s="36">
        <f>VLOOKUP($A6,[26]HISTOAVRIL25!$A$6:$BM$51,64,0)</f>
        <v>0</v>
      </c>
      <c r="AA6" s="36"/>
      <c r="AB6" s="36">
        <f>VLOOKUP($A6,[26]HISTOAVRIL25!$A$6:$AU$51,44,0)</f>
        <v>0</v>
      </c>
      <c r="AC6" s="36">
        <f>VLOOKUP($A6,[26]HISTOAVRIL25!$A$6:$AU$51,43,0)</f>
        <v>0</v>
      </c>
      <c r="AD6" s="36">
        <f>VLOOKUP($A6,[26]HISTOAVRIL25!$A$6:$BR$51,47,0)</f>
        <v>0</v>
      </c>
      <c r="AE6" s="36">
        <f>VLOOKUP(A6,[26]HISTOAVRIL25!$A$6:$BR$51,54,0)</f>
        <v>0</v>
      </c>
      <c r="AF6" s="36">
        <f>VLOOKUP($A6,[26]HISTOAVRIL25!$A$6:$BR$51,60,0)</f>
        <v>6000</v>
      </c>
      <c r="AG6" s="36">
        <f>VLOOKUP($A6,[26]HISTOAVRIL25!$A$6:$CB$51,61,0)</f>
        <v>0</v>
      </c>
      <c r="AH6" s="36">
        <f>VLOOKUP($A6,[26]HISTOAVRIL25!$A$6:$CB$51,62,0)</f>
        <v>0</v>
      </c>
      <c r="AI6" s="36">
        <f>VLOOKUP($A6,[26]HISTOAVRIL25!$A$6:$CB$51,63,0)</f>
        <v>0</v>
      </c>
      <c r="AJ6" s="36">
        <f>VLOOKUP($A6,[26]HISTOAVRIL25!$A$6:$BR$51,64,0)</f>
        <v>0</v>
      </c>
      <c r="AK6" s="36">
        <f>VLOOKUP($A6,[26]HISTOAVRIL25!$A$6:$BR$51,65,0)</f>
        <v>0</v>
      </c>
      <c r="AL6" s="36">
        <f>VLOOKUP($A6,[26]HISTOAVRIL25!$A$6:$BR$40,66,0)</f>
        <v>400000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VLOOKUP($A7,[26]HISTOAVRIL25!$A$6:$BA$51,48,0)</f>
        <v>0</v>
      </c>
      <c r="F7" s="36">
        <f>VLOOKUP(A7,MVTMARS25!A7:AM43,6,0)+MVTMARS25!H7-E7+L7</f>
        <v>935714.08026394469</v>
      </c>
      <c r="G7" s="5">
        <f>IF(MVTAVRIL25!F7&gt;800000,(MVTMARS25!I7-E7+L7),0)</f>
        <v>935714.08026394469</v>
      </c>
      <c r="H7" s="36">
        <f>VLOOKUP(A7,[27]MVTAVRIL25!$A$6:$AM$42,8,0)</f>
        <v>239.83197070078768</v>
      </c>
      <c r="I7" s="6">
        <f t="shared" ref="I7:I42" si="1">F7+H7</f>
        <v>935953.91223464545</v>
      </c>
      <c r="J7" s="36">
        <f>VLOOKUP($A7,[26]HISTOAVRIL25!$A$6:$AQ$51,22,0)</f>
        <v>0</v>
      </c>
      <c r="K7" s="36">
        <f>VLOOKUP($A7,[26]HISTOAVRIL25!$A$6:$AU$51,45,0)</f>
        <v>0</v>
      </c>
      <c r="L7" s="36">
        <f t="shared" ref="L7:L42" si="2">IF(K7=0,0,K7-(M7+N7+O7))</f>
        <v>0</v>
      </c>
      <c r="M7" s="36">
        <f>IF(K7=0,0,1000)</f>
        <v>0</v>
      </c>
      <c r="N7" s="36">
        <f t="shared" si="0"/>
        <v>0</v>
      </c>
      <c r="O7" s="36">
        <f>IF(K7=0,0,4000)</f>
        <v>0</v>
      </c>
      <c r="P7" s="36">
        <f>VLOOKUP($A7,[26]HISTOAVRIL25!$A$6:$AU$51,8,0)</f>
        <v>0</v>
      </c>
      <c r="Q7" s="36">
        <f>VLOOKUP($A7,[26]HISTOAVRIL25!$A$6:$AU$51,23,0)</f>
        <v>0</v>
      </c>
      <c r="R7" s="36">
        <f>VLOOKUP($A7,[26]HISTOAVRIL25!$A$6:$AU$51,46,0)</f>
        <v>0</v>
      </c>
      <c r="S7" s="36">
        <f>VLOOKUP($A7,[26]HISTOAVRIL25!$A$6:$AU$51,26,0)</f>
        <v>0</v>
      </c>
      <c r="T7" s="36">
        <f>VLOOKUP($A7,[26]HISTOAVRIL25!$A$6:$BG$51,58,0)</f>
        <v>0</v>
      </c>
      <c r="U7" s="36">
        <f>VLOOKUP($A7,[26]HISTOAVRIL25!$A$6:$AU$51,28,0)</f>
        <v>0</v>
      </c>
      <c r="V7" s="36">
        <f>VLOOKUP($A7,[26]HISTOAVRIL25!$A$6:$AU$51,19,0)</f>
        <v>0</v>
      </c>
      <c r="W7" s="36">
        <f>VLOOKUP($A7,[26]HISTOAVRIL25!$A$6:$AU$51,20,0)</f>
        <v>0</v>
      </c>
      <c r="X7" s="36">
        <f>VLOOKUP($A7,[26]HISTOAVRIL25!$A$6:$AU$51,27,0)</f>
        <v>0</v>
      </c>
      <c r="Y7" s="36">
        <f>VLOOKUP($A7,[26]HISTOAVRIL25!$A$6:$BM$51,33,0)</f>
        <v>0</v>
      </c>
      <c r="Z7" s="36">
        <f>VLOOKUP($A7,[26]HISTOAVRIL25!$A$6:$BM$51,64,0)</f>
        <v>0</v>
      </c>
      <c r="AA7" s="36"/>
      <c r="AB7" s="36">
        <f>VLOOKUP($A7,[26]HISTOAVRIL25!$A$6:$AU$51,44,0)</f>
        <v>0</v>
      </c>
      <c r="AC7" s="36">
        <f>VLOOKUP($A7,[26]HISTOAVRIL25!$A$6:$AU$51,43,0)</f>
        <v>0</v>
      </c>
      <c r="AD7" s="36">
        <f>VLOOKUP($A7,[26]HISTOAVRIL25!$A$6:$BR$51,47,0)</f>
        <v>0</v>
      </c>
      <c r="AE7" s="36">
        <f>VLOOKUP(A7,[26]HISTOAVRIL25!$A$6:$BR$51,54,0)</f>
        <v>0</v>
      </c>
      <c r="AF7" s="36">
        <f>VLOOKUP($A7,[26]HISTOAVRIL25!$A$6:$BR$51,60,0)</f>
        <v>0</v>
      </c>
      <c r="AG7" s="36">
        <f>VLOOKUP($A7,[26]HISTOAVRIL25!$A$6:$CB$51,61,0)</f>
        <v>0</v>
      </c>
      <c r="AH7" s="36">
        <f>VLOOKUP($A7,[26]HISTOAVRIL25!$A$6:$CB$51,62,0)</f>
        <v>0</v>
      </c>
      <c r="AI7" s="36">
        <f>VLOOKUP($A7,[26]HISTOAVRIL25!$A$6:$CB$51,63,0)</f>
        <v>0</v>
      </c>
      <c r="AJ7" s="36">
        <f>VLOOKUP($A7,[26]HISTOAVRIL25!$A$6:$BR$51,64,0)</f>
        <v>0</v>
      </c>
      <c r="AK7" s="36">
        <f>VLOOKUP($A7,[26]HISTOAVRIL25!$A$6:$BR$51,65,0)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VLOOKUP($A8,[26]HISTOAVRIL25!$A$6:$BA$51,48,0)</f>
        <v>0</v>
      </c>
      <c r="F8" s="36">
        <f>VLOOKUP(A8,MVTMARS25!A8:AM44,6,0)+MVTMARS25!H8-E8+L8</f>
        <v>1077021.2672122796</v>
      </c>
      <c r="G8" s="5">
        <f>IF(MVTAVRIL25!F8&gt;800000,(MVTMARS25!I8-E8+L8),0)</f>
        <v>1077021.2672122796</v>
      </c>
      <c r="H8" s="36">
        <f>VLOOKUP(A8,[27]MVTAVRIL25!$A$6:$AM$42,8,0)</f>
        <v>276.05027908666142</v>
      </c>
      <c r="I8" s="6">
        <f t="shared" si="1"/>
        <v>1077297.3174913663</v>
      </c>
      <c r="J8" s="36">
        <f>VLOOKUP($A8,[26]HISTOAVRIL25!$A$6:$AQ$51,22,0)</f>
        <v>0</v>
      </c>
      <c r="K8" s="36">
        <f>VLOOKUP($A8,[26]HISTOAVRIL25!$A$6:$AU$51,45,0)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VLOOKUP($A8,[26]HISTOAVRIL25!$A$6:$AU$51,8,0)</f>
        <v>0</v>
      </c>
      <c r="Q8" s="36">
        <f>VLOOKUP($A8,[26]HISTOAVRIL25!$A$6:$AU$51,23,0)</f>
        <v>0</v>
      </c>
      <c r="R8" s="36">
        <f>VLOOKUP($A8,[26]HISTOAVRIL25!$A$6:$AU$51,46,0)</f>
        <v>0</v>
      </c>
      <c r="S8" s="36">
        <f>VLOOKUP($A8,[26]HISTOAVRIL25!$A$6:$AU$51,26,0)</f>
        <v>0</v>
      </c>
      <c r="T8" s="36">
        <f>VLOOKUP($A8,[26]HISTOAVRIL25!$A$6:$BG$51,58,0)</f>
        <v>0</v>
      </c>
      <c r="U8" s="36">
        <f>VLOOKUP($A8,[26]HISTOAVRIL25!$A$6:$AU$51,28,0)</f>
        <v>0</v>
      </c>
      <c r="V8" s="36">
        <f>VLOOKUP($A8,[26]HISTOAVRIL25!$A$6:$AU$51,19,0)</f>
        <v>0</v>
      </c>
      <c r="W8" s="36">
        <f>VLOOKUP($A8,[26]HISTOAVRIL25!$A$6:$AU$51,20,0)</f>
        <v>0</v>
      </c>
      <c r="X8" s="36">
        <f>VLOOKUP($A8,[26]HISTOAVRIL25!$A$6:$AU$51,27,0)</f>
        <v>0</v>
      </c>
      <c r="Y8" s="36">
        <f>VLOOKUP($A8,[26]HISTOAVRIL25!$A$6:$BM$51,33,0)</f>
        <v>0</v>
      </c>
      <c r="Z8" s="36">
        <f>VLOOKUP($A8,[26]HISTOAVRIL25!$A$6:$BM$51,64,0)</f>
        <v>0</v>
      </c>
      <c r="AA8" s="36"/>
      <c r="AB8" s="36">
        <f>VLOOKUP($A8,[26]HISTOAVRIL25!$A$6:$AU$51,44,0)</f>
        <v>0</v>
      </c>
      <c r="AC8" s="36">
        <f>VLOOKUP($A8,[26]HISTOAVRIL25!$A$6:$AU$51,43,0)</f>
        <v>0</v>
      </c>
      <c r="AD8" s="36">
        <f>VLOOKUP($A8,[26]HISTOAVRIL25!$A$6:$BR$51,47,0)</f>
        <v>0</v>
      </c>
      <c r="AE8" s="36">
        <f>VLOOKUP(A8,[26]HISTOAVRIL25!$A$6:$BR$51,54,0)</f>
        <v>0</v>
      </c>
      <c r="AF8" s="36">
        <f>VLOOKUP($A8,[26]HISTOAVRIL25!$A$6:$BR$51,60,0)</f>
        <v>0</v>
      </c>
      <c r="AG8" s="36">
        <f>VLOOKUP($A8,[26]HISTOAVRIL25!$A$6:$CB$51,61,0)</f>
        <v>0</v>
      </c>
      <c r="AH8" s="36">
        <f>VLOOKUP($A8,[26]HISTOAVRIL25!$A$6:$CB$51,62,0)</f>
        <v>0</v>
      </c>
      <c r="AI8" s="36">
        <f>VLOOKUP($A8,[26]HISTOAVRIL25!$A$6:$CB$51,63,0)</f>
        <v>0</v>
      </c>
      <c r="AJ8" s="36">
        <f>VLOOKUP($A8,[26]HISTOAVRIL25!$A$6:$BR$51,64,0)</f>
        <v>0</v>
      </c>
      <c r="AK8" s="36">
        <f>VLOOKUP($A8,[26]HISTOAVRIL25!$A$6:$BR$51,65,0)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VLOOKUP($A9,[26]HISTOAVRIL25!$A$6:$BA$51,48,0)</f>
        <v>0</v>
      </c>
      <c r="F9" s="36">
        <f>VLOOKUP(A9,MVTMARS25!A9:AM45,6,0)+MVTMARS25!H9-E9+L9</f>
        <v>941895.90193669812</v>
      </c>
      <c r="G9" s="5">
        <f>IF(MVTAVRIL25!F9&gt;800000,(MVTMARS25!I9-E9+L9),0)</f>
        <v>941895.90193669812</v>
      </c>
      <c r="H9" s="36">
        <f>VLOOKUP(A9,[27]MVTAVRIL25!$A$6:$AM$42,8,0)</f>
        <v>241.4164274334245</v>
      </c>
      <c r="I9" s="6">
        <f t="shared" si="1"/>
        <v>942137.3183641315</v>
      </c>
      <c r="J9" s="36">
        <f>VLOOKUP($A9,[26]HISTOAVRIL25!$A$6:$AQ$51,22,0)</f>
        <v>5000</v>
      </c>
      <c r="K9" s="36">
        <f>VLOOKUP($A9,[26]HISTOAVRIL25!$A$6:$AU$51,45,0)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VLOOKUP($A9,[26]HISTOAVRIL25!$A$6:$AU$51,8,0)</f>
        <v>0</v>
      </c>
      <c r="Q9" s="36">
        <f>VLOOKUP($A9,[26]HISTOAVRIL25!$A$6:$AU$51,23,0)</f>
        <v>0</v>
      </c>
      <c r="R9" s="36">
        <f>VLOOKUP($A9,[26]HISTOAVRIL25!$A$6:$AU$51,46,0)</f>
        <v>0</v>
      </c>
      <c r="S9" s="36">
        <f>VLOOKUP($A9,[26]HISTOAVRIL25!$A$6:$AU$51,26,0)</f>
        <v>0</v>
      </c>
      <c r="T9" s="36">
        <f>VLOOKUP($A9,[26]HISTOAVRIL25!$A$6:$BG$51,58,0)</f>
        <v>0</v>
      </c>
      <c r="U9" s="36">
        <f>VLOOKUP($A9,[26]HISTOAVRIL25!$A$6:$AU$51,28,0)</f>
        <v>0</v>
      </c>
      <c r="V9" s="36">
        <f>VLOOKUP($A9,[26]HISTOAVRIL25!$A$6:$AU$51,19,0)</f>
        <v>0</v>
      </c>
      <c r="W9" s="36">
        <f>VLOOKUP($A9,[26]HISTOAVRIL25!$A$6:$AU$51,20,0)</f>
        <v>0</v>
      </c>
      <c r="X9" s="36">
        <f>VLOOKUP($A9,[26]HISTOAVRIL25!$A$6:$AU$51,27,0)</f>
        <v>0</v>
      </c>
      <c r="Y9" s="36">
        <f>VLOOKUP($A9,[26]HISTOAVRIL25!$A$6:$BM$51,33,0)</f>
        <v>0</v>
      </c>
      <c r="Z9" s="36">
        <f>VLOOKUP($A9,[26]HISTOAVRIL25!$A$6:$BM$51,64,0)</f>
        <v>0</v>
      </c>
      <c r="AA9" s="36"/>
      <c r="AB9" s="36">
        <f>VLOOKUP($A9,[26]HISTOAVRIL25!$A$6:$AU$51,44,0)</f>
        <v>0</v>
      </c>
      <c r="AC9" s="36">
        <f>VLOOKUP($A9,[26]HISTOAVRIL25!$A$6:$AU$51,43,0)</f>
        <v>0</v>
      </c>
      <c r="AD9" s="36">
        <f>VLOOKUP($A9,[26]HISTOAVRIL25!$A$6:$BR$51,47,0)</f>
        <v>0</v>
      </c>
      <c r="AE9" s="36">
        <f>VLOOKUP(A9,[26]HISTOAVRIL25!$A$6:$BR$51,54,0)</f>
        <v>0</v>
      </c>
      <c r="AF9" s="36">
        <f>VLOOKUP($A9,[26]HISTOAVRIL25!$A$6:$BR$51,60,0)</f>
        <v>0</v>
      </c>
      <c r="AG9" s="36">
        <f>VLOOKUP($A9,[26]HISTOAVRIL25!$A$6:$CB$51,61,0)</f>
        <v>0</v>
      </c>
      <c r="AH9" s="36">
        <f>VLOOKUP($A9,[26]HISTOAVRIL25!$A$6:$CB$51,62,0)</f>
        <v>0</v>
      </c>
      <c r="AI9" s="36">
        <f>VLOOKUP($A9,[26]HISTOAVRIL25!$A$6:$CB$51,63,0)</f>
        <v>0</v>
      </c>
      <c r="AJ9" s="36">
        <f>VLOOKUP($A9,[26]HISTOAVRIL25!$A$6:$BR$51,64,0)</f>
        <v>0</v>
      </c>
      <c r="AK9" s="36">
        <f>VLOOKUP($A9,[26]HISTOAVRIL25!$A$6:$BR$51,65,0)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VLOOKUP($A10,[26]HISTOAVRIL25!$A$6:$BA$51,48,0)</f>
        <v>0</v>
      </c>
      <c r="F10" s="36">
        <f>VLOOKUP(A10,MVTMARS25!A10:AM46,6,0)+MVTMARS25!H10-E10+L10</f>
        <v>952181.67810202064</v>
      </c>
      <c r="G10" s="5">
        <f>IF(MVTAVRIL25!F10&gt;800000,(MVTMARS25!I10-E10+L10),0)</f>
        <v>952181.67810202064</v>
      </c>
      <c r="H10" s="36">
        <f>VLOOKUP(A10,[27]MVTAVRIL25!$A$6:$AM$42,8,0)</f>
        <v>244.052764771878</v>
      </c>
      <c r="I10" s="6">
        <f t="shared" si="1"/>
        <v>952425.7308667925</v>
      </c>
      <c r="J10" s="36">
        <f>VLOOKUP($A10,[26]HISTOAVRIL25!$A$6:$AQ$51,22,0)</f>
        <v>0</v>
      </c>
      <c r="K10" s="36">
        <f>VLOOKUP($A10,[26]HISTOAVRIL25!$A$6:$AU$51,45,0)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VLOOKUP($A10,[26]HISTOAVRIL25!$A$6:$AU$51,8,0)</f>
        <v>0</v>
      </c>
      <c r="Q10" s="36">
        <f>VLOOKUP($A10,[26]HISTOAVRIL25!$A$6:$AU$51,23,0)</f>
        <v>0</v>
      </c>
      <c r="R10" s="36">
        <f>VLOOKUP($A10,[26]HISTOAVRIL25!$A$6:$AU$51,46,0)</f>
        <v>0</v>
      </c>
      <c r="S10" s="36">
        <f>VLOOKUP($A10,[26]HISTOAVRIL25!$A$6:$AU$51,26,0)</f>
        <v>0</v>
      </c>
      <c r="T10" s="36">
        <f>VLOOKUP($A10,[26]HISTOAVRIL25!$A$6:$BG$51,58,0)</f>
        <v>0</v>
      </c>
      <c r="U10" s="36">
        <f>VLOOKUP($A10,[26]HISTOAVRIL25!$A$6:$AU$51,28,0)</f>
        <v>0</v>
      </c>
      <c r="V10" s="36">
        <f>VLOOKUP($A10,[26]HISTOAVRIL25!$A$6:$AU$51,19,0)</f>
        <v>0</v>
      </c>
      <c r="W10" s="36">
        <f>VLOOKUP($A10,[26]HISTOAVRIL25!$A$6:$AU$51,20,0)</f>
        <v>0</v>
      </c>
      <c r="X10" s="36">
        <f>VLOOKUP($A10,[26]HISTOAVRIL25!$A$6:$AU$51,27,0)</f>
        <v>0</v>
      </c>
      <c r="Y10" s="36">
        <f>VLOOKUP($A10,[26]HISTOAVRIL25!$A$6:$BM$51,33,0)</f>
        <v>0</v>
      </c>
      <c r="Z10" s="36">
        <f>VLOOKUP($A10,[26]HISTOAVRIL25!$A$6:$BM$51,64,0)</f>
        <v>0</v>
      </c>
      <c r="AA10" s="36"/>
      <c r="AB10" s="36">
        <f>VLOOKUP($A10,[26]HISTOAVRIL25!$A$6:$AU$51,44,0)</f>
        <v>0</v>
      </c>
      <c r="AC10" s="36">
        <f>VLOOKUP($A10,[26]HISTOAVRIL25!$A$6:$AU$51,43,0)</f>
        <v>0</v>
      </c>
      <c r="AD10" s="36">
        <f>VLOOKUP($A10,[26]HISTOAVRIL25!$A$6:$BR$51,47,0)</f>
        <v>0</v>
      </c>
      <c r="AE10" s="36">
        <f>VLOOKUP(A10,[26]HISTOAVRIL25!$A$6:$BR$51,54,0)</f>
        <v>0</v>
      </c>
      <c r="AF10" s="36">
        <f>VLOOKUP($A10,[26]HISTOAVRIL25!$A$6:$BR$51,60,0)</f>
        <v>0</v>
      </c>
      <c r="AG10" s="36">
        <f>VLOOKUP($A10,[26]HISTOAVRIL25!$A$6:$CB$51,61,0)</f>
        <v>0</v>
      </c>
      <c r="AH10" s="36">
        <f>VLOOKUP($A10,[26]HISTOAVRIL25!$A$6:$CB$51,62,0)</f>
        <v>0</v>
      </c>
      <c r="AI10" s="36">
        <f>VLOOKUP($A10,[26]HISTOAVRIL25!$A$6:$CB$51,63,0)</f>
        <v>0</v>
      </c>
      <c r="AJ10" s="36">
        <f>VLOOKUP($A10,[26]HISTOAVRIL25!$A$6:$BR$51,64,0)</f>
        <v>0</v>
      </c>
      <c r="AK10" s="36">
        <f>VLOOKUP($A10,[26]HISTOAVRIL25!$A$6:$BR$51,65,0)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VLOOKUP($A11,[26]HISTOAVRIL25!$A$6:$BA$51,48,0)</f>
        <v>0</v>
      </c>
      <c r="F11" s="36">
        <f>VLOOKUP(A11,MVTMARS25!A11:AM47,6,0)+MVTMARS25!H11-E11+L11</f>
        <v>941621.6191739405</v>
      </c>
      <c r="G11" s="5">
        <f>IF(MVTAVRIL25!F11&gt;800000,(MVTMARS25!I11-E11+L11),0)</f>
        <v>941621.6191739405</v>
      </c>
      <c r="H11" s="36">
        <f>VLOOKUP(A11,[27]MVTAVRIL25!$A$6:$AM$42,8,0)</f>
        <v>241.3461262838438</v>
      </c>
      <c r="I11" s="6">
        <f t="shared" si="1"/>
        <v>941862.96530022437</v>
      </c>
      <c r="J11" s="36">
        <f>VLOOKUP($A11,[26]HISTOAVRIL25!$A$6:$AQ$51,22,0)</f>
        <v>0</v>
      </c>
      <c r="K11" s="36">
        <f>VLOOKUP($A11,[26]HISTOAVRIL25!$A$6:$AU$51,45,0)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VLOOKUP($A11,[26]HISTOAVRIL25!$A$6:$AU$51,8,0)</f>
        <v>0</v>
      </c>
      <c r="Q11" s="36">
        <f>VLOOKUP($A11,[26]HISTOAVRIL25!$A$6:$AU$51,23,0)</f>
        <v>0</v>
      </c>
      <c r="R11" s="36">
        <f>VLOOKUP($A11,[26]HISTOAVRIL25!$A$6:$AU$51,46,0)</f>
        <v>0</v>
      </c>
      <c r="S11" s="36">
        <f>VLOOKUP($A11,[26]HISTOAVRIL25!$A$6:$AU$51,26,0)</f>
        <v>0</v>
      </c>
      <c r="T11" s="36">
        <f>VLOOKUP($A11,[26]HISTOAVRIL25!$A$6:$BG$51,58,0)</f>
        <v>0</v>
      </c>
      <c r="U11" s="36">
        <f>VLOOKUP($A11,[26]HISTOAVRIL25!$A$6:$AU$51,28,0)</f>
        <v>0</v>
      </c>
      <c r="V11" s="36">
        <f>VLOOKUP($A11,[26]HISTOAVRIL25!$A$6:$AU$51,19,0)</f>
        <v>0</v>
      </c>
      <c r="W11" s="36">
        <f>VLOOKUP($A11,[26]HISTOAVRIL25!$A$6:$AU$51,20,0)</f>
        <v>0</v>
      </c>
      <c r="X11" s="36">
        <f>VLOOKUP($A11,[26]HISTOAVRIL25!$A$6:$AU$51,27,0)</f>
        <v>0</v>
      </c>
      <c r="Y11" s="36">
        <f>VLOOKUP($A11,[26]HISTOAVRIL25!$A$6:$BM$51,33,0)</f>
        <v>0</v>
      </c>
      <c r="Z11" s="36">
        <f>VLOOKUP($A11,[26]HISTOAVRIL25!$A$6:$BM$51,64,0)</f>
        <v>0</v>
      </c>
      <c r="AA11" s="36"/>
      <c r="AB11" s="36">
        <f>VLOOKUP($A11,[26]HISTOAVRIL25!$A$6:$AU$51,44,0)</f>
        <v>0</v>
      </c>
      <c r="AC11" s="36">
        <f>VLOOKUP($A11,[26]HISTOAVRIL25!$A$6:$AU$51,43,0)</f>
        <v>0</v>
      </c>
      <c r="AD11" s="36">
        <f>VLOOKUP($A11,[26]HISTOAVRIL25!$A$6:$BR$51,47,0)</f>
        <v>0</v>
      </c>
      <c r="AE11" s="36">
        <f>VLOOKUP(A11,[26]HISTOAVRIL25!$A$6:$BR$51,54,0)</f>
        <v>0</v>
      </c>
      <c r="AF11" s="36">
        <f>VLOOKUP($A11,[26]HISTOAVRIL25!$A$6:$BR$51,60,0)</f>
        <v>0</v>
      </c>
      <c r="AG11" s="36">
        <f>VLOOKUP($A11,[26]HISTOAVRIL25!$A$6:$CB$51,61,0)</f>
        <v>0</v>
      </c>
      <c r="AH11" s="36">
        <f>VLOOKUP($A11,[26]HISTOAVRIL25!$A$6:$CB$51,62,0)</f>
        <v>0</v>
      </c>
      <c r="AI11" s="36">
        <f>VLOOKUP($A11,[26]HISTOAVRIL25!$A$6:$CB$51,63,0)</f>
        <v>0</v>
      </c>
      <c r="AJ11" s="36">
        <f>VLOOKUP($A11,[26]HISTOAVRIL25!$A$6:$BR$51,64,0)</f>
        <v>0</v>
      </c>
      <c r="AK11" s="36">
        <f>VLOOKUP($A11,[26]HISTOAVRIL25!$A$6:$BR$51,65,0)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VLOOKUP($A12,[26]HISTOAVRIL25!$A$6:$BA$51,48,0)</f>
        <v>0</v>
      </c>
      <c r="F12" s="36">
        <f>VLOOKUP(A12,MVTMARS25!A12:AM48,6,0)+MVTMARS25!H12-E12+L12</f>
        <v>1650947.7632870534</v>
      </c>
      <c r="G12" s="5">
        <f>IF(MVTAVRIL25!F12&gt;800000,(MVTMARS25!I12-E12+L12),0)</f>
        <v>1650947.7632870534</v>
      </c>
      <c r="H12" s="36">
        <f>VLOOKUP(A12,[27]MVTAVRIL25!$A$6:$AM$42,8,0)</f>
        <v>423.15282407795189</v>
      </c>
      <c r="I12" s="6">
        <f t="shared" si="1"/>
        <v>1651370.9161111314</v>
      </c>
      <c r="J12" s="36">
        <f>VLOOKUP($A12,[26]HISTOAVRIL25!$A$6:$AQ$51,22,0)</f>
        <v>0</v>
      </c>
      <c r="K12" s="36">
        <f>VLOOKUP($A12,[26]HISTOAVRIL25!$A$6:$AU$51,45,0)</f>
        <v>35000</v>
      </c>
      <c r="L12" s="36">
        <f t="shared" si="2"/>
        <v>29000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VLOOKUP($A12,[26]HISTOAVRIL25!$A$6:$AU$51,8,0)</f>
        <v>0</v>
      </c>
      <c r="Q12" s="36">
        <f>VLOOKUP($A12,[26]HISTOAVRIL25!$A$6:$AU$51,23,0)</f>
        <v>0</v>
      </c>
      <c r="R12" s="36">
        <f>VLOOKUP($A12,[26]HISTOAVRIL25!$A$6:$AU$51,46,0)</f>
        <v>0</v>
      </c>
      <c r="S12" s="36">
        <f>VLOOKUP($A12,[26]HISTOAVRIL25!$A$6:$AU$51,26,0)</f>
        <v>0</v>
      </c>
      <c r="T12" s="36">
        <f>VLOOKUP($A12,[26]HISTOAVRIL25!$A$6:$BG$51,58,0)</f>
        <v>0</v>
      </c>
      <c r="U12" s="36">
        <f>VLOOKUP($A12,[26]HISTOAVRIL25!$A$6:$AU$51,28,0)</f>
        <v>0</v>
      </c>
      <c r="V12" s="36">
        <f>VLOOKUP($A12,[26]HISTOAVRIL25!$A$6:$AU$51,19,0)</f>
        <v>0</v>
      </c>
      <c r="W12" s="36">
        <f>VLOOKUP($A12,[26]HISTOAVRIL25!$A$6:$AU$51,20,0)</f>
        <v>0</v>
      </c>
      <c r="X12" s="36">
        <f>VLOOKUP($A12,[26]HISTOAVRIL25!$A$6:$AU$51,27,0)</f>
        <v>0</v>
      </c>
      <c r="Y12" s="36">
        <f>VLOOKUP($A12,[26]HISTOAVRIL25!$A$6:$BM$51,33,0)</f>
        <v>0</v>
      </c>
      <c r="Z12" s="36">
        <f>VLOOKUP($A12,[26]HISTOAVRIL25!$A$6:$BM$51,64,0)</f>
        <v>0</v>
      </c>
      <c r="AA12" s="36"/>
      <c r="AB12" s="36">
        <f>VLOOKUP($A12,[26]HISTOAVRIL25!$A$6:$AU$51,44,0)</f>
        <v>0</v>
      </c>
      <c r="AC12" s="36">
        <f>VLOOKUP($A12,[26]HISTOAVRIL25!$A$6:$AU$51,43,0)</f>
        <v>0</v>
      </c>
      <c r="AD12" s="36">
        <f>VLOOKUP($A12,[26]HISTOAVRIL25!$A$6:$BR$51,47,0)</f>
        <v>0</v>
      </c>
      <c r="AE12" s="36">
        <f>VLOOKUP(A12,[26]HISTOAVRIL25!$A$6:$BR$51,54,0)</f>
        <v>0</v>
      </c>
      <c r="AF12" s="36">
        <f>VLOOKUP($A12,[26]HISTOAVRIL25!$A$6:$BR$51,60,0)</f>
        <v>0</v>
      </c>
      <c r="AG12" s="36">
        <f>VLOOKUP($A12,[26]HISTOAVRIL25!$A$6:$CB$51,61,0)</f>
        <v>0</v>
      </c>
      <c r="AH12" s="36">
        <f>VLOOKUP($A12,[26]HISTOAVRIL25!$A$6:$CB$51,62,0)</f>
        <v>0</v>
      </c>
      <c r="AI12" s="36">
        <f>VLOOKUP($A12,[26]HISTOAVRIL25!$A$6:$CB$51,63,0)</f>
        <v>0</v>
      </c>
      <c r="AJ12" s="36">
        <f>VLOOKUP($A12,[26]HISTOAVRIL25!$A$6:$BR$51,64,0)</f>
        <v>0</v>
      </c>
      <c r="AK12" s="36">
        <f>VLOOKUP($A12,[26]HISTOAVRIL25!$A$6:$BR$51,65,0)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VLOOKUP($A13,[26]HISTOAVRIL25!$A$6:$BA$51,48,0)</f>
        <v>0</v>
      </c>
      <c r="F13" s="36">
        <f>VLOOKUP(A13,MVTMARS25!A13:AM49,6,0)+MVTMARS25!H13-E13+L13</f>
        <v>941597.82970123389</v>
      </c>
      <c r="G13" s="5">
        <f>IF(MVTAVRIL25!F13&gt;800000,(MVTMARS25!I13-E13+L13),0)</f>
        <v>941597.82970123389</v>
      </c>
      <c r="H13" s="36">
        <f>VLOOKUP(A13,[27]MVTAVRIL25!$A$6:$AM$42,8,0)</f>
        <v>241.34002882710834</v>
      </c>
      <c r="I13" s="6">
        <f t="shared" si="1"/>
        <v>941839.16973006097</v>
      </c>
      <c r="J13" s="36">
        <f>VLOOKUP($A13,[26]HISTOAVRIL25!$A$6:$AQ$51,22,0)</f>
        <v>0</v>
      </c>
      <c r="K13" s="36">
        <f>VLOOKUP($A13,[26]HISTOAVRIL25!$A$6:$AU$51,45,0)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VLOOKUP($A13,[26]HISTOAVRIL25!$A$6:$AU$51,8,0)</f>
        <v>0</v>
      </c>
      <c r="Q13" s="36">
        <f>VLOOKUP($A13,[26]HISTOAVRIL25!$A$6:$AU$51,23,0)</f>
        <v>0</v>
      </c>
      <c r="R13" s="36">
        <f>VLOOKUP($A13,[26]HISTOAVRIL25!$A$6:$AU$51,46,0)</f>
        <v>0</v>
      </c>
      <c r="S13" s="36">
        <f>VLOOKUP($A13,[26]HISTOAVRIL25!$A$6:$AU$51,26,0)</f>
        <v>0</v>
      </c>
      <c r="T13" s="36">
        <f>VLOOKUP($A13,[26]HISTOAVRIL25!$A$6:$BG$51,58,0)</f>
        <v>0</v>
      </c>
      <c r="U13" s="36">
        <f>VLOOKUP($A13,[26]HISTOAVRIL25!$A$6:$AU$51,28,0)</f>
        <v>0</v>
      </c>
      <c r="V13" s="36">
        <f>VLOOKUP($A13,[26]HISTOAVRIL25!$A$6:$AU$51,19,0)</f>
        <v>0</v>
      </c>
      <c r="W13" s="36">
        <f>VLOOKUP($A13,[26]HISTOAVRIL25!$A$6:$AU$51,20,0)</f>
        <v>0</v>
      </c>
      <c r="X13" s="36">
        <f>VLOOKUP($A13,[26]HISTOAVRIL25!$A$6:$AU$51,27,0)</f>
        <v>0</v>
      </c>
      <c r="Y13" s="36">
        <f>VLOOKUP($A13,[26]HISTOAVRIL25!$A$6:$BM$51,33,0)</f>
        <v>0</v>
      </c>
      <c r="Z13" s="36">
        <f>VLOOKUP($A13,[26]HISTOAVRIL25!$A$6:$BM$51,64,0)</f>
        <v>0</v>
      </c>
      <c r="AA13" s="36"/>
      <c r="AB13" s="36">
        <f>VLOOKUP($A13,[26]HISTOAVRIL25!$A$6:$AU$51,44,0)</f>
        <v>0</v>
      </c>
      <c r="AC13" s="36">
        <f>VLOOKUP($A13,[26]HISTOAVRIL25!$A$6:$AU$51,43,0)</f>
        <v>0</v>
      </c>
      <c r="AD13" s="36">
        <f>VLOOKUP($A13,[26]HISTOAVRIL25!$A$6:$BR$51,47,0)</f>
        <v>0</v>
      </c>
      <c r="AE13" s="36">
        <f>VLOOKUP(A13,[26]HISTOAVRIL25!$A$6:$BR$51,54,0)</f>
        <v>0</v>
      </c>
      <c r="AF13" s="36">
        <f>VLOOKUP($A13,[26]HISTOAVRIL25!$A$6:$BR$51,60,0)</f>
        <v>0</v>
      </c>
      <c r="AG13" s="36">
        <f>VLOOKUP($A13,[26]HISTOAVRIL25!$A$6:$CB$51,61,0)</f>
        <v>0</v>
      </c>
      <c r="AH13" s="36">
        <f>VLOOKUP($A13,[26]HISTOAVRIL25!$A$6:$CB$51,62,0)</f>
        <v>0</v>
      </c>
      <c r="AI13" s="36">
        <f>VLOOKUP($A13,[26]HISTOAVRIL25!$A$6:$CB$51,63,0)</f>
        <v>0</v>
      </c>
      <c r="AJ13" s="36">
        <f>VLOOKUP($A13,[26]HISTOAVRIL25!$A$6:$BR$51,64,0)</f>
        <v>0</v>
      </c>
      <c r="AK13" s="36">
        <f>VLOOKUP($A13,[26]HISTOAVRIL25!$A$6:$BR$51,65,0)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VLOOKUP($A14,[26]HISTOAVRIL25!$A$6:$BA$51,48,0)</f>
        <v>0</v>
      </c>
      <c r="F14" s="36">
        <f>VLOOKUP(A14,MVTMARS25!A14:AM50,6,0)+MVTMARS25!H14-E14+L14</f>
        <v>1687878.4979070164</v>
      </c>
      <c r="G14" s="5">
        <f>IF(MVTAVRIL25!F14&gt;800000,(MVTMARS25!I14-E14+L14),0)</f>
        <v>1687878.4979070164</v>
      </c>
      <c r="H14" s="36">
        <f>VLOOKUP(A14,[27]MVTAVRIL25!$A$6:$AM$42,8,0)</f>
        <v>432.61850494152844</v>
      </c>
      <c r="I14" s="6">
        <f t="shared" si="1"/>
        <v>1688311.1164119579</v>
      </c>
      <c r="J14" s="36">
        <f>VLOOKUP($A14,[26]HISTOAVRIL25!$A$6:$AQ$51,22,0)</f>
        <v>0</v>
      </c>
      <c r="K14" s="36">
        <f>VLOOKUP($A14,[26]HISTOAVRIL25!$A$6:$AU$51,45,0)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VLOOKUP($A14,[26]HISTOAVRIL25!$A$6:$AU$51,8,0)</f>
        <v>0</v>
      </c>
      <c r="Q14" s="36">
        <f>VLOOKUP($A14,[26]HISTOAVRIL25!$A$6:$AU$51,23,0)</f>
        <v>0</v>
      </c>
      <c r="R14" s="36">
        <f>VLOOKUP($A14,[26]HISTOAVRIL25!$A$6:$AU$51,46,0)</f>
        <v>0</v>
      </c>
      <c r="S14" s="36">
        <f>VLOOKUP($A14,[26]HISTOAVRIL25!$A$6:$AU$51,26,0)</f>
        <v>0</v>
      </c>
      <c r="T14" s="36">
        <f>VLOOKUP($A14,[26]HISTOAVRIL25!$A$6:$BG$51,58,0)</f>
        <v>0</v>
      </c>
      <c r="U14" s="36">
        <f>VLOOKUP($A14,[26]HISTOAVRIL25!$A$6:$AU$51,28,0)</f>
        <v>0</v>
      </c>
      <c r="V14" s="36">
        <f>VLOOKUP($A14,[26]HISTOAVRIL25!$A$6:$AU$51,19,0)</f>
        <v>0</v>
      </c>
      <c r="W14" s="36">
        <f>VLOOKUP($A14,[26]HISTOAVRIL25!$A$6:$AU$51,20,0)</f>
        <v>0</v>
      </c>
      <c r="X14" s="36">
        <f>VLOOKUP($A14,[26]HISTOAVRIL25!$A$6:$AU$51,27,0)</f>
        <v>0</v>
      </c>
      <c r="Y14" s="36">
        <f>VLOOKUP($A14,[26]HISTOAVRIL25!$A$6:$BM$51,33,0)</f>
        <v>0</v>
      </c>
      <c r="Z14" s="36">
        <f>VLOOKUP($A14,[26]HISTOAVRIL25!$A$6:$BM$51,64,0)</f>
        <v>0</v>
      </c>
      <c r="AA14" s="36"/>
      <c r="AB14" s="36">
        <f>VLOOKUP($A14,[26]HISTOAVRIL25!$A$6:$AU$51,44,0)</f>
        <v>0</v>
      </c>
      <c r="AC14" s="36">
        <f>VLOOKUP($A14,[26]HISTOAVRIL25!$A$6:$AU$51,43,0)</f>
        <v>0</v>
      </c>
      <c r="AD14" s="36">
        <f>VLOOKUP($A14,[26]HISTOAVRIL25!$A$6:$BR$51,47,0)</f>
        <v>0</v>
      </c>
      <c r="AE14" s="36">
        <f>VLOOKUP(A14,[26]HISTOAVRIL25!$A$6:$BR$51,54,0)</f>
        <v>0</v>
      </c>
      <c r="AF14" s="36">
        <f>VLOOKUP($A14,[26]HISTOAVRIL25!$A$6:$BR$51,60,0)</f>
        <v>0</v>
      </c>
      <c r="AG14" s="36">
        <f>VLOOKUP($A14,[26]HISTOAVRIL25!$A$6:$CB$51,61,0)</f>
        <v>0</v>
      </c>
      <c r="AH14" s="36">
        <f>VLOOKUP($A14,[26]HISTOAVRIL25!$A$6:$CB$51,62,0)</f>
        <v>0</v>
      </c>
      <c r="AI14" s="36">
        <f>VLOOKUP($A14,[26]HISTOAVRIL25!$A$6:$CB$51,63,0)</f>
        <v>0</v>
      </c>
      <c r="AJ14" s="36">
        <f>VLOOKUP($A14,[26]HISTOAVRIL25!$A$6:$BR$51,64,0)</f>
        <v>0</v>
      </c>
      <c r="AK14" s="36">
        <f>VLOOKUP($A14,[26]HISTOAVRIL25!$A$6:$BR$51,65,0)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VLOOKUP($A15,[26]HISTOAVRIL25!$A$6:$BA$51,48,0)</f>
        <v>0</v>
      </c>
      <c r="F15" s="36">
        <f>VLOOKUP(A15,MVTMARS25!A15:AM51,6,0)+MVTMARS25!H15-E15+L15</f>
        <v>76000</v>
      </c>
      <c r="G15" s="5">
        <f>IF(MVTAVRIL25!F15&gt;800000,(MVTMARS25!I15-E15+L15),0)</f>
        <v>0</v>
      </c>
      <c r="H15" s="36">
        <f>VLOOKUP(A15,[27]MVTAVRIL25!$A$6:$AM$42,8,0)</f>
        <v>0</v>
      </c>
      <c r="I15" s="6">
        <f t="shared" si="1"/>
        <v>76000</v>
      </c>
      <c r="J15" s="36">
        <f>VLOOKUP($A15,[26]HISTOAVRIL25!$A$6:$AQ$51,22,0)</f>
        <v>0</v>
      </c>
      <c r="K15" s="36">
        <f>VLOOKUP($A15,[26]HISTOAVRIL25!$A$6:$AU$51,45,0)</f>
        <v>25000</v>
      </c>
      <c r="L15" s="36">
        <f t="shared" si="2"/>
        <v>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VLOOKUP($A15,[26]HISTOAVRIL25!$A$6:$AU$51,8,0)</f>
        <v>0</v>
      </c>
      <c r="Q15" s="36">
        <f>VLOOKUP($A15,[26]HISTOAVRIL25!$A$6:$AU$51,23,0)</f>
        <v>0</v>
      </c>
      <c r="R15" s="36">
        <f>VLOOKUP($A15,[26]HISTOAVRIL25!$A$6:$AU$51,46,0)</f>
        <v>0</v>
      </c>
      <c r="S15" s="36">
        <f>VLOOKUP($A15,[26]HISTOAVRIL25!$A$6:$AU$51,26,0)</f>
        <v>0</v>
      </c>
      <c r="T15" s="36">
        <f>VLOOKUP($A15,[26]HISTOAVRIL25!$A$6:$BG$51,58,0)</f>
        <v>0</v>
      </c>
      <c r="U15" s="36">
        <f>VLOOKUP($A15,[26]HISTOAVRIL25!$A$6:$AU$51,28,0)</f>
        <v>0</v>
      </c>
      <c r="V15" s="36">
        <f>VLOOKUP($A15,[26]HISTOAVRIL25!$A$6:$AU$51,19,0)</f>
        <v>0</v>
      </c>
      <c r="W15" s="36">
        <f>VLOOKUP($A15,[26]HISTOAVRIL25!$A$6:$AU$51,20,0)</f>
        <v>0</v>
      </c>
      <c r="X15" s="36">
        <f>VLOOKUP($A15,[26]HISTOAVRIL25!$A$6:$AU$51,27,0)</f>
        <v>0</v>
      </c>
      <c r="Y15" s="36">
        <f>VLOOKUP($A15,[26]HISTOAVRIL25!$A$6:$BM$51,33,0)</f>
        <v>0</v>
      </c>
      <c r="Z15" s="36">
        <f>VLOOKUP($A15,[26]HISTOAVRIL25!$A$6:$BM$51,64,0)</f>
        <v>0</v>
      </c>
      <c r="AA15" s="36"/>
      <c r="AB15" s="36">
        <f>VLOOKUP($A15,[26]HISTOAVRIL25!$A$6:$AU$51,44,0)</f>
        <v>0</v>
      </c>
      <c r="AC15" s="36">
        <f>VLOOKUP($A15,[26]HISTOAVRIL25!$A$6:$AU$51,43,0)</f>
        <v>0</v>
      </c>
      <c r="AD15" s="36">
        <f>VLOOKUP($A15,[26]HISTOAVRIL25!$A$6:$BR$51,47,0)</f>
        <v>0</v>
      </c>
      <c r="AE15" s="36">
        <f>VLOOKUP(A15,[26]HISTOAVRIL25!$A$6:$BR$51,54,0)</f>
        <v>0</v>
      </c>
      <c r="AF15" s="36">
        <f>VLOOKUP($A15,[26]HISTOAVRIL25!$A$6:$BR$51,60,0)</f>
        <v>0</v>
      </c>
      <c r="AG15" s="36">
        <f>VLOOKUP($A15,[26]HISTOAVRIL25!$A$6:$CB$51,61,0)</f>
        <v>0</v>
      </c>
      <c r="AH15" s="36">
        <f>VLOOKUP($A15,[26]HISTOAVRIL25!$A$6:$CB$51,62,0)</f>
        <v>0</v>
      </c>
      <c r="AI15" s="36">
        <f>VLOOKUP($A15,[26]HISTOAVRIL25!$A$6:$CB$51,63,0)</f>
        <v>0</v>
      </c>
      <c r="AJ15" s="36">
        <f>VLOOKUP($A15,[26]HISTOAVRIL25!$A$6:$BR$51,64,0)</f>
        <v>0</v>
      </c>
      <c r="AK15" s="36">
        <f>VLOOKUP($A15,[26]HISTOAVRIL25!$A$6:$BR$51,65,0)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VLOOKUP($A16,[26]HISTOAVRIL25!$A$6:$BA$51,48,0)</f>
        <v>0</v>
      </c>
      <c r="F16" s="36">
        <f>VLOOKUP(A16,MVTMARS25!A16:AM52,6,0)+MVTMARS25!H16-E16+L16</f>
        <v>937432.00307961938</v>
      </c>
      <c r="G16" s="5">
        <f>IF(MVTAVRIL25!F16&gt;800000,(MVTMARS25!I16-E16+L16),0)</f>
        <v>937432.00307961938</v>
      </c>
      <c r="H16" s="36">
        <f>VLOOKUP(A16,[27]MVTAVRIL25!$A$6:$AM$42,8,0)</f>
        <v>240.27228983575131</v>
      </c>
      <c r="I16" s="6">
        <f t="shared" si="1"/>
        <v>937672.27536945511</v>
      </c>
      <c r="J16" s="36">
        <f>VLOOKUP($A16,[26]HISTOAVRIL25!$A$6:$AQ$51,22,0)</f>
        <v>0</v>
      </c>
      <c r="K16" s="36">
        <f>VLOOKUP($A16,[26]HISTOAVRIL25!$A$6:$AU$51,45,0)</f>
        <v>20000</v>
      </c>
      <c r="L16" s="36">
        <f t="shared" si="2"/>
        <v>14000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VLOOKUP($A16,[26]HISTOAVRIL25!$A$6:$AU$51,8,0)</f>
        <v>0</v>
      </c>
      <c r="Q16" s="36">
        <f>VLOOKUP($A16,[26]HISTOAVRIL25!$A$6:$AU$51,23,0)</f>
        <v>0</v>
      </c>
      <c r="R16" s="36">
        <f>VLOOKUP($A16,[26]HISTOAVRIL25!$A$6:$AU$51,46,0)</f>
        <v>0</v>
      </c>
      <c r="S16" s="36">
        <f>VLOOKUP($A16,[26]HISTOAVRIL25!$A$6:$AU$51,26,0)</f>
        <v>0</v>
      </c>
      <c r="T16" s="36">
        <f>VLOOKUP($A16,[26]HISTOAVRIL25!$A$6:$BG$51,58,0)</f>
        <v>0</v>
      </c>
      <c r="U16" s="36">
        <f>VLOOKUP($A16,[26]HISTOAVRIL25!$A$6:$AU$51,28,0)</f>
        <v>0</v>
      </c>
      <c r="V16" s="36">
        <f>VLOOKUP($A16,[26]HISTOAVRIL25!$A$6:$AU$51,19,0)</f>
        <v>0</v>
      </c>
      <c r="W16" s="36">
        <f>VLOOKUP($A16,[26]HISTOAVRIL25!$A$6:$AU$51,20,0)</f>
        <v>0</v>
      </c>
      <c r="X16" s="36">
        <f>VLOOKUP($A16,[26]HISTOAVRIL25!$A$6:$AU$51,27,0)</f>
        <v>0</v>
      </c>
      <c r="Y16" s="36">
        <f>VLOOKUP($A16,[26]HISTOAVRIL25!$A$6:$BM$51,33,0)</f>
        <v>0</v>
      </c>
      <c r="Z16" s="36">
        <f>VLOOKUP($A16,[26]HISTOAVRIL25!$A$6:$BM$51,64,0)</f>
        <v>150000</v>
      </c>
      <c r="AA16" s="36"/>
      <c r="AB16" s="36">
        <f>VLOOKUP($A16,[26]HISTOAVRIL25!$A$6:$AU$51,44,0)</f>
        <v>0</v>
      </c>
      <c r="AC16" s="36">
        <f>VLOOKUP($A16,[26]HISTOAVRIL25!$A$6:$AU$51,43,0)</f>
        <v>0</v>
      </c>
      <c r="AD16" s="36">
        <f>VLOOKUP($A16,[26]HISTOAVRIL25!$A$6:$BR$51,47,0)</f>
        <v>0</v>
      </c>
      <c r="AE16" s="36">
        <f>VLOOKUP(A16,[26]HISTOAVRIL25!$A$6:$BR$51,54,0)</f>
        <v>0</v>
      </c>
      <c r="AF16" s="36">
        <f>VLOOKUP($A16,[26]HISTOAVRIL25!$A$6:$BR$51,60,0)</f>
        <v>0</v>
      </c>
      <c r="AG16" s="36">
        <f>VLOOKUP($A16,[26]HISTOAVRIL25!$A$6:$CB$51,61,0)</f>
        <v>0</v>
      </c>
      <c r="AH16" s="36">
        <f>VLOOKUP($A16,[26]HISTOAVRIL25!$A$6:$CB$51,62,0)</f>
        <v>0</v>
      </c>
      <c r="AI16" s="36">
        <f>VLOOKUP($A16,[26]HISTOAVRIL25!$A$6:$CB$51,63,0)</f>
        <v>0</v>
      </c>
      <c r="AJ16" s="36">
        <f>VLOOKUP($A16,[26]HISTOAVRIL25!$A$6:$BR$51,64,0)</f>
        <v>150000</v>
      </c>
      <c r="AK16" s="36">
        <f>VLOOKUP($A16,[26]HISTOAVRIL25!$A$6:$BR$51,65,0)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VLOOKUP($A17,[26]HISTOAVRIL25!$A$6:$BA$51,48,0)</f>
        <v>0</v>
      </c>
      <c r="F17" s="36">
        <f>VLOOKUP(A17,MVTMARS25!A17:AM53,6,0)+MVTMARS25!H17-E17+L17</f>
        <v>1048591.146164835</v>
      </c>
      <c r="G17" s="5">
        <f>IF(MVTAVRIL25!F17&gt;800000,(MVTMARS25!I17-E17+L17),0)</f>
        <v>1048591.146164835</v>
      </c>
      <c r="H17" s="36">
        <f>VLOOKUP(A17,[27]MVTAVRIL25!$A$6:$AM$42,8,0)</f>
        <v>268.7633822643466</v>
      </c>
      <c r="I17" s="6">
        <f t="shared" si="1"/>
        <v>1048859.9095470994</v>
      </c>
      <c r="J17" s="36">
        <f>VLOOKUP($A17,[26]HISTOAVRIL25!$A$6:$AQ$51,22,0)</f>
        <v>0</v>
      </c>
      <c r="K17" s="36">
        <f>VLOOKUP($A17,[26]HISTOAVRIL25!$A$6:$AU$51,45,0)</f>
        <v>20000</v>
      </c>
      <c r="L17" s="36">
        <f t="shared" si="2"/>
        <v>14000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VLOOKUP($A17,[26]HISTOAVRIL25!$A$6:$AU$51,8,0)</f>
        <v>0</v>
      </c>
      <c r="Q17" s="36">
        <f>VLOOKUP($A17,[26]HISTOAVRIL25!$A$6:$AU$51,23,0)</f>
        <v>0</v>
      </c>
      <c r="R17" s="36">
        <f>VLOOKUP($A17,[26]HISTOAVRIL25!$A$6:$AU$51,46,0)</f>
        <v>0</v>
      </c>
      <c r="S17" s="36">
        <f>VLOOKUP($A17,[26]HISTOAVRIL25!$A$6:$AU$51,26,0)</f>
        <v>0</v>
      </c>
      <c r="T17" s="36">
        <f>VLOOKUP($A17,[26]HISTOAVRIL25!$A$6:$BG$51,58,0)</f>
        <v>0</v>
      </c>
      <c r="U17" s="36">
        <f>VLOOKUP($A17,[26]HISTOAVRIL25!$A$6:$AU$51,28,0)</f>
        <v>0</v>
      </c>
      <c r="V17" s="36">
        <f>VLOOKUP($A17,[26]HISTOAVRIL25!$A$6:$AU$51,19,0)</f>
        <v>0</v>
      </c>
      <c r="W17" s="36">
        <f>VLOOKUP($A17,[26]HISTOAVRIL25!$A$6:$AU$51,20,0)</f>
        <v>0</v>
      </c>
      <c r="X17" s="36">
        <f>VLOOKUP($A17,[26]HISTOAVRIL25!$A$6:$AU$51,27,0)</f>
        <v>0</v>
      </c>
      <c r="Y17" s="36">
        <f>VLOOKUP($A17,[26]HISTOAVRIL25!$A$6:$BM$51,33,0)</f>
        <v>0</v>
      </c>
      <c r="Z17" s="36">
        <f>VLOOKUP($A17,[26]HISTOAVRIL25!$A$6:$BM$51,64,0)</f>
        <v>0</v>
      </c>
      <c r="AA17" s="36"/>
      <c r="AB17" s="36">
        <f>VLOOKUP($A17,[26]HISTOAVRIL25!$A$6:$AU$51,44,0)</f>
        <v>0</v>
      </c>
      <c r="AC17" s="36">
        <f>VLOOKUP($A17,[26]HISTOAVRIL25!$A$6:$AU$51,43,0)</f>
        <v>0</v>
      </c>
      <c r="AD17" s="36">
        <f>VLOOKUP($A17,[26]HISTOAVRIL25!$A$6:$BR$51,47,0)</f>
        <v>0</v>
      </c>
      <c r="AE17" s="36">
        <f>VLOOKUP(A17,[26]HISTOAVRIL25!$A$6:$BR$51,54,0)</f>
        <v>0</v>
      </c>
      <c r="AF17" s="36">
        <f>VLOOKUP($A17,[26]HISTOAVRIL25!$A$6:$BR$51,60,0)</f>
        <v>0</v>
      </c>
      <c r="AG17" s="36">
        <f>VLOOKUP($A17,[26]HISTOAVRIL25!$A$6:$CB$51,61,0)</f>
        <v>0</v>
      </c>
      <c r="AH17" s="36">
        <f>VLOOKUP($A17,[26]HISTOAVRIL25!$A$6:$CB$51,62,0)</f>
        <v>0</v>
      </c>
      <c r="AI17" s="36">
        <f>VLOOKUP($A17,[26]HISTOAVRIL25!$A$6:$CB$51,63,0)</f>
        <v>0</v>
      </c>
      <c r="AJ17" s="36">
        <f>VLOOKUP($A17,[26]HISTOAVRIL25!$A$6:$BR$51,64,0)</f>
        <v>0</v>
      </c>
      <c r="AK17" s="36">
        <f>VLOOKUP($A17,[26]HISTOAVRIL25!$A$6:$BR$51,65,0)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VLOOKUP($A18,[26]HISTOAVRIL25!$A$6:$BA$51,48,0)</f>
        <v>0</v>
      </c>
      <c r="F18" s="36">
        <f>VLOOKUP(A18,MVTMARS25!A18:AM54,6,0)+MVTMARS25!H18-E18+L18</f>
        <v>941584.96327380394</v>
      </c>
      <c r="G18" s="5">
        <f>IF(MVTAVRIL25!F18&gt;800000,(MVTMARS25!I18-E18+L18),0)</f>
        <v>941584.96327380394</v>
      </c>
      <c r="H18" s="36">
        <f>VLOOKUP(A18,[27]MVTAVRIL25!$A$6:$AM$42,8,0)</f>
        <v>241.33673104554077</v>
      </c>
      <c r="I18" s="6">
        <f t="shared" si="1"/>
        <v>941826.30000484944</v>
      </c>
      <c r="J18" s="36">
        <f>VLOOKUP($A18,[26]HISTOAVRIL25!$A$6:$AQ$51,22,0)</f>
        <v>0</v>
      </c>
      <c r="K18" s="36">
        <f>VLOOKUP($A18,[26]HISTOAVRIL25!$A$6:$AU$51,45,0)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VLOOKUP($A18,[26]HISTOAVRIL25!$A$6:$AU$51,8,0)</f>
        <v>0</v>
      </c>
      <c r="Q18" s="36">
        <f>VLOOKUP($A18,[26]HISTOAVRIL25!$A$6:$AU$51,23,0)</f>
        <v>0</v>
      </c>
      <c r="R18" s="36">
        <f>VLOOKUP($A18,[26]HISTOAVRIL25!$A$6:$AU$51,46,0)</f>
        <v>0</v>
      </c>
      <c r="S18" s="36">
        <f>VLOOKUP($A18,[26]HISTOAVRIL25!$A$6:$AU$51,26,0)</f>
        <v>0</v>
      </c>
      <c r="T18" s="36">
        <f>VLOOKUP($A18,[26]HISTOAVRIL25!$A$6:$BG$51,58,0)</f>
        <v>0</v>
      </c>
      <c r="U18" s="36">
        <f>VLOOKUP($A18,[26]HISTOAVRIL25!$A$6:$AU$51,28,0)</f>
        <v>0</v>
      </c>
      <c r="V18" s="36">
        <f>VLOOKUP($A18,[26]HISTOAVRIL25!$A$6:$AU$51,19,0)</f>
        <v>0</v>
      </c>
      <c r="W18" s="36">
        <f>VLOOKUP($A18,[26]HISTOAVRIL25!$A$6:$AU$51,20,0)</f>
        <v>0</v>
      </c>
      <c r="X18" s="36">
        <f>VLOOKUP($A18,[26]HISTOAVRIL25!$A$6:$AU$51,27,0)</f>
        <v>0</v>
      </c>
      <c r="Y18" s="36">
        <f>VLOOKUP($A18,[26]HISTOAVRIL25!$A$6:$BM$51,33,0)</f>
        <v>0</v>
      </c>
      <c r="Z18" s="36">
        <f>VLOOKUP($A18,[26]HISTOAVRIL25!$A$6:$BM$51,64,0)</f>
        <v>0</v>
      </c>
      <c r="AA18" s="36"/>
      <c r="AB18" s="36">
        <f>VLOOKUP($A18,[26]HISTOAVRIL25!$A$6:$AU$51,44,0)</f>
        <v>0</v>
      </c>
      <c r="AC18" s="36">
        <f>VLOOKUP($A18,[26]HISTOAVRIL25!$A$6:$AU$51,43,0)</f>
        <v>0</v>
      </c>
      <c r="AD18" s="36">
        <f>VLOOKUP($A18,[26]HISTOAVRIL25!$A$6:$BR$51,47,0)</f>
        <v>0</v>
      </c>
      <c r="AE18" s="36">
        <f>VLOOKUP(A18,[26]HISTOAVRIL25!$A$6:$BR$51,54,0)</f>
        <v>0</v>
      </c>
      <c r="AF18" s="36">
        <f>VLOOKUP($A18,[26]HISTOAVRIL25!$A$6:$BR$51,60,0)</f>
        <v>0</v>
      </c>
      <c r="AG18" s="36">
        <f>VLOOKUP($A18,[26]HISTOAVRIL25!$A$6:$CB$51,61,0)</f>
        <v>0</v>
      </c>
      <c r="AH18" s="36">
        <f>VLOOKUP($A18,[26]HISTOAVRIL25!$A$6:$CB$51,62,0)</f>
        <v>0</v>
      </c>
      <c r="AI18" s="36">
        <f>VLOOKUP($A18,[26]HISTOAVRIL25!$A$6:$CB$51,63,0)</f>
        <v>0</v>
      </c>
      <c r="AJ18" s="36">
        <f>VLOOKUP($A18,[26]HISTOAVRIL25!$A$6:$BR$51,64,0)</f>
        <v>0</v>
      </c>
      <c r="AK18" s="36">
        <f>VLOOKUP($A18,[26]HISTOAVRIL25!$A$6:$BR$51,65,0)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VLOOKUP($A19,[26]HISTOAVRIL25!$A$6:$BA$51,48,0)</f>
        <v>0</v>
      </c>
      <c r="F19" s="36">
        <f>VLOOKUP(A19,MVTMARS25!A19:AM55,6,0)+MVTMARS25!H19-E19+L19</f>
        <v>985489.56006856321</v>
      </c>
      <c r="G19" s="5">
        <f>IF(MVTAVRIL25!F19&gt;800000,(MVTMARS25!I19-E19+L19),0)</f>
        <v>985489.56006856321</v>
      </c>
      <c r="H19" s="36">
        <f>VLOOKUP(A19,[27]MVTAVRIL25!$A$6:$AM$42,8,0)</f>
        <v>252.58987577661119</v>
      </c>
      <c r="I19" s="6">
        <f t="shared" si="1"/>
        <v>985742.14994433976</v>
      </c>
      <c r="J19" s="36">
        <f>VLOOKUP($A19,[26]HISTOAVRIL25!$A$6:$AQ$51,22,0)</f>
        <v>0</v>
      </c>
      <c r="K19" s="36">
        <f>VLOOKUP($A19,[26]HISTOAVRIL25!$A$6:$AU$51,45,0)</f>
        <v>33000</v>
      </c>
      <c r="L19" s="36">
        <f t="shared" si="2"/>
        <v>27000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VLOOKUP($A19,[26]HISTOAVRIL25!$A$6:$AU$51,8,0)</f>
        <v>0</v>
      </c>
      <c r="Q19" s="36">
        <f>VLOOKUP($A19,[26]HISTOAVRIL25!$A$6:$AU$51,23,0)</f>
        <v>0</v>
      </c>
      <c r="R19" s="36">
        <f>VLOOKUP($A19,[26]HISTOAVRIL25!$A$6:$AU$51,46,0)</f>
        <v>0</v>
      </c>
      <c r="S19" s="36">
        <f>VLOOKUP($A19,[26]HISTOAVRIL25!$A$6:$AU$51,26,0)</f>
        <v>0</v>
      </c>
      <c r="T19" s="36">
        <f>VLOOKUP($A19,[26]HISTOAVRIL25!$A$6:$BG$51,58,0)</f>
        <v>0</v>
      </c>
      <c r="U19" s="36">
        <f>VLOOKUP($A19,[26]HISTOAVRIL25!$A$6:$AU$51,28,0)</f>
        <v>0</v>
      </c>
      <c r="V19" s="36">
        <f>VLOOKUP($A19,[26]HISTOAVRIL25!$A$6:$AU$51,19,0)</f>
        <v>0</v>
      </c>
      <c r="W19" s="36">
        <f>VLOOKUP($A19,[26]HISTOAVRIL25!$A$6:$AU$51,20,0)</f>
        <v>0</v>
      </c>
      <c r="X19" s="36">
        <f>VLOOKUP($A19,[26]HISTOAVRIL25!$A$6:$AU$51,27,0)</f>
        <v>0</v>
      </c>
      <c r="Y19" s="36">
        <f>VLOOKUP($A19,[26]HISTOAVRIL25!$A$6:$BM$51,33,0)</f>
        <v>0</v>
      </c>
      <c r="Z19" s="36">
        <f>VLOOKUP($A19,[26]HISTOAVRIL25!$A$6:$BM$51,64,0)</f>
        <v>0</v>
      </c>
      <c r="AA19" s="36"/>
      <c r="AB19" s="36">
        <f>VLOOKUP($A19,[26]HISTOAVRIL25!$A$6:$AU$51,44,0)</f>
        <v>0</v>
      </c>
      <c r="AC19" s="36">
        <f>VLOOKUP($A19,[26]HISTOAVRIL25!$A$6:$AU$51,43,0)</f>
        <v>0</v>
      </c>
      <c r="AD19" s="36">
        <f>VLOOKUP($A19,[26]HISTOAVRIL25!$A$6:$BR$51,47,0)</f>
        <v>0</v>
      </c>
      <c r="AE19" s="36">
        <f>VLOOKUP(A19,[26]HISTOAVRIL25!$A$6:$BR$51,54,0)</f>
        <v>0</v>
      </c>
      <c r="AF19" s="36">
        <f>VLOOKUP($A19,[26]HISTOAVRIL25!$A$6:$BR$51,60,0)</f>
        <v>0</v>
      </c>
      <c r="AG19" s="36">
        <f>VLOOKUP($A19,[26]HISTOAVRIL25!$A$6:$CB$51,61,0)</f>
        <v>0</v>
      </c>
      <c r="AH19" s="36">
        <f>VLOOKUP($A19,[26]HISTOAVRIL25!$A$6:$CB$51,62,0)</f>
        <v>0</v>
      </c>
      <c r="AI19" s="36">
        <f>VLOOKUP($A19,[26]HISTOAVRIL25!$A$6:$CB$51,63,0)</f>
        <v>0</v>
      </c>
      <c r="AJ19" s="36">
        <f>VLOOKUP($A19,[26]HISTOAVRIL25!$A$6:$BR$51,64,0)</f>
        <v>0</v>
      </c>
      <c r="AK19" s="36">
        <f>VLOOKUP($A19,[26]HISTOAVRIL25!$A$6:$BR$51,65,0)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VLOOKUP($A20,[26]HISTOAVRIL25!$A$6:$BA$51,48,0)</f>
        <v>0</v>
      </c>
      <c r="F20" s="36">
        <f>VLOOKUP(A20,MVTMARS25!A20:AM56,6,0)+MVTMARS25!H20-E20+L20</f>
        <v>200000</v>
      </c>
      <c r="G20" s="5">
        <f>IF(MVTAVRIL25!F20&gt;800000,(MVTMARS25!I20-E20+L20),0)</f>
        <v>0</v>
      </c>
      <c r="H20" s="36">
        <f>VLOOKUP(A20,[27]MVTAVRIL25!$A$6:$AM$42,8,0)</f>
        <v>0</v>
      </c>
      <c r="I20" s="6">
        <f t="shared" ref="I20" si="5">F20+H20</f>
        <v>200000</v>
      </c>
      <c r="J20" s="36">
        <f>VLOOKUP($A20,[26]HISTOAVRIL25!$A$6:$AQ$51,22,0)</f>
        <v>0</v>
      </c>
      <c r="K20" s="36">
        <f>VLOOKUP($A20,[26]HISTOAVRIL25!$A$6:$AU$51,45,0)</f>
        <v>0</v>
      </c>
      <c r="L20" s="36">
        <f>IF(K20=0,0,K20-(M20+N20+O20))+200000</f>
        <v>200000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VLOOKUP($A20,[26]HISTOAVRIL25!$A$6:$AU$51,8,0)</f>
        <v>0</v>
      </c>
      <c r="Q20" s="36">
        <f>VLOOKUP($A20,[26]HISTOAVRIL25!$A$6:$AU$51,23,0)</f>
        <v>0</v>
      </c>
      <c r="R20" s="36">
        <f>VLOOKUP($A20,[26]HISTOAVRIL25!$A$6:$AU$51,46,0)</f>
        <v>0</v>
      </c>
      <c r="S20" s="36">
        <f>VLOOKUP($A20,[26]HISTOAVRIL25!$A$6:$AU$51,26,0)</f>
        <v>0</v>
      </c>
      <c r="T20" s="36">
        <f>VLOOKUP($A20,[26]HISTOAVRIL25!$A$6:$BG$51,58,0)</f>
        <v>0</v>
      </c>
      <c r="U20" s="36">
        <f>VLOOKUP($A20,[26]HISTOAVRIL25!$A$6:$AU$51,28,0)</f>
        <v>0</v>
      </c>
      <c r="V20" s="36">
        <f>VLOOKUP($A20,[26]HISTOAVRIL25!$A$6:$AU$51,19,0)</f>
        <v>0</v>
      </c>
      <c r="W20" s="36">
        <f>VLOOKUP($A20,[26]HISTOAVRIL25!$A$6:$AU$51,20,0)</f>
        <v>0</v>
      </c>
      <c r="X20" s="36">
        <f>VLOOKUP($A20,[26]HISTOAVRIL25!$A$6:$AU$51,27,0)</f>
        <v>0</v>
      </c>
      <c r="Y20" s="36">
        <f>VLOOKUP($A20,[26]HISTOAVRIL25!$A$6:$BM$51,33,0)</f>
        <v>0</v>
      </c>
      <c r="Z20" s="36">
        <f>VLOOKUP($A20,[26]HISTOAVRIL25!$A$6:$BM$51,64,0)</f>
        <v>0</v>
      </c>
      <c r="AA20" s="36"/>
      <c r="AB20" s="36">
        <f>VLOOKUP($A20,[26]HISTOAVRIL25!$A$6:$AU$51,44,0)</f>
        <v>0</v>
      </c>
      <c r="AC20" s="36">
        <f>VLOOKUP($A20,[26]HISTOAVRIL25!$A$6:$AU$51,43,0)</f>
        <v>0</v>
      </c>
      <c r="AD20" s="36">
        <f>VLOOKUP($A20,[26]HISTOAVRIL25!$A$6:$BR$51,47,0)</f>
        <v>0</v>
      </c>
      <c r="AE20" s="36">
        <f>VLOOKUP(A20,[26]HISTOAVRIL25!$A$6:$BR$51,54,0)</f>
        <v>0</v>
      </c>
      <c r="AF20" s="36">
        <f>VLOOKUP($A20,[26]HISTOAVRIL25!$A$6:$BR$51,60,0)</f>
        <v>0</v>
      </c>
      <c r="AG20" s="36">
        <f>VLOOKUP($A20,[26]HISTOAVRIL25!$A$6:$CB$51,61,0)</f>
        <v>0</v>
      </c>
      <c r="AH20" s="36">
        <f>VLOOKUP($A20,[26]HISTOAVRIL25!$A$6:$CB$51,62,0)</f>
        <v>0</v>
      </c>
      <c r="AI20" s="36">
        <f>VLOOKUP($A20,[26]HISTOAVRIL25!$A$6:$CB$51,63,0)</f>
        <v>0</v>
      </c>
      <c r="AJ20" s="36">
        <f>VLOOKUP($A20,[26]HISTOAVRIL25!$A$6:$BR$51,64,0)</f>
        <v>0</v>
      </c>
      <c r="AK20" s="36">
        <f>VLOOKUP($A20,[26]HISTOAVRIL25!$A$6:$BR$51,65,0)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VLOOKUP($A21,[26]HISTOAVRIL25!$A$6:$BA$51,48,0)</f>
        <v>0</v>
      </c>
      <c r="F21" s="36">
        <f>VLOOKUP(A21,MVTMARS25!A21:AM56,6,0)+MVTMARS25!H21-E21+L21</f>
        <v>1097220.5876662093</v>
      </c>
      <c r="G21" s="5">
        <f>IF(MVTAVRIL25!F21&gt;800000,(MVTMARS25!I21-E21+L21),0)</f>
        <v>1097220.5876662093</v>
      </c>
      <c r="H21" s="36">
        <f>VLOOKUP(A21,[27]MVTAVRIL25!$A$6:$AM$42,8,0)</f>
        <v>281.22754737134534</v>
      </c>
      <c r="I21" s="6">
        <f t="shared" si="1"/>
        <v>1097501.8152135806</v>
      </c>
      <c r="J21" s="36">
        <f>VLOOKUP($A21,[26]HISTOAVRIL25!$A$6:$AQ$51,22,0)</f>
        <v>0</v>
      </c>
      <c r="K21" s="36">
        <f>VLOOKUP($A21,[26]HISTOAVRIL25!$A$6:$AU$51,45,0)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VLOOKUP($A21,[26]HISTOAVRIL25!$A$6:$AU$51,8,0)</f>
        <v>0</v>
      </c>
      <c r="Q21" s="36">
        <f>VLOOKUP($A21,[26]HISTOAVRIL25!$A$6:$AU$51,23,0)</f>
        <v>0</v>
      </c>
      <c r="R21" s="36">
        <f>VLOOKUP($A21,[26]HISTOAVRIL25!$A$6:$AU$51,46,0)</f>
        <v>0</v>
      </c>
      <c r="S21" s="36">
        <f>VLOOKUP($A21,[26]HISTOAVRIL25!$A$6:$AU$51,26,0)</f>
        <v>300000</v>
      </c>
      <c r="T21" s="36">
        <f>VLOOKUP($A21,[26]HISTOAVRIL25!$A$6:$BG$51,58,0)</f>
        <v>9000</v>
      </c>
      <c r="U21" s="36">
        <f>VLOOKUP($A21,[26]HISTOAVRIL25!$A$6:$AU$51,28,0)</f>
        <v>0</v>
      </c>
      <c r="V21" s="36">
        <f>VLOOKUP($A21,[26]HISTOAVRIL25!$A$6:$AU$51,19,0)</f>
        <v>0</v>
      </c>
      <c r="W21" s="36">
        <f>VLOOKUP($A21,[26]HISTOAVRIL25!$A$6:$AU$51,20,0)</f>
        <v>0</v>
      </c>
      <c r="X21" s="36">
        <f>VLOOKUP($A21,[26]HISTOAVRIL25!$A$6:$AU$51,27,0)</f>
        <v>0</v>
      </c>
      <c r="Y21" s="36">
        <f>VLOOKUP($A21,[26]HISTOAVRIL25!$A$6:$BM$51,33,0)</f>
        <v>0</v>
      </c>
      <c r="Z21" s="36">
        <f>VLOOKUP($A21,[26]HISTOAVRIL25!$A$6:$BM$51,64,0)</f>
        <v>0</v>
      </c>
      <c r="AA21" s="36"/>
      <c r="AB21" s="36">
        <f>VLOOKUP($A21,[26]HISTOAVRIL25!$A$6:$AU$51,44,0)</f>
        <v>0</v>
      </c>
      <c r="AC21" s="36">
        <f>VLOOKUP($A21,[26]HISTOAVRIL25!$A$6:$AU$51,43,0)</f>
        <v>0</v>
      </c>
      <c r="AD21" s="36">
        <f>VLOOKUP($A21,[26]HISTOAVRIL25!$A$6:$BR$51,47,0)</f>
        <v>0</v>
      </c>
      <c r="AE21" s="36">
        <f>VLOOKUP(A21,[26]HISTOAVRIL25!$A$6:$BR$51,54,0)</f>
        <v>0</v>
      </c>
      <c r="AF21" s="36">
        <f>VLOOKUP($A21,[26]HISTOAVRIL25!$A$6:$BR$51,60,0)</f>
        <v>0</v>
      </c>
      <c r="AG21" s="36">
        <f>VLOOKUP($A21,[26]HISTOAVRIL25!$A$6:$CB$51,61,0)</f>
        <v>0</v>
      </c>
      <c r="AH21" s="36">
        <f>VLOOKUP($A21,[26]HISTOAVRIL25!$A$6:$CB$51,62,0)</f>
        <v>0</v>
      </c>
      <c r="AI21" s="36">
        <f>VLOOKUP($A21,[26]HISTOAVRIL25!$A$6:$CB$51,63,0)</f>
        <v>0</v>
      </c>
      <c r="AJ21" s="36">
        <f>VLOOKUP($A21,[26]HISTOAVRIL25!$A$6:$BR$51,64,0)</f>
        <v>0</v>
      </c>
      <c r="AK21" s="36">
        <f>VLOOKUP($A21,[26]HISTOAVRIL25!$A$6:$BR$51,65,0)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VLOOKUP($A22,[26]HISTOAVRIL25!$A$6:$BA$51,48,0)</f>
        <v>0</v>
      </c>
      <c r="F22" s="36">
        <f>VLOOKUP(A22,MVTMARS25!A22:AM57,6,0)+MVTMARS25!H22-E22+L22</f>
        <v>943888.05378379335</v>
      </c>
      <c r="G22" s="5">
        <f>IF(MVTAVRIL25!F22&gt;800000,(MVTMARS25!I22-E22+L22),0)</f>
        <v>943888.05378379335</v>
      </c>
      <c r="H22" s="36">
        <f>VLOOKUP(A22,[27]MVTAVRIL25!$A$6:$AM$42,8,0)</f>
        <v>241.92703394614182</v>
      </c>
      <c r="I22" s="6">
        <f t="shared" si="1"/>
        <v>944129.9808177395</v>
      </c>
      <c r="J22" s="36">
        <f>VLOOKUP($A22,[26]HISTOAVRIL25!$A$6:$AQ$51,22,0)</f>
        <v>0</v>
      </c>
      <c r="K22" s="36">
        <f>VLOOKUP($A22,[26]HISTOAVRIL25!$A$6:$AU$51,45,0)</f>
        <v>25000</v>
      </c>
      <c r="L22" s="36">
        <f t="shared" si="2"/>
        <v>19000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VLOOKUP($A22,[26]HISTOAVRIL25!$A$6:$AU$51,8,0)</f>
        <v>0</v>
      </c>
      <c r="Q22" s="36">
        <f>VLOOKUP($A22,[26]HISTOAVRIL25!$A$6:$AU$51,23,0)</f>
        <v>0</v>
      </c>
      <c r="R22" s="36">
        <f>VLOOKUP($A22,[26]HISTOAVRIL25!$A$6:$AU$51,46,0)</f>
        <v>0</v>
      </c>
      <c r="S22" s="36">
        <f>VLOOKUP($A22,[26]HISTOAVRIL25!$A$6:$AU$51,26,0)</f>
        <v>0</v>
      </c>
      <c r="T22" s="36">
        <f>VLOOKUP($A22,[26]HISTOAVRIL25!$A$6:$BG$51,58,0)</f>
        <v>0</v>
      </c>
      <c r="U22" s="36">
        <f>VLOOKUP($A22,[26]HISTOAVRIL25!$A$6:$AU$51,28,0)</f>
        <v>0</v>
      </c>
      <c r="V22" s="36">
        <f>VLOOKUP($A22,[26]HISTOAVRIL25!$A$6:$AU$51,19,0)</f>
        <v>0</v>
      </c>
      <c r="W22" s="36">
        <f>VLOOKUP($A22,[26]HISTOAVRIL25!$A$6:$AU$51,20,0)</f>
        <v>0</v>
      </c>
      <c r="X22" s="36">
        <f>VLOOKUP($A22,[26]HISTOAVRIL25!$A$6:$AU$51,27,0)</f>
        <v>0</v>
      </c>
      <c r="Y22" s="36">
        <f>VLOOKUP($A22,[26]HISTOAVRIL25!$A$6:$BM$51,33,0)</f>
        <v>0</v>
      </c>
      <c r="Z22" s="36">
        <f>VLOOKUP($A22,[26]HISTOAVRIL25!$A$6:$BM$51,64,0)</f>
        <v>0</v>
      </c>
      <c r="AA22" s="36"/>
      <c r="AB22" s="36">
        <f>VLOOKUP($A22,[26]HISTOAVRIL25!$A$6:$AU$51,44,0)</f>
        <v>0</v>
      </c>
      <c r="AC22" s="36">
        <f>VLOOKUP($A22,[26]HISTOAVRIL25!$A$6:$AU$51,43,0)</f>
        <v>0</v>
      </c>
      <c r="AD22" s="36">
        <f>VLOOKUP($A22,[26]HISTOAVRIL25!$A$6:$BR$51,47,0)</f>
        <v>0</v>
      </c>
      <c r="AE22" s="36">
        <f>VLOOKUP(A22,[26]HISTOAVRIL25!$A$6:$BR$51,54,0)</f>
        <v>0</v>
      </c>
      <c r="AF22" s="36">
        <f>VLOOKUP($A22,[26]HISTOAVRIL25!$A$6:$BR$51,60,0)</f>
        <v>0</v>
      </c>
      <c r="AG22" s="36">
        <f>VLOOKUP($A22,[26]HISTOAVRIL25!$A$6:$CB$51,61,0)</f>
        <v>0</v>
      </c>
      <c r="AH22" s="36">
        <f>VLOOKUP($A22,[26]HISTOAVRIL25!$A$6:$CB$51,62,0)</f>
        <v>0</v>
      </c>
      <c r="AI22" s="36">
        <f>VLOOKUP($A22,[26]HISTOAVRIL25!$A$6:$CB$51,63,0)</f>
        <v>0</v>
      </c>
      <c r="AJ22" s="36">
        <f>VLOOKUP($A22,[26]HISTOAVRIL25!$A$6:$BR$51,64,0)</f>
        <v>0</v>
      </c>
      <c r="AK22" s="36">
        <f>VLOOKUP($A22,[26]HISTOAVRIL25!$A$6:$BR$51,65,0)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VLOOKUP($A23,[26]HISTOAVRIL25!$A$6:$BA$51,48,0)</f>
        <v>0</v>
      </c>
      <c r="F23" s="36">
        <f>VLOOKUP(A23,MVTMARS25!A23:AM58,6,0)+MVTMARS25!H23-E23+L23</f>
        <v>943156.81182484888</v>
      </c>
      <c r="G23" s="5">
        <f>IF(MVTAVRIL25!F23&gt;800000,(MVTMARS25!I23-E23+L23),0)</f>
        <v>943156.81182484888</v>
      </c>
      <c r="H23" s="36">
        <f>VLOOKUP(A23,[27]MVTAVRIL25!$A$6:$AM$42,8,0)</f>
        <v>241.73961002704971</v>
      </c>
      <c r="I23" s="6">
        <f t="shared" si="1"/>
        <v>943398.55143487593</v>
      </c>
      <c r="J23" s="36">
        <f>VLOOKUP($A23,[26]HISTOAVRIL25!$A$6:$AQ$51,22,0)</f>
        <v>0</v>
      </c>
      <c r="K23" s="36">
        <f>VLOOKUP($A23,[26]HISTOAVRIL25!$A$6:$AU$51,45,0)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VLOOKUP($A23,[26]HISTOAVRIL25!$A$6:$AU$51,8,0)</f>
        <v>0</v>
      </c>
      <c r="Q23" s="36">
        <f>VLOOKUP($A23,[26]HISTOAVRIL25!$A$6:$AU$51,23,0)</f>
        <v>0</v>
      </c>
      <c r="R23" s="36">
        <f>VLOOKUP($A23,[26]HISTOAVRIL25!$A$6:$AU$51,46,0)</f>
        <v>0</v>
      </c>
      <c r="S23" s="36">
        <f>VLOOKUP($A23,[26]HISTOAVRIL25!$A$6:$AU$51,26,0)</f>
        <v>0</v>
      </c>
      <c r="T23" s="36">
        <f>VLOOKUP($A23,[26]HISTOAVRIL25!$A$6:$BG$51,58,0)</f>
        <v>0</v>
      </c>
      <c r="U23" s="36">
        <f>VLOOKUP($A23,[26]HISTOAVRIL25!$A$6:$AU$51,28,0)</f>
        <v>0</v>
      </c>
      <c r="V23" s="36">
        <f>VLOOKUP($A23,[26]HISTOAVRIL25!$A$6:$AU$51,19,0)</f>
        <v>0</v>
      </c>
      <c r="W23" s="36">
        <f>VLOOKUP($A23,[26]HISTOAVRIL25!$A$6:$AU$51,20,0)</f>
        <v>0</v>
      </c>
      <c r="X23" s="36">
        <f>VLOOKUP($A23,[26]HISTOAVRIL25!$A$6:$AU$51,27,0)</f>
        <v>0</v>
      </c>
      <c r="Y23" s="36">
        <f>VLOOKUP($A23,[26]HISTOAVRIL25!$A$6:$BM$51,33,0)</f>
        <v>0</v>
      </c>
      <c r="Z23" s="36">
        <f>VLOOKUP($A23,[26]HISTOAVRIL25!$A$6:$BM$51,64,0)</f>
        <v>0</v>
      </c>
      <c r="AA23" s="36"/>
      <c r="AB23" s="36">
        <f>VLOOKUP($A23,[26]HISTOAVRIL25!$A$6:$AU$51,44,0)</f>
        <v>0</v>
      </c>
      <c r="AC23" s="36">
        <f>VLOOKUP($A23,[26]HISTOAVRIL25!$A$6:$AU$51,43,0)</f>
        <v>0</v>
      </c>
      <c r="AD23" s="36">
        <f>VLOOKUP($A23,[26]HISTOAVRIL25!$A$6:$BR$51,47,0)</f>
        <v>0</v>
      </c>
      <c r="AE23" s="36">
        <f>VLOOKUP(A23,[26]HISTOAVRIL25!$A$6:$BR$51,54,0)</f>
        <v>0</v>
      </c>
      <c r="AF23" s="36">
        <f>VLOOKUP($A23,[26]HISTOAVRIL25!$A$6:$BR$51,60,0)</f>
        <v>0</v>
      </c>
      <c r="AG23" s="36">
        <f>VLOOKUP($A23,[26]HISTOAVRIL25!$A$6:$CB$51,61,0)</f>
        <v>0</v>
      </c>
      <c r="AH23" s="36">
        <f>VLOOKUP($A23,[26]HISTOAVRIL25!$A$6:$CB$51,62,0)</f>
        <v>0</v>
      </c>
      <c r="AI23" s="36">
        <f>VLOOKUP($A23,[26]HISTOAVRIL25!$A$6:$CB$51,63,0)</f>
        <v>0</v>
      </c>
      <c r="AJ23" s="36">
        <f>VLOOKUP($A23,[26]HISTOAVRIL25!$A$6:$BR$51,64,0)</f>
        <v>0</v>
      </c>
      <c r="AK23" s="36">
        <f>VLOOKUP($A23,[26]HISTOAVRIL25!$A$6:$BR$51,65,0)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VLOOKUP($A24,[26]HISTOAVRIL25!$A$6:$BA$51,48,0)</f>
        <v>0</v>
      </c>
      <c r="F24" s="36">
        <f>VLOOKUP(A24,MVTMARS25!A24:AM59,6,0)+MVTMARS25!H24-E24+L24</f>
        <v>890283.87919690984</v>
      </c>
      <c r="G24" s="5">
        <f>IF(MVTAVRIL25!F24&gt;800000,(MVTMARS25!I24-E24+L24),0)</f>
        <v>890283.87919690984</v>
      </c>
      <c r="H24" s="36">
        <f>VLOOKUP(A24,[27]MVTAVRIL25!$A$6:$AM$42,8,0)</f>
        <v>228.18779981456291</v>
      </c>
      <c r="I24" s="6">
        <f t="shared" si="1"/>
        <v>890512.06699672434</v>
      </c>
      <c r="J24" s="36">
        <f>VLOOKUP($A24,[26]HISTOAVRIL25!$A$6:$AQ$51,22,0)</f>
        <v>0</v>
      </c>
      <c r="K24" s="36">
        <f>VLOOKUP($A24,[26]HISTOAVRIL25!$A$6:$AU$51,45,0)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VLOOKUP($A24,[26]HISTOAVRIL25!$A$6:$AU$51,8,0)</f>
        <v>0</v>
      </c>
      <c r="Q24" s="36">
        <f>VLOOKUP($A24,[26]HISTOAVRIL25!$A$6:$AU$51,23,0)</f>
        <v>0</v>
      </c>
      <c r="R24" s="36">
        <f>VLOOKUP($A24,[26]HISTOAVRIL25!$A$6:$AU$51,46,0)</f>
        <v>0</v>
      </c>
      <c r="S24" s="36">
        <f>VLOOKUP($A24,[26]HISTOAVRIL25!$A$6:$AU$51,26,0)</f>
        <v>0</v>
      </c>
      <c r="T24" s="36">
        <f>VLOOKUP($A24,[26]HISTOAVRIL25!$A$6:$BG$51,58,0)</f>
        <v>0</v>
      </c>
      <c r="U24" s="36">
        <f>VLOOKUP($A24,[26]HISTOAVRIL25!$A$6:$AU$51,28,0)</f>
        <v>0</v>
      </c>
      <c r="V24" s="36">
        <f>VLOOKUP($A24,[26]HISTOAVRIL25!$A$6:$AU$51,19,0)</f>
        <v>0</v>
      </c>
      <c r="W24" s="36">
        <f>VLOOKUP($A24,[26]HISTOAVRIL25!$A$6:$AU$51,20,0)</f>
        <v>0</v>
      </c>
      <c r="X24" s="36">
        <f>VLOOKUP($A24,[26]HISTOAVRIL25!$A$6:$AU$51,27,0)</f>
        <v>0</v>
      </c>
      <c r="Y24" s="36">
        <f>VLOOKUP($A24,[26]HISTOAVRIL25!$A$6:$BM$51,33,0)</f>
        <v>0</v>
      </c>
      <c r="Z24" s="36">
        <f>VLOOKUP($A24,[26]HISTOAVRIL25!$A$6:$BM$51,64,0)</f>
        <v>0</v>
      </c>
      <c r="AA24" s="36"/>
      <c r="AB24" s="36">
        <f>VLOOKUP($A24,[26]HISTOAVRIL25!$A$6:$AU$51,44,0)</f>
        <v>0</v>
      </c>
      <c r="AC24" s="36">
        <f>VLOOKUP($A24,[26]HISTOAVRIL25!$A$6:$AU$51,43,0)</f>
        <v>0</v>
      </c>
      <c r="AD24" s="36">
        <f>VLOOKUP($A24,[26]HISTOAVRIL25!$A$6:$BR$51,47,0)</f>
        <v>0</v>
      </c>
      <c r="AE24" s="36">
        <f>VLOOKUP(A24,[26]HISTOAVRIL25!$A$6:$BR$51,54,0)</f>
        <v>0</v>
      </c>
      <c r="AF24" s="36">
        <f>VLOOKUP($A24,[26]HISTOAVRIL25!$A$6:$BR$51,60,0)</f>
        <v>0</v>
      </c>
      <c r="AG24" s="36">
        <f>VLOOKUP($A24,[26]HISTOAVRIL25!$A$6:$CB$51,61,0)</f>
        <v>0</v>
      </c>
      <c r="AH24" s="36">
        <f>VLOOKUP($A24,[26]HISTOAVRIL25!$A$6:$CB$51,62,0)</f>
        <v>0</v>
      </c>
      <c r="AI24" s="36">
        <f>VLOOKUP($A24,[26]HISTOAVRIL25!$A$6:$CB$51,63,0)</f>
        <v>0</v>
      </c>
      <c r="AJ24" s="36">
        <f>VLOOKUP($A24,[26]HISTOAVRIL25!$A$6:$BR$51,64,0)</f>
        <v>0</v>
      </c>
      <c r="AK24" s="36">
        <f>VLOOKUP($A24,[26]HISTOAVRIL25!$A$6:$BR$51,65,0)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VLOOKUP($A25,[26]HISTOAVRIL25!$A$6:$BA$51,48,0)</f>
        <v>0</v>
      </c>
      <c r="F25" s="36">
        <f>VLOOKUP(A25,MVTMARS25!A25:AM60,6,0)+MVTMARS25!H25-E25+L25</f>
        <v>1249958.78869809</v>
      </c>
      <c r="G25" s="5">
        <f>IF(MVTAVRIL25!F25&gt;800000,(MVTMARS25!I25-E25+L25),0)</f>
        <v>1249958.78869809</v>
      </c>
      <c r="H25" s="36">
        <f>VLOOKUP(A25,[27]MVTAVRIL25!$A$6:$AM$42,8,0)</f>
        <v>320.37572791858696</v>
      </c>
      <c r="I25" s="6">
        <f t="shared" si="1"/>
        <v>1250279.1644260087</v>
      </c>
      <c r="J25" s="36">
        <f>VLOOKUP($A25,[26]HISTOAVRIL25!$A$6:$AQ$51,22,0)</f>
        <v>0</v>
      </c>
      <c r="K25" s="36">
        <f>VLOOKUP($A25,[26]HISTOAVRIL25!$A$6:$AU$51,45,0)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VLOOKUP($A25,[26]HISTOAVRIL25!$A$6:$AU$51,8,0)</f>
        <v>0</v>
      </c>
      <c r="Q25" s="36">
        <f>VLOOKUP($A25,[26]HISTOAVRIL25!$A$6:$AU$51,23,0)</f>
        <v>0</v>
      </c>
      <c r="R25" s="36">
        <f>VLOOKUP($A25,[26]HISTOAVRIL25!$A$6:$AU$51,46,0)</f>
        <v>0</v>
      </c>
      <c r="S25" s="36">
        <f>VLOOKUP($A25,[26]HISTOAVRIL25!$A$6:$AU$51,26,0)</f>
        <v>0</v>
      </c>
      <c r="T25" s="36">
        <f>VLOOKUP($A25,[26]HISTOAVRIL25!$A$6:$BG$51,58,0)</f>
        <v>0</v>
      </c>
      <c r="U25" s="36">
        <f>VLOOKUP($A25,[26]HISTOAVRIL25!$A$6:$AU$51,28,0)</f>
        <v>0</v>
      </c>
      <c r="V25" s="36">
        <f>VLOOKUP($A25,[26]HISTOAVRIL25!$A$6:$AU$51,19,0)</f>
        <v>0</v>
      </c>
      <c r="W25" s="36">
        <f>VLOOKUP($A25,[26]HISTOAVRIL25!$A$6:$AU$51,20,0)</f>
        <v>0</v>
      </c>
      <c r="X25" s="36">
        <f>VLOOKUP($A25,[26]HISTOAVRIL25!$A$6:$AU$51,27,0)</f>
        <v>0</v>
      </c>
      <c r="Y25" s="36">
        <f>VLOOKUP($A25,[26]HISTOAVRIL25!$A$6:$BM$51,33,0)</f>
        <v>0</v>
      </c>
      <c r="Z25" s="36">
        <f>VLOOKUP($A25,[26]HISTOAVRIL25!$A$6:$BM$51,64,0)</f>
        <v>0</v>
      </c>
      <c r="AA25" s="36"/>
      <c r="AB25" s="36">
        <f>VLOOKUP($A25,[26]HISTOAVRIL25!$A$6:$AU$51,44,0)</f>
        <v>0</v>
      </c>
      <c r="AC25" s="36">
        <f>VLOOKUP($A25,[26]HISTOAVRIL25!$A$6:$AU$51,43,0)</f>
        <v>0</v>
      </c>
      <c r="AD25" s="36">
        <f>VLOOKUP($A25,[26]HISTOAVRIL25!$A$6:$BR$51,47,0)</f>
        <v>0</v>
      </c>
      <c r="AE25" s="36">
        <f>VLOOKUP(A25,[26]HISTOAVRIL25!$A$6:$BR$51,54,0)</f>
        <v>0</v>
      </c>
      <c r="AF25" s="36">
        <f>VLOOKUP($A25,[26]HISTOAVRIL25!$A$6:$BR$51,60,0)</f>
        <v>0</v>
      </c>
      <c r="AG25" s="36">
        <f>VLOOKUP($A25,[26]HISTOAVRIL25!$A$6:$CB$51,61,0)</f>
        <v>0</v>
      </c>
      <c r="AH25" s="36">
        <f>VLOOKUP($A25,[26]HISTOAVRIL25!$A$6:$CB$51,62,0)</f>
        <v>0</v>
      </c>
      <c r="AI25" s="36">
        <f>VLOOKUP($A25,[26]HISTOAVRIL25!$A$6:$CB$51,63,0)</f>
        <v>0</v>
      </c>
      <c r="AJ25" s="36">
        <f>VLOOKUP($A25,[26]HISTOAVRIL25!$A$6:$BR$51,64,0)</f>
        <v>0</v>
      </c>
      <c r="AK25" s="36">
        <f>VLOOKUP($A25,[26]HISTOAVRIL25!$A$6:$BR$51,65,0)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VLOOKUP($A26,[26]HISTOAVRIL25!$A$6:$BA$51,48,0)</f>
        <v>0</v>
      </c>
      <c r="F26" s="36">
        <f>VLOOKUP(A26,MVTMARS25!A26:AM61,6,0)+MVTMARS25!H26-E26+L26</f>
        <v>1374440.8731821105</v>
      </c>
      <c r="G26" s="5">
        <f>IF(MVTAVRIL25!F26&gt;800000,(MVTMARS25!I26-E26+L26),0)</f>
        <v>1374440.8731821105</v>
      </c>
      <c r="H26" s="36">
        <f>VLOOKUP(A26,[27]MVTAVRIL25!$A$6:$AM$42,8,0)</f>
        <v>352.28161056846989</v>
      </c>
      <c r="I26" s="6">
        <f t="shared" si="1"/>
        <v>1374793.154792679</v>
      </c>
      <c r="J26" s="36">
        <f>VLOOKUP($A26,[26]HISTOAVRIL25!$A$6:$AQ$51,22,0)</f>
        <v>0</v>
      </c>
      <c r="K26" s="36">
        <f>VLOOKUP($A26,[26]HISTOAVRIL25!$A$6:$AU$51,45,0)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VLOOKUP($A26,[26]HISTOAVRIL25!$A$6:$AU$51,8,0)</f>
        <v>0</v>
      </c>
      <c r="Q26" s="36">
        <f>VLOOKUP($A26,[26]HISTOAVRIL25!$A$6:$AU$51,23,0)</f>
        <v>0</v>
      </c>
      <c r="R26" s="36">
        <f>VLOOKUP($A26,[26]HISTOAVRIL25!$A$6:$AU$51,46,0)</f>
        <v>0</v>
      </c>
      <c r="S26" s="36">
        <f>VLOOKUP($A26,[26]HISTOAVRIL25!$A$6:$AU$51,26,0)</f>
        <v>0</v>
      </c>
      <c r="T26" s="36">
        <f>VLOOKUP($A26,[26]HISTOAVRIL25!$A$6:$BG$51,58,0)</f>
        <v>0</v>
      </c>
      <c r="U26" s="36">
        <f>VLOOKUP($A26,[26]HISTOAVRIL25!$A$6:$AU$51,28,0)</f>
        <v>0</v>
      </c>
      <c r="V26" s="36">
        <f>VLOOKUP($A26,[26]HISTOAVRIL25!$A$6:$AU$51,19,0)</f>
        <v>0</v>
      </c>
      <c r="W26" s="36">
        <f>VLOOKUP($A26,[26]HISTOAVRIL25!$A$6:$AU$51,20,0)</f>
        <v>0</v>
      </c>
      <c r="X26" s="36">
        <f>VLOOKUP($A26,[26]HISTOAVRIL25!$A$6:$AU$51,27,0)</f>
        <v>0</v>
      </c>
      <c r="Y26" s="36">
        <f>VLOOKUP($A26,[26]HISTOAVRIL25!$A$6:$BM$51,33,0)</f>
        <v>0</v>
      </c>
      <c r="Z26" s="36">
        <f>VLOOKUP($A26,[26]HISTOAVRIL25!$A$6:$BM$51,64,0)</f>
        <v>0</v>
      </c>
      <c r="AA26" s="36"/>
      <c r="AB26" s="36">
        <f>VLOOKUP($A26,[26]HISTOAVRIL25!$A$6:$AU$51,44,0)</f>
        <v>0</v>
      </c>
      <c r="AC26" s="36">
        <f>VLOOKUP($A26,[26]HISTOAVRIL25!$A$6:$AU$51,43,0)</f>
        <v>0</v>
      </c>
      <c r="AD26" s="36">
        <f>VLOOKUP($A26,[26]HISTOAVRIL25!$A$6:$BR$51,47,0)</f>
        <v>0</v>
      </c>
      <c r="AE26" s="36">
        <f>VLOOKUP(A26,[26]HISTOAVRIL25!$A$6:$BR$51,54,0)</f>
        <v>0</v>
      </c>
      <c r="AF26" s="36">
        <f>VLOOKUP($A26,[26]HISTOAVRIL25!$A$6:$BR$51,60,0)</f>
        <v>0</v>
      </c>
      <c r="AG26" s="36">
        <f>VLOOKUP($A26,[26]HISTOAVRIL25!$A$6:$CB$51,61,0)</f>
        <v>0</v>
      </c>
      <c r="AH26" s="36">
        <f>VLOOKUP($A26,[26]HISTOAVRIL25!$A$6:$CB$51,62,0)</f>
        <v>0</v>
      </c>
      <c r="AI26" s="36">
        <f>VLOOKUP($A26,[26]HISTOAVRIL25!$A$6:$CB$51,63,0)</f>
        <v>0</v>
      </c>
      <c r="AJ26" s="36">
        <f>VLOOKUP($A26,[26]HISTOAVRIL25!$A$6:$BR$51,64,0)</f>
        <v>0</v>
      </c>
      <c r="AK26" s="36">
        <f>VLOOKUP($A26,[26]HISTOAVRIL25!$A$6:$BR$51,65,0)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VLOOKUP($A27,[26]HISTOAVRIL25!$A$6:$BA$51,48,0)</f>
        <v>0</v>
      </c>
      <c r="F27" s="36">
        <f>VLOOKUP(A27,MVTMARS25!A27:AM62,6,0)+MVTMARS25!H27-E27+L27</f>
        <v>938515.44989126828</v>
      </c>
      <c r="G27" s="5">
        <f>IF(MVTAVRIL25!F27&gt;800000,(MVTMARS25!I27-E27+L27),0)</f>
        <v>938515.44989126828</v>
      </c>
      <c r="H27" s="36">
        <f>VLOOKUP(A27,[27]MVTAVRIL25!$A$6:$AM$42,8,0)</f>
        <v>240.54998703991643</v>
      </c>
      <c r="I27" s="6">
        <f t="shared" si="1"/>
        <v>938755.99987830815</v>
      </c>
      <c r="J27" s="36">
        <f>VLOOKUP($A27,[26]HISTOAVRIL25!$A$6:$AQ$51,22,0)</f>
        <v>0</v>
      </c>
      <c r="K27" s="36">
        <f>VLOOKUP($A27,[26]HISTOAVRIL25!$A$6:$AU$51,45,0)</f>
        <v>25500</v>
      </c>
      <c r="L27" s="36">
        <f t="shared" si="2"/>
        <v>19500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VLOOKUP($A27,[26]HISTOAVRIL25!$A$6:$AU$51,8,0)</f>
        <v>0</v>
      </c>
      <c r="Q27" s="36">
        <f>VLOOKUP($A27,[26]HISTOAVRIL25!$A$6:$AU$51,23,0)</f>
        <v>0</v>
      </c>
      <c r="R27" s="36">
        <f>VLOOKUP($A27,[26]HISTOAVRIL25!$A$6:$AU$51,46,0)</f>
        <v>0</v>
      </c>
      <c r="S27" s="36">
        <f>VLOOKUP($A27,[26]HISTOAVRIL25!$A$6:$AU$51,26,0)</f>
        <v>0</v>
      </c>
      <c r="T27" s="36">
        <f>VLOOKUP($A27,[26]HISTOAVRIL25!$A$6:$BG$51,58,0)</f>
        <v>0</v>
      </c>
      <c r="U27" s="36">
        <f>VLOOKUP($A27,[26]HISTOAVRIL25!$A$6:$AU$51,28,0)</f>
        <v>0</v>
      </c>
      <c r="V27" s="36">
        <f>VLOOKUP($A27,[26]HISTOAVRIL25!$A$6:$AU$51,19,0)</f>
        <v>0</v>
      </c>
      <c r="W27" s="36">
        <f>VLOOKUP($A27,[26]HISTOAVRIL25!$A$6:$AU$51,20,0)</f>
        <v>0</v>
      </c>
      <c r="X27" s="36">
        <f>VLOOKUP($A27,[26]HISTOAVRIL25!$A$6:$AU$51,27,0)</f>
        <v>0</v>
      </c>
      <c r="Y27" s="36">
        <f>VLOOKUP($A27,[26]HISTOAVRIL25!$A$6:$BM$51,33,0)</f>
        <v>0</v>
      </c>
      <c r="Z27" s="36">
        <f>VLOOKUP($A27,[26]HISTOAVRIL25!$A$6:$BM$51,64,0)</f>
        <v>0</v>
      </c>
      <c r="AA27" s="36"/>
      <c r="AB27" s="36">
        <f>VLOOKUP($A27,[26]HISTOAVRIL25!$A$6:$AU$51,44,0)</f>
        <v>0</v>
      </c>
      <c r="AC27" s="36">
        <f>VLOOKUP($A27,[26]HISTOAVRIL25!$A$6:$AU$51,43,0)</f>
        <v>0</v>
      </c>
      <c r="AD27" s="36">
        <f>VLOOKUP($A27,[26]HISTOAVRIL25!$A$6:$BR$51,47,0)</f>
        <v>0</v>
      </c>
      <c r="AE27" s="36">
        <f>VLOOKUP(A27,[26]HISTOAVRIL25!$A$6:$BR$51,54,0)</f>
        <v>0</v>
      </c>
      <c r="AF27" s="36">
        <f>VLOOKUP($A27,[26]HISTOAVRIL25!$A$6:$BR$51,60,0)</f>
        <v>0</v>
      </c>
      <c r="AG27" s="36">
        <f>VLOOKUP($A27,[26]HISTOAVRIL25!$A$6:$CB$51,61,0)</f>
        <v>0</v>
      </c>
      <c r="AH27" s="36">
        <f>VLOOKUP($A27,[26]HISTOAVRIL25!$A$6:$CB$51,62,0)</f>
        <v>0</v>
      </c>
      <c r="AI27" s="36">
        <f>VLOOKUP($A27,[26]HISTOAVRIL25!$A$6:$CB$51,63,0)</f>
        <v>0</v>
      </c>
      <c r="AJ27" s="36">
        <f>VLOOKUP($A27,[26]HISTOAVRIL25!$A$6:$BR$51,64,0)</f>
        <v>0</v>
      </c>
      <c r="AK27" s="36">
        <f>VLOOKUP($A27,[26]HISTOAVRIL25!$A$6:$BR$51,65,0)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VLOOKUP($A28,[26]HISTOAVRIL25!$A$6:$BA$51,48,0)</f>
        <v>0</v>
      </c>
      <c r="F28" s="36">
        <f>VLOOKUP(A28,MVTMARS25!A28:AM63,6,0)+MVTMARS25!H28-E28+L28</f>
        <v>954189.05821375304</v>
      </c>
      <c r="G28" s="5">
        <f>IF(MVTAVRIL25!F28&gt;800000,(MVTMARS25!I28-E28+L28),0)</f>
        <v>954189.05821375304</v>
      </c>
      <c r="H28" s="36">
        <f>VLOOKUP(A28,[27]MVTAVRIL25!$A$6:$AM$42,8,0)</f>
        <v>244.56727442637259</v>
      </c>
      <c r="I28" s="6">
        <f t="shared" si="1"/>
        <v>954433.62548817939</v>
      </c>
      <c r="J28" s="36">
        <f>VLOOKUP($A28,[26]HISTOAVRIL25!$A$6:$AQ$51,22,0)</f>
        <v>0</v>
      </c>
      <c r="K28" s="36">
        <f>VLOOKUP($A28,[26]HISTOAVRIL25!$A$6:$AU$51,45,0)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VLOOKUP($A28,[26]HISTOAVRIL25!$A$6:$AU$51,8,0)</f>
        <v>0</v>
      </c>
      <c r="Q28" s="36">
        <f>VLOOKUP($A28,[26]HISTOAVRIL25!$A$6:$AU$51,23,0)</f>
        <v>0</v>
      </c>
      <c r="R28" s="36">
        <f>VLOOKUP($A28,[26]HISTOAVRIL25!$A$6:$AU$51,46,0)</f>
        <v>0</v>
      </c>
      <c r="S28" s="36">
        <f>VLOOKUP($A28,[26]HISTOAVRIL25!$A$6:$AU$51,26,0)</f>
        <v>0</v>
      </c>
      <c r="T28" s="36">
        <f>VLOOKUP($A28,[26]HISTOAVRIL25!$A$6:$BG$51,58,0)</f>
        <v>0</v>
      </c>
      <c r="U28" s="36">
        <f>VLOOKUP($A28,[26]HISTOAVRIL25!$A$6:$AU$51,28,0)</f>
        <v>0</v>
      </c>
      <c r="V28" s="36">
        <f>VLOOKUP($A28,[26]HISTOAVRIL25!$A$6:$AU$51,19,0)</f>
        <v>0</v>
      </c>
      <c r="W28" s="36">
        <f>VLOOKUP($A28,[26]HISTOAVRIL25!$A$6:$AU$51,20,0)</f>
        <v>0</v>
      </c>
      <c r="X28" s="36">
        <f>VLOOKUP($A28,[26]HISTOAVRIL25!$A$6:$AU$51,27,0)</f>
        <v>0</v>
      </c>
      <c r="Y28" s="36">
        <f>VLOOKUP($A28,[26]HISTOAVRIL25!$A$6:$BM$51,33,0)</f>
        <v>0</v>
      </c>
      <c r="Z28" s="36">
        <f>VLOOKUP($A28,[26]HISTOAVRIL25!$A$6:$BM$51,64,0)</f>
        <v>0</v>
      </c>
      <c r="AA28" s="36"/>
      <c r="AB28" s="36">
        <f>VLOOKUP($A28,[26]HISTOAVRIL25!$A$6:$AU$51,44,0)</f>
        <v>0</v>
      </c>
      <c r="AC28" s="36">
        <f>VLOOKUP($A28,[26]HISTOAVRIL25!$A$6:$AU$51,43,0)</f>
        <v>0</v>
      </c>
      <c r="AD28" s="36">
        <f>VLOOKUP($A28,[26]HISTOAVRIL25!$A$6:$BR$51,47,0)</f>
        <v>0</v>
      </c>
      <c r="AE28" s="36">
        <f>VLOOKUP(A28,[26]HISTOAVRIL25!$A$6:$BR$51,54,0)</f>
        <v>0</v>
      </c>
      <c r="AF28" s="36">
        <f>VLOOKUP($A28,[26]HISTOAVRIL25!$A$6:$BR$51,60,0)</f>
        <v>0</v>
      </c>
      <c r="AG28" s="36">
        <f>VLOOKUP($A28,[26]HISTOAVRIL25!$A$6:$CB$51,61,0)</f>
        <v>0</v>
      </c>
      <c r="AH28" s="36">
        <f>VLOOKUP($A28,[26]HISTOAVRIL25!$A$6:$CB$51,62,0)</f>
        <v>0</v>
      </c>
      <c r="AI28" s="36">
        <f>VLOOKUP($A28,[26]HISTOAVRIL25!$A$6:$CB$51,63,0)</f>
        <v>0</v>
      </c>
      <c r="AJ28" s="36">
        <f>VLOOKUP($A28,[26]HISTOAVRIL25!$A$6:$BR$51,64,0)</f>
        <v>0</v>
      </c>
      <c r="AK28" s="36">
        <f>VLOOKUP($A28,[26]HISTOAVRIL25!$A$6:$BR$51,65,0)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VLOOKUP($A29,[26]HISTOAVRIL25!$A$6:$BA$51,48,0)</f>
        <v>0</v>
      </c>
      <c r="F29" s="36">
        <f>VLOOKUP(A29,MVTMARS25!A29:AM64,6,0)+MVTMARS25!H29-E29+L29</f>
        <v>916375.34312907595</v>
      </c>
      <c r="G29" s="5">
        <f>IF(MVTAVRIL25!F29&gt;800000,(MVTMARS25!I29-E29+L29),0)</f>
        <v>916375.34312907595</v>
      </c>
      <c r="H29" s="36">
        <f>VLOOKUP(A29,[27]MVTAVRIL25!$A$6:$AM$42,8,0)</f>
        <v>234.87527769408226</v>
      </c>
      <c r="I29" s="6">
        <f t="shared" si="1"/>
        <v>916610.21840677003</v>
      </c>
      <c r="J29" s="36">
        <f>VLOOKUP($A29,[26]HISTOAVRIL25!$A$6:$AQ$51,22,0)</f>
        <v>0</v>
      </c>
      <c r="K29" s="36">
        <f>VLOOKUP($A29,[26]HISTOAVRIL25!$A$6:$AU$51,45,0)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VLOOKUP($A29,[26]HISTOAVRIL25!$A$6:$AU$51,8,0)</f>
        <v>0</v>
      </c>
      <c r="Q29" s="36">
        <f>VLOOKUP($A29,[26]HISTOAVRIL25!$A$6:$AU$51,23,0)</f>
        <v>0</v>
      </c>
      <c r="R29" s="36">
        <f>VLOOKUP($A29,[26]HISTOAVRIL25!$A$6:$AU$51,46,0)</f>
        <v>0</v>
      </c>
      <c r="S29" s="36">
        <f>VLOOKUP($A29,[26]HISTOAVRIL25!$A$6:$AU$51,26,0)</f>
        <v>0</v>
      </c>
      <c r="T29" s="36">
        <f>VLOOKUP($A29,[26]HISTOAVRIL25!$A$6:$BG$51,58,0)</f>
        <v>0</v>
      </c>
      <c r="U29" s="36">
        <f>VLOOKUP($A29,[26]HISTOAVRIL25!$A$6:$AU$51,28,0)</f>
        <v>0</v>
      </c>
      <c r="V29" s="36">
        <f>VLOOKUP($A29,[26]HISTOAVRIL25!$A$6:$AU$51,19,0)</f>
        <v>0</v>
      </c>
      <c r="W29" s="36">
        <f>VLOOKUP($A29,[26]HISTOAVRIL25!$A$6:$AU$51,20,0)</f>
        <v>0</v>
      </c>
      <c r="X29" s="36">
        <f>VLOOKUP($A29,[26]HISTOAVRIL25!$A$6:$AU$51,27,0)</f>
        <v>0</v>
      </c>
      <c r="Y29" s="36">
        <f>VLOOKUP($A29,[26]HISTOAVRIL25!$A$6:$BM$51,33,0)</f>
        <v>0</v>
      </c>
      <c r="Z29" s="36">
        <f>VLOOKUP($A29,[26]HISTOAVRIL25!$A$6:$BM$51,64,0)</f>
        <v>0</v>
      </c>
      <c r="AA29" s="36"/>
      <c r="AB29" s="36">
        <f>VLOOKUP($A29,[26]HISTOAVRIL25!$A$6:$AU$51,44,0)</f>
        <v>0</v>
      </c>
      <c r="AC29" s="36">
        <f>VLOOKUP($A29,[26]HISTOAVRIL25!$A$6:$AU$51,43,0)</f>
        <v>0</v>
      </c>
      <c r="AD29" s="36">
        <f>VLOOKUP($A29,[26]HISTOAVRIL25!$A$6:$BR$51,47,0)</f>
        <v>0</v>
      </c>
      <c r="AE29" s="36">
        <f>VLOOKUP(A29,[26]HISTOAVRIL25!$A$6:$BR$51,54,0)</f>
        <v>0</v>
      </c>
      <c r="AF29" s="36">
        <f>VLOOKUP($A29,[26]HISTOAVRIL25!$A$6:$BR$51,60,0)</f>
        <v>0</v>
      </c>
      <c r="AG29" s="36">
        <f>VLOOKUP($A29,[26]HISTOAVRIL25!$A$6:$CB$51,61,0)</f>
        <v>0</v>
      </c>
      <c r="AH29" s="36">
        <f>VLOOKUP($A29,[26]HISTOAVRIL25!$A$6:$CB$51,62,0)</f>
        <v>0</v>
      </c>
      <c r="AI29" s="36">
        <f>VLOOKUP($A29,[26]HISTOAVRIL25!$A$6:$CB$51,63,0)</f>
        <v>0</v>
      </c>
      <c r="AJ29" s="36">
        <f>VLOOKUP($A29,[26]HISTOAVRIL25!$A$6:$BR$51,64,0)</f>
        <v>0</v>
      </c>
      <c r="AK29" s="36">
        <f>VLOOKUP($A29,[26]HISTOAVRIL25!$A$6:$BR$51,65,0)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VLOOKUP($A30,[26]HISTOAVRIL25!$A$6:$BA$51,48,0)</f>
        <v>0</v>
      </c>
      <c r="F30" s="36">
        <f>VLOOKUP(A30,MVTMARS25!A30:AM65,6,0)+MVTMARS25!H30-E30+L30</f>
        <v>1077742.8593506515</v>
      </c>
      <c r="G30" s="5">
        <f>IF(MVTAVRIL25!F30&gt;800000,(MVTMARS25!I30-E30+L30),0)</f>
        <v>1077742.8593506515</v>
      </c>
      <c r="H30" s="36">
        <f>VLOOKUP(A30,[27]MVTAVRIL25!$A$6:$AM$42,8,0)</f>
        <v>276.23522966957785</v>
      </c>
      <c r="I30" s="6">
        <f t="shared" si="1"/>
        <v>1078019.0945803211</v>
      </c>
      <c r="J30" s="36">
        <f>VLOOKUP($A30,[26]HISTOAVRIL25!$A$6:$AQ$51,22,0)</f>
        <v>0</v>
      </c>
      <c r="K30" s="36">
        <f>VLOOKUP($A30,[26]HISTOAVRIL25!$A$6:$AU$51,45,0)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VLOOKUP($A30,[26]HISTOAVRIL25!$A$6:$AU$51,8,0)</f>
        <v>0</v>
      </c>
      <c r="Q30" s="36">
        <f>VLOOKUP($A30,[26]HISTOAVRIL25!$A$6:$AU$51,23,0)</f>
        <v>0</v>
      </c>
      <c r="R30" s="36">
        <f>VLOOKUP($A30,[26]HISTOAVRIL25!$A$6:$AU$51,46,0)</f>
        <v>0</v>
      </c>
      <c r="S30" s="36">
        <f>VLOOKUP($A30,[26]HISTOAVRIL25!$A$6:$AU$51,26,0)</f>
        <v>0</v>
      </c>
      <c r="T30" s="36">
        <f>VLOOKUP($A30,[26]HISTOAVRIL25!$A$6:$BG$51,58,0)</f>
        <v>0</v>
      </c>
      <c r="U30" s="36">
        <f>VLOOKUP($A30,[26]HISTOAVRIL25!$A$6:$AU$51,28,0)</f>
        <v>0</v>
      </c>
      <c r="V30" s="36">
        <f>VLOOKUP($A30,[26]HISTOAVRIL25!$A$6:$AU$51,19,0)</f>
        <v>0</v>
      </c>
      <c r="W30" s="36">
        <f>VLOOKUP($A30,[26]HISTOAVRIL25!$A$6:$AU$51,20,0)</f>
        <v>0</v>
      </c>
      <c r="X30" s="36">
        <f>VLOOKUP($A30,[26]HISTOAVRIL25!$A$6:$AU$51,27,0)</f>
        <v>0</v>
      </c>
      <c r="Y30" s="36">
        <f>VLOOKUP($A30,[26]HISTOAVRIL25!$A$6:$BM$51,33,0)</f>
        <v>0</v>
      </c>
      <c r="Z30" s="36">
        <f>VLOOKUP($A30,[26]HISTOAVRIL25!$A$6:$BM$51,64,0)</f>
        <v>0</v>
      </c>
      <c r="AA30" s="36"/>
      <c r="AB30" s="36">
        <f>VLOOKUP($A30,[26]HISTOAVRIL25!$A$6:$AU$51,44,0)</f>
        <v>0</v>
      </c>
      <c r="AC30" s="36">
        <f>VLOOKUP($A30,[26]HISTOAVRIL25!$A$6:$AU$51,43,0)</f>
        <v>0</v>
      </c>
      <c r="AD30" s="36">
        <f>VLOOKUP($A30,[26]HISTOAVRIL25!$A$6:$BR$51,47,0)</f>
        <v>0</v>
      </c>
      <c r="AE30" s="36">
        <f>VLOOKUP(A30,[26]HISTOAVRIL25!$A$6:$BR$51,54,0)</f>
        <v>0</v>
      </c>
      <c r="AF30" s="36">
        <f>VLOOKUP($A30,[26]HISTOAVRIL25!$A$6:$BR$51,60,0)</f>
        <v>0</v>
      </c>
      <c r="AG30" s="36">
        <f>VLOOKUP($A30,[26]HISTOAVRIL25!$A$6:$CB$51,61,0)</f>
        <v>0</v>
      </c>
      <c r="AH30" s="36">
        <f>VLOOKUP($A30,[26]HISTOAVRIL25!$A$6:$CB$51,62,0)</f>
        <v>0</v>
      </c>
      <c r="AI30" s="36">
        <f>VLOOKUP($A30,[26]HISTOAVRIL25!$A$6:$CB$51,63,0)</f>
        <v>0</v>
      </c>
      <c r="AJ30" s="36">
        <f>VLOOKUP($A30,[26]HISTOAVRIL25!$A$6:$BR$51,64,0)</f>
        <v>0</v>
      </c>
      <c r="AK30" s="36">
        <f>VLOOKUP($A30,[26]HISTOAVRIL25!$A$6:$BR$51,65,0)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VLOOKUP($A31,[26]HISTOAVRIL25!$A$6:$BA$51,48,0)</f>
        <v>0</v>
      </c>
      <c r="F31" s="36">
        <f>VLOOKUP(A31,MVTMARS25!A31:AM66,6,0)+MVTMARS25!H31-E31+L31</f>
        <v>924075.89994599635</v>
      </c>
      <c r="G31" s="5">
        <f>IF(MVTAVRIL25!F31&gt;800000,(MVTMARS25!I31-E31+L31),0)</f>
        <v>924075.89994599635</v>
      </c>
      <c r="H31" s="36">
        <f>VLOOKUP(A31,[27]MVTAVRIL25!$A$6:$AM$42,8,0)</f>
        <v>236.84899996229314</v>
      </c>
      <c r="I31" s="6">
        <f t="shared" si="1"/>
        <v>924312.74894595868</v>
      </c>
      <c r="J31" s="36">
        <f>VLOOKUP($A31,[26]HISTOAVRIL25!$A$6:$AQ$51,22,0)</f>
        <v>0</v>
      </c>
      <c r="K31" s="36">
        <f>VLOOKUP($A31,[26]HISTOAVRIL25!$A$6:$AU$51,45,0)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VLOOKUP($A31,[26]HISTOAVRIL25!$A$6:$AU$51,8,0)</f>
        <v>0</v>
      </c>
      <c r="Q31" s="36">
        <f>VLOOKUP($A31,[26]HISTOAVRIL25!$A$6:$AU$51,23,0)</f>
        <v>0</v>
      </c>
      <c r="R31" s="36">
        <f>VLOOKUP($A31,[26]HISTOAVRIL25!$A$6:$AU$51,46,0)</f>
        <v>0</v>
      </c>
      <c r="S31" s="36">
        <f>VLOOKUP($A31,[26]HISTOAVRIL25!$A$6:$AU$51,26,0)</f>
        <v>0</v>
      </c>
      <c r="T31" s="36">
        <f>VLOOKUP($A31,[26]HISTOAVRIL25!$A$6:$BG$51,58,0)</f>
        <v>0</v>
      </c>
      <c r="U31" s="36">
        <f>VLOOKUP($A31,[26]HISTOAVRIL25!$A$6:$AU$51,28,0)</f>
        <v>0</v>
      </c>
      <c r="V31" s="36">
        <f>VLOOKUP($A31,[26]HISTOAVRIL25!$A$6:$AU$51,19,0)</f>
        <v>0</v>
      </c>
      <c r="W31" s="36">
        <f>VLOOKUP($A31,[26]HISTOAVRIL25!$A$6:$AU$51,20,0)</f>
        <v>0</v>
      </c>
      <c r="X31" s="36">
        <f>VLOOKUP($A31,[26]HISTOAVRIL25!$A$6:$AU$51,27,0)</f>
        <v>0</v>
      </c>
      <c r="Y31" s="36">
        <f>VLOOKUP($A31,[26]HISTOAVRIL25!$A$6:$BM$51,33,0)</f>
        <v>0</v>
      </c>
      <c r="Z31" s="36">
        <f>VLOOKUP($A31,[26]HISTOAVRIL25!$A$6:$BM$51,64,0)</f>
        <v>0</v>
      </c>
      <c r="AA31" s="36"/>
      <c r="AB31" s="36">
        <f>VLOOKUP($A31,[26]HISTOAVRIL25!$A$6:$AU$51,44,0)</f>
        <v>0</v>
      </c>
      <c r="AC31" s="36">
        <f>VLOOKUP($A31,[26]HISTOAVRIL25!$A$6:$AU$51,43,0)</f>
        <v>0</v>
      </c>
      <c r="AD31" s="36">
        <f>VLOOKUP($A31,[26]HISTOAVRIL25!$A$6:$BR$51,47,0)</f>
        <v>0</v>
      </c>
      <c r="AE31" s="36">
        <f>VLOOKUP(A31,[26]HISTOAVRIL25!$A$6:$BR$51,54,0)</f>
        <v>0</v>
      </c>
      <c r="AF31" s="36">
        <f>VLOOKUP($A31,[26]HISTOAVRIL25!$A$6:$BR$51,60,0)</f>
        <v>0</v>
      </c>
      <c r="AG31" s="36">
        <f>VLOOKUP($A31,[26]HISTOAVRIL25!$A$6:$CB$51,61,0)</f>
        <v>0</v>
      </c>
      <c r="AH31" s="36">
        <f>VLOOKUP($A31,[26]HISTOAVRIL25!$A$6:$CB$51,62,0)</f>
        <v>0</v>
      </c>
      <c r="AI31" s="36">
        <f>VLOOKUP($A31,[26]HISTOAVRIL25!$A$6:$CB$51,63,0)</f>
        <v>0</v>
      </c>
      <c r="AJ31" s="36">
        <f>VLOOKUP($A31,[26]HISTOAVRIL25!$A$6:$BR$51,64,0)</f>
        <v>0</v>
      </c>
      <c r="AK31" s="36">
        <f>VLOOKUP($A31,[26]HISTOAVRIL25!$A$6:$BR$51,65,0)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VLOOKUP($A32,[26]HISTOAVRIL25!$A$6:$BA$51,48,0)</f>
        <v>0</v>
      </c>
      <c r="F32" s="36">
        <f>VLOOKUP(A32,MVTMARS25!A32:AM67,6,0)+MVTMARS25!H32-E32+L32</f>
        <v>1019590.8961757001</v>
      </c>
      <c r="G32" s="5">
        <f>IF(MVTAVRIL25!F32&gt;800000,(MVTMARS25!I32-E32+L32),0)</f>
        <v>1019590.8961757001</v>
      </c>
      <c r="H32" s="36">
        <f>VLOOKUP(A32,[27]MVTAVRIL25!$A$6:$AM$42,8,0)</f>
        <v>261.330356244531</v>
      </c>
      <c r="I32" s="6">
        <f t="shared" si="1"/>
        <v>1019852.2265319447</v>
      </c>
      <c r="J32" s="36">
        <f>VLOOKUP($A32,[26]HISTOAVRIL25!$A$6:$AQ$51,22,0)</f>
        <v>0</v>
      </c>
      <c r="K32" s="36">
        <f>VLOOKUP($A32,[26]HISTOAVRIL25!$A$6:$AU$51,45,0)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VLOOKUP($A32,[26]HISTOAVRIL25!$A$6:$AU$51,8,0)</f>
        <v>0</v>
      </c>
      <c r="Q32" s="36">
        <f>VLOOKUP($A32,[26]HISTOAVRIL25!$A$6:$AU$51,23,0)</f>
        <v>0</v>
      </c>
      <c r="R32" s="36">
        <f>VLOOKUP($A32,[26]HISTOAVRIL25!$A$6:$AU$51,46,0)</f>
        <v>0</v>
      </c>
      <c r="S32" s="36">
        <f>VLOOKUP($A32,[26]HISTOAVRIL25!$A$6:$AU$51,26,0)</f>
        <v>0</v>
      </c>
      <c r="T32" s="36">
        <f>VLOOKUP($A32,[26]HISTOAVRIL25!$A$6:$BG$51,58,0)</f>
        <v>0</v>
      </c>
      <c r="U32" s="36">
        <f>VLOOKUP($A32,[26]HISTOAVRIL25!$A$6:$AU$51,28,0)</f>
        <v>0</v>
      </c>
      <c r="V32" s="36">
        <f>VLOOKUP($A32,[26]HISTOAVRIL25!$A$6:$AU$51,19,0)</f>
        <v>0</v>
      </c>
      <c r="W32" s="36">
        <f>VLOOKUP($A32,[26]HISTOAVRIL25!$A$6:$AU$51,20,0)</f>
        <v>0</v>
      </c>
      <c r="X32" s="36">
        <f>VLOOKUP($A32,[26]HISTOAVRIL25!$A$6:$AU$51,27,0)</f>
        <v>0</v>
      </c>
      <c r="Y32" s="36">
        <f>VLOOKUP($A32,[26]HISTOAVRIL25!$A$6:$BM$51,33,0)</f>
        <v>0</v>
      </c>
      <c r="Z32" s="36">
        <f>VLOOKUP($A32,[26]HISTOAVRIL25!$A$6:$BM$51,64,0)</f>
        <v>0</v>
      </c>
      <c r="AA32" s="36"/>
      <c r="AB32" s="36">
        <f>VLOOKUP($A32,[26]HISTOAVRIL25!$A$6:$AU$51,44,0)</f>
        <v>0</v>
      </c>
      <c r="AC32" s="36">
        <f>VLOOKUP($A32,[26]HISTOAVRIL25!$A$6:$AU$51,43,0)</f>
        <v>0</v>
      </c>
      <c r="AD32" s="36">
        <f>VLOOKUP($A32,[26]HISTOAVRIL25!$A$6:$BR$51,47,0)</f>
        <v>0</v>
      </c>
      <c r="AE32" s="36">
        <f>VLOOKUP(A32,[26]HISTOAVRIL25!$A$6:$BR$51,54,0)</f>
        <v>0</v>
      </c>
      <c r="AF32" s="36">
        <f>VLOOKUP($A32,[26]HISTOAVRIL25!$A$6:$BR$51,60,0)</f>
        <v>0</v>
      </c>
      <c r="AG32" s="36">
        <f>VLOOKUP($A32,[26]HISTOAVRIL25!$A$6:$CB$51,61,0)</f>
        <v>0</v>
      </c>
      <c r="AH32" s="36">
        <f>VLOOKUP($A32,[26]HISTOAVRIL25!$A$6:$CB$51,62,0)</f>
        <v>0</v>
      </c>
      <c r="AI32" s="36">
        <f>VLOOKUP($A32,[26]HISTOAVRIL25!$A$6:$CB$51,63,0)</f>
        <v>100000</v>
      </c>
      <c r="AJ32" s="36">
        <f>VLOOKUP($A32,[26]HISTOAVRIL25!$A$6:$BR$51,64,0)</f>
        <v>0</v>
      </c>
      <c r="AK32" s="36">
        <f>VLOOKUP($A32,[26]HISTOAVRIL25!$A$6:$BR$51,65,0)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VLOOKUP($A33,[26]HISTOAVRIL25!$A$6:$BA$51,48,0)</f>
        <v>0</v>
      </c>
      <c r="F33" s="36">
        <f>VLOOKUP(A33,MVTMARS25!A33:AM68,6,0)+MVTMARS25!H33-E33+L33</f>
        <v>73000</v>
      </c>
      <c r="G33" s="5">
        <f>IF(MVTAVRIL25!F33&gt;800000,(MVTMARS25!I33-E33+L33),0)</f>
        <v>0</v>
      </c>
      <c r="H33" s="36">
        <f>VLOOKUP(A33,[27]MVTAVRIL25!$A$6:$AM$42,8,0)</f>
        <v>0</v>
      </c>
      <c r="I33" s="6">
        <f t="shared" si="1"/>
        <v>73000</v>
      </c>
      <c r="J33" s="36">
        <f>VLOOKUP($A33,[26]HISTOAVRIL25!$A$6:$AQ$51,22,0)</f>
        <v>0</v>
      </c>
      <c r="K33" s="36">
        <f>VLOOKUP($A33,[26]HISTOAVRIL25!$A$6:$AU$51,45,0)</f>
        <v>22000</v>
      </c>
      <c r="L33" s="36">
        <f t="shared" si="2"/>
        <v>16000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VLOOKUP($A33,[26]HISTOAVRIL25!$A$6:$AU$51,8,0)</f>
        <v>3000</v>
      </c>
      <c r="Q33" s="36">
        <f>VLOOKUP($A33,[26]HISTOAVRIL25!$A$6:$AU$51,23,0)</f>
        <v>0</v>
      </c>
      <c r="R33" s="36">
        <f>VLOOKUP($A33,[26]HISTOAVRIL25!$A$6:$AU$51,46,0)</f>
        <v>0</v>
      </c>
      <c r="S33" s="36">
        <f>VLOOKUP($A33,[26]HISTOAVRIL25!$A$6:$AU$51,26,0)</f>
        <v>0</v>
      </c>
      <c r="T33" s="36">
        <f>VLOOKUP($A33,[26]HISTOAVRIL25!$A$6:$BG$51,58,0)</f>
        <v>0</v>
      </c>
      <c r="U33" s="36">
        <f>VLOOKUP($A33,[26]HISTOAVRIL25!$A$6:$AU$51,28,0)</f>
        <v>0</v>
      </c>
      <c r="V33" s="36">
        <f>VLOOKUP($A33,[26]HISTOAVRIL25!$A$6:$AU$51,19,0)</f>
        <v>0</v>
      </c>
      <c r="W33" s="36">
        <f>VLOOKUP($A33,[26]HISTOAVRIL25!$A$6:$AU$51,20,0)</f>
        <v>0</v>
      </c>
      <c r="X33" s="36">
        <f>VLOOKUP($A33,[26]HISTOAVRIL25!$A$6:$AU$51,27,0)</f>
        <v>0</v>
      </c>
      <c r="Y33" s="36">
        <f>VLOOKUP($A33,[26]HISTOAVRIL25!$A$6:$BM$51,33,0)</f>
        <v>0</v>
      </c>
      <c r="Z33" s="36">
        <f>VLOOKUP($A33,[26]HISTOAVRIL25!$A$6:$BM$51,64,0)</f>
        <v>0</v>
      </c>
      <c r="AA33" s="36"/>
      <c r="AB33" s="36">
        <f>VLOOKUP($A33,[26]HISTOAVRIL25!$A$6:$AU$51,44,0)</f>
        <v>0</v>
      </c>
      <c r="AC33" s="36">
        <f>VLOOKUP($A33,[26]HISTOAVRIL25!$A$6:$AU$51,43,0)</f>
        <v>0</v>
      </c>
      <c r="AD33" s="36">
        <f>VLOOKUP($A33,[26]HISTOAVRIL25!$A$6:$BR$51,47,0)</f>
        <v>0</v>
      </c>
      <c r="AE33" s="36">
        <f>VLOOKUP(A33,[26]HISTOAVRIL25!$A$6:$BR$51,54,0)</f>
        <v>0</v>
      </c>
      <c r="AF33" s="36">
        <f>VLOOKUP($A33,[26]HISTOAVRIL25!$A$6:$BR$51,60,0)</f>
        <v>0</v>
      </c>
      <c r="AG33" s="36">
        <f>VLOOKUP($A33,[26]HISTOAVRIL25!$A$6:$CB$51,61,0)</f>
        <v>0</v>
      </c>
      <c r="AH33" s="36">
        <f>VLOOKUP($A33,[26]HISTOAVRIL25!$A$6:$CB$51,62,0)</f>
        <v>0</v>
      </c>
      <c r="AI33" s="36">
        <f>VLOOKUP($A33,[26]HISTOAVRIL25!$A$6:$CB$51,63,0)</f>
        <v>0</v>
      </c>
      <c r="AJ33" s="36">
        <f>VLOOKUP($A33,[26]HISTOAVRIL25!$A$6:$BR$51,64,0)</f>
        <v>0</v>
      </c>
      <c r="AK33" s="36">
        <f>VLOOKUP($A33,[26]HISTOAVRIL25!$A$6:$BR$51,65,0)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VLOOKUP($A34,[26]HISTOAVRIL25!$A$6:$BA$51,48,0)</f>
        <v>0</v>
      </c>
      <c r="F34" s="36">
        <f>VLOOKUP(A34,MVTMARS25!A34:AM69,6,0)+MVTMARS25!H34-E34+L34</f>
        <v>984835.45908011682</v>
      </c>
      <c r="G34" s="5">
        <f>IF(MVTAVRIL25!F34&gt;800000,(MVTMARS25!I34-E34+L34),0)</f>
        <v>984835.45908011682</v>
      </c>
      <c r="H34" s="36">
        <f>VLOOKUP(A34,[27]MVTAVRIL25!$A$6:$AM$42,8,0)</f>
        <v>252.4222237850411</v>
      </c>
      <c r="I34" s="6">
        <f t="shared" si="1"/>
        <v>985087.8813039019</v>
      </c>
      <c r="J34" s="36">
        <f>VLOOKUP($A34,[26]HISTOAVRIL25!$A$6:$AQ$51,22,0)</f>
        <v>0</v>
      </c>
      <c r="K34" s="36">
        <f>VLOOKUP($A34,[26]HISTOAVRIL25!$A$6:$AU$51,45,0)</f>
        <v>25000</v>
      </c>
      <c r="L34" s="36">
        <f t="shared" si="2"/>
        <v>19000</v>
      </c>
      <c r="M34" s="36">
        <f t="shared" si="3"/>
        <v>1000</v>
      </c>
      <c r="N34" s="36">
        <f t="shared" si="0"/>
        <v>1000</v>
      </c>
      <c r="O34" s="36">
        <f t="shared" si="4"/>
        <v>4000</v>
      </c>
      <c r="P34" s="36">
        <f>VLOOKUP($A34,[26]HISTOAVRIL25!$A$6:$AU$51,8,0)</f>
        <v>0</v>
      </c>
      <c r="Q34" s="36">
        <f>VLOOKUP($A34,[26]HISTOAVRIL25!$A$6:$AU$51,23,0)</f>
        <v>0</v>
      </c>
      <c r="R34" s="36">
        <f>VLOOKUP($A34,[26]HISTOAVRIL25!$A$6:$AU$51,46,0)</f>
        <v>0</v>
      </c>
      <c r="S34" s="36">
        <f>VLOOKUP($A34,[26]HISTOAVRIL25!$A$6:$AU$51,26,0)</f>
        <v>0</v>
      </c>
      <c r="T34" s="36">
        <f>VLOOKUP($A34,[26]HISTOAVRIL25!$A$6:$BG$51,58,0)</f>
        <v>0</v>
      </c>
      <c r="U34" s="36">
        <f>VLOOKUP($A34,[26]HISTOAVRIL25!$A$6:$AU$51,28,0)</f>
        <v>0</v>
      </c>
      <c r="V34" s="36">
        <f>VLOOKUP($A34,[26]HISTOAVRIL25!$A$6:$AU$51,19,0)</f>
        <v>0</v>
      </c>
      <c r="W34" s="36">
        <f>VLOOKUP($A34,[26]HISTOAVRIL25!$A$6:$AU$51,20,0)</f>
        <v>0</v>
      </c>
      <c r="X34" s="36">
        <f>VLOOKUP($A34,[26]HISTOAVRIL25!$A$6:$AU$51,27,0)</f>
        <v>0</v>
      </c>
      <c r="Y34" s="36">
        <f>VLOOKUP($A34,[26]HISTOAVRIL25!$A$6:$BM$51,33,0)</f>
        <v>0</v>
      </c>
      <c r="Z34" s="36">
        <f>VLOOKUP($A34,[26]HISTOAVRIL25!$A$6:$BM$51,64,0)</f>
        <v>0</v>
      </c>
      <c r="AA34" s="36"/>
      <c r="AB34" s="36">
        <f>VLOOKUP($A34,[26]HISTOAVRIL25!$A$6:$AU$51,44,0)</f>
        <v>0</v>
      </c>
      <c r="AC34" s="36">
        <f>VLOOKUP($A34,[26]HISTOAVRIL25!$A$6:$AU$51,43,0)</f>
        <v>0</v>
      </c>
      <c r="AD34" s="36">
        <f>VLOOKUP($A34,[26]HISTOAVRIL25!$A$6:$BR$51,47,0)</f>
        <v>0</v>
      </c>
      <c r="AE34" s="36">
        <f>VLOOKUP(A34,[26]HISTOAVRIL25!$A$6:$BR$51,54,0)</f>
        <v>0</v>
      </c>
      <c r="AF34" s="36">
        <f>VLOOKUP($A34,[26]HISTOAVRIL25!$A$6:$BR$51,60,0)</f>
        <v>0</v>
      </c>
      <c r="AG34" s="36">
        <f>VLOOKUP($A34,[26]HISTOAVRIL25!$A$6:$CB$51,61,0)</f>
        <v>0</v>
      </c>
      <c r="AH34" s="36">
        <f>VLOOKUP($A34,[26]HISTOAVRIL25!$A$6:$CB$51,62,0)</f>
        <v>0</v>
      </c>
      <c r="AI34" s="36">
        <f>VLOOKUP($A34,[26]HISTOAVRIL25!$A$6:$CB$51,63,0)</f>
        <v>0</v>
      </c>
      <c r="AJ34" s="36">
        <f>VLOOKUP($A34,[26]HISTOAVRIL25!$A$6:$BR$51,64,0)</f>
        <v>0</v>
      </c>
      <c r="AK34" s="36">
        <f>VLOOKUP($A34,[26]HISTOAVRIL25!$A$6:$BR$51,65,0)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VLOOKUP($A35,[26]HISTOAVRIL25!$A$6:$BA$51,48,0)</f>
        <v>0</v>
      </c>
      <c r="F35" s="36">
        <f>VLOOKUP(A35,MVTMARS25!A35:AM70,6,0)+MVTMARS25!H35-E35+L35</f>
        <v>941260.08598119346</v>
      </c>
      <c r="G35" s="5">
        <f>IF(MVTAVRIL25!F35&gt;800000,(MVTMARS25!I35-E35+L35),0)</f>
        <v>941260.08598119346</v>
      </c>
      <c r="H35" s="36">
        <f>VLOOKUP(A35,[27]MVTAVRIL25!$A$6:$AM$42,8,0)</f>
        <v>241.25346206095873</v>
      </c>
      <c r="I35" s="6">
        <f t="shared" si="1"/>
        <v>941501.3394432544</v>
      </c>
      <c r="J35" s="36">
        <f>VLOOKUP($A35,[26]HISTOAVRIL25!$A$6:$AQ$51,22,0)</f>
        <v>0</v>
      </c>
      <c r="K35" s="36">
        <f>VLOOKUP($A35,[26]HISTOAVRIL25!$A$6:$AU$51,45,0)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VLOOKUP($A35,[26]HISTOAVRIL25!$A$6:$AU$51,8,0)</f>
        <v>0</v>
      </c>
      <c r="Q35" s="36">
        <f>VLOOKUP($A35,[26]HISTOAVRIL25!$A$6:$AU$51,23,0)</f>
        <v>0</v>
      </c>
      <c r="R35" s="36">
        <f>VLOOKUP($A35,[26]HISTOAVRIL25!$A$6:$AU$51,46,0)</f>
        <v>0</v>
      </c>
      <c r="S35" s="36">
        <f>VLOOKUP($A35,[26]HISTOAVRIL25!$A$6:$AU$51,26,0)</f>
        <v>0</v>
      </c>
      <c r="T35" s="36">
        <f>VLOOKUP($A35,[26]HISTOAVRIL25!$A$6:$BG$51,58,0)</f>
        <v>0</v>
      </c>
      <c r="U35" s="36">
        <f>VLOOKUP($A35,[26]HISTOAVRIL25!$A$6:$AU$51,28,0)</f>
        <v>0</v>
      </c>
      <c r="V35" s="36">
        <f>VLOOKUP($A35,[26]HISTOAVRIL25!$A$6:$AU$51,19,0)</f>
        <v>0</v>
      </c>
      <c r="W35" s="36">
        <f>VLOOKUP($A35,[26]HISTOAVRIL25!$A$6:$AU$51,20,0)</f>
        <v>0</v>
      </c>
      <c r="X35" s="36">
        <f>VLOOKUP($A35,[26]HISTOAVRIL25!$A$6:$AU$51,27,0)</f>
        <v>0</v>
      </c>
      <c r="Y35" s="36">
        <f>VLOOKUP($A35,[26]HISTOAVRIL25!$A$6:$BM$51,33,0)</f>
        <v>0</v>
      </c>
      <c r="Z35" s="36">
        <f>VLOOKUP($A35,[26]HISTOAVRIL25!$A$6:$BM$51,64,0)</f>
        <v>0</v>
      </c>
      <c r="AA35" s="36"/>
      <c r="AB35" s="36">
        <f>VLOOKUP($A35,[26]HISTOAVRIL25!$A$6:$AU$51,44,0)</f>
        <v>0</v>
      </c>
      <c r="AC35" s="36">
        <f>VLOOKUP($A35,[26]HISTOAVRIL25!$A$6:$AU$51,43,0)</f>
        <v>0</v>
      </c>
      <c r="AD35" s="36">
        <f>VLOOKUP($A35,[26]HISTOAVRIL25!$A$6:$BR$51,47,0)</f>
        <v>0</v>
      </c>
      <c r="AE35" s="36">
        <f>VLOOKUP(A35,[26]HISTOAVRIL25!$A$6:$BR$51,54,0)</f>
        <v>0</v>
      </c>
      <c r="AF35" s="36">
        <f>VLOOKUP($A35,[26]HISTOAVRIL25!$A$6:$BR$51,60,0)</f>
        <v>0</v>
      </c>
      <c r="AG35" s="36">
        <f>VLOOKUP($A35,[26]HISTOAVRIL25!$A$6:$CB$51,61,0)</f>
        <v>0</v>
      </c>
      <c r="AH35" s="36">
        <f>VLOOKUP($A35,[26]HISTOAVRIL25!$A$6:$CB$51,62,0)</f>
        <v>0</v>
      </c>
      <c r="AI35" s="36">
        <f>VLOOKUP($A35,[26]HISTOAVRIL25!$A$6:$CB$51,63,0)</f>
        <v>0</v>
      </c>
      <c r="AJ35" s="36">
        <f>VLOOKUP($A35,[26]HISTOAVRIL25!$A$6:$BR$51,64,0)</f>
        <v>0</v>
      </c>
      <c r="AK35" s="36">
        <f>VLOOKUP($A35,[26]HISTOAVRIL25!$A$6:$BR$51,65,0)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VLOOKUP($A36,[26]HISTOAVRIL25!$A$6:$BA$51,48,0)</f>
        <v>0</v>
      </c>
      <c r="F36" s="36">
        <f>VLOOKUP(A36,MVTMARS25!A36:AM71,6,0)+MVTMARS25!H36-E36+L36</f>
        <v>931136.35199826909</v>
      </c>
      <c r="G36" s="5">
        <f>IF(MVTAVRIL25!F36&gt;800000,(MVTMARS25!I36-E36+L36),0)</f>
        <v>931136.35199826909</v>
      </c>
      <c r="H36" s="36">
        <f>VLOOKUP(A36,[27]MVTAVRIL25!$A$6:$AM$42,8,0)</f>
        <v>238.6586575975158</v>
      </c>
      <c r="I36" s="6">
        <f t="shared" si="1"/>
        <v>931375.01065586659</v>
      </c>
      <c r="J36" s="36">
        <f>VLOOKUP($A36,[26]HISTOAVRIL25!$A$6:$AQ$51,22,0)</f>
        <v>0</v>
      </c>
      <c r="K36" s="36">
        <f>VLOOKUP($A36,[26]HISTOAVRIL25!$A$6:$AU$51,45,0)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VLOOKUP($A36,[26]HISTOAVRIL25!$A$6:$AU$51,8,0)</f>
        <v>0</v>
      </c>
      <c r="Q36" s="36">
        <f>VLOOKUP($A36,[26]HISTOAVRIL25!$A$6:$AU$51,23,0)</f>
        <v>0</v>
      </c>
      <c r="R36" s="36">
        <f>VLOOKUP($A36,[26]HISTOAVRIL25!$A$6:$AU$51,46,0)</f>
        <v>0</v>
      </c>
      <c r="S36" s="36">
        <f>VLOOKUP($A36,[26]HISTOAVRIL25!$A$6:$AU$51,26,0)</f>
        <v>0</v>
      </c>
      <c r="T36" s="36">
        <f>VLOOKUP($A36,[26]HISTOAVRIL25!$A$6:$BG$51,58,0)</f>
        <v>0</v>
      </c>
      <c r="U36" s="36">
        <f>VLOOKUP($A36,[26]HISTOAVRIL25!$A$6:$AU$51,28,0)</f>
        <v>0</v>
      </c>
      <c r="V36" s="36">
        <f>VLOOKUP($A36,[26]HISTOAVRIL25!$A$6:$AU$51,19,0)</f>
        <v>0</v>
      </c>
      <c r="W36" s="36">
        <f>VLOOKUP($A36,[26]HISTOAVRIL25!$A$6:$AU$51,20,0)</f>
        <v>0</v>
      </c>
      <c r="X36" s="36">
        <f>VLOOKUP($A36,[26]HISTOAVRIL25!$A$6:$AU$51,27,0)</f>
        <v>0</v>
      </c>
      <c r="Y36" s="36">
        <f>VLOOKUP($A36,[26]HISTOAVRIL25!$A$6:$BM$51,33,0)</f>
        <v>0</v>
      </c>
      <c r="Z36" s="36">
        <f>VLOOKUP($A36,[26]HISTOAVRIL25!$A$6:$BM$51,64,0)</f>
        <v>0</v>
      </c>
      <c r="AA36" s="36"/>
      <c r="AB36" s="36">
        <f>VLOOKUP($A36,[26]HISTOAVRIL25!$A$6:$AU$51,44,0)</f>
        <v>0</v>
      </c>
      <c r="AC36" s="36">
        <f>VLOOKUP($A36,[26]HISTOAVRIL25!$A$6:$AU$51,43,0)</f>
        <v>0</v>
      </c>
      <c r="AD36" s="36">
        <f>VLOOKUP($A36,[26]HISTOAVRIL25!$A$6:$BR$51,47,0)</f>
        <v>0</v>
      </c>
      <c r="AE36" s="36">
        <f>VLOOKUP(A36,[26]HISTOAVRIL25!$A$6:$BR$51,54,0)</f>
        <v>0</v>
      </c>
      <c r="AF36" s="36">
        <f>VLOOKUP($A36,[26]HISTOAVRIL25!$A$6:$BR$51,60,0)</f>
        <v>0</v>
      </c>
      <c r="AG36" s="36">
        <f>VLOOKUP($A36,[26]HISTOAVRIL25!$A$6:$CB$51,61,0)</f>
        <v>0</v>
      </c>
      <c r="AH36" s="36">
        <f>VLOOKUP($A36,[26]HISTOAVRIL25!$A$6:$CB$51,62,0)</f>
        <v>0</v>
      </c>
      <c r="AI36" s="36">
        <f>VLOOKUP($A36,[26]HISTOAVRIL25!$A$6:$CB$51,63,0)</f>
        <v>0</v>
      </c>
      <c r="AJ36" s="36">
        <f>VLOOKUP($A36,[26]HISTOAVRIL25!$A$6:$BR$51,64,0)</f>
        <v>0</v>
      </c>
      <c r="AK36" s="36">
        <f>VLOOKUP($A36,[26]HISTOAVRIL25!$A$6:$BR$51,65,0)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VLOOKUP($A37,[26]HISTOAVRIL25!$A$6:$BA$51,48,0)</f>
        <v>0</v>
      </c>
      <c r="F37" s="36">
        <f>VLOOKUP(A37,MVTMARS25!A37:AM72,6,0)+MVTMARS25!H37-E37+L37</f>
        <v>560750</v>
      </c>
      <c r="G37" s="5">
        <f>IF(MVTAVRIL25!F37&gt;800000,(MVTMARS25!I37-E37+L37),0)</f>
        <v>0</v>
      </c>
      <c r="H37" s="36">
        <f>VLOOKUP(A37,[27]MVTAVRIL25!$A$6:$AM$42,8,0)</f>
        <v>0</v>
      </c>
      <c r="I37" s="6">
        <f t="shared" si="1"/>
        <v>560750</v>
      </c>
      <c r="J37" s="36">
        <f>VLOOKUP($A37,[26]HISTOAVRIL25!$A$6:$AQ$51,22,0)</f>
        <v>0</v>
      </c>
      <c r="K37" s="36">
        <f>VLOOKUP($A37,[26]HISTOAVRIL25!$A$6:$AU$51,45,0)</f>
        <v>22000</v>
      </c>
      <c r="L37" s="36">
        <f t="shared" si="2"/>
        <v>16000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VLOOKUP($A37,[26]HISTOAVRIL25!$A$6:$AU$51,8,0)</f>
        <v>0</v>
      </c>
      <c r="Q37" s="36">
        <f>VLOOKUP($A37,[26]HISTOAVRIL25!$A$6:$AU$51,23,0)</f>
        <v>0</v>
      </c>
      <c r="R37" s="36">
        <f>VLOOKUP($A37,[26]HISTOAVRIL25!$A$6:$AU$51,46,0)</f>
        <v>0</v>
      </c>
      <c r="S37" s="36">
        <f>VLOOKUP($A37,[26]HISTOAVRIL25!$A$6:$AU$51,26,0)</f>
        <v>0</v>
      </c>
      <c r="T37" s="36">
        <f>VLOOKUP($A37,[26]HISTOAVRIL25!$A$6:$BG$51,58,0)</f>
        <v>0</v>
      </c>
      <c r="U37" s="36">
        <f>VLOOKUP($A37,[26]HISTOAVRIL25!$A$6:$AU$51,28,0)</f>
        <v>0</v>
      </c>
      <c r="V37" s="36">
        <f>VLOOKUP($A37,[26]HISTOAVRIL25!$A$6:$AU$51,19,0)</f>
        <v>0</v>
      </c>
      <c r="W37" s="36">
        <f>VLOOKUP($A37,[26]HISTOAVRIL25!$A$6:$AU$51,20,0)</f>
        <v>0</v>
      </c>
      <c r="X37" s="36">
        <f>VLOOKUP($A37,[26]HISTOAVRIL25!$A$6:$AU$51,27,0)</f>
        <v>0</v>
      </c>
      <c r="Y37" s="36">
        <f>VLOOKUP($A37,[26]HISTOAVRIL25!$A$6:$BM$51,33,0)</f>
        <v>0</v>
      </c>
      <c r="Z37" s="36">
        <f>VLOOKUP($A37,[26]HISTOAVRIL25!$A$6:$BM$51,64,0)</f>
        <v>0</v>
      </c>
      <c r="AA37" s="36"/>
      <c r="AB37" s="36">
        <f>VLOOKUP($A37,[26]HISTOAVRIL25!$A$6:$AU$51,44,0)</f>
        <v>0</v>
      </c>
      <c r="AC37" s="36">
        <f>VLOOKUP($A37,[26]HISTOAVRIL25!$A$6:$AU$51,43,0)</f>
        <v>0</v>
      </c>
      <c r="AD37" s="36">
        <f>VLOOKUP($A37,[26]HISTOAVRIL25!$A$6:$BR$51,47,0)</f>
        <v>0</v>
      </c>
      <c r="AE37" s="36">
        <f>VLOOKUP(A37,[26]HISTOAVRIL25!$A$6:$BR$51,54,0)</f>
        <v>0</v>
      </c>
      <c r="AF37" s="36">
        <f>VLOOKUP($A37,[26]HISTOAVRIL25!$A$6:$BR$51,60,0)</f>
        <v>0</v>
      </c>
      <c r="AG37" s="36">
        <f>VLOOKUP($A37,[26]HISTOAVRIL25!$A$6:$CB$51,61,0)</f>
        <v>0</v>
      </c>
      <c r="AH37" s="36">
        <f>VLOOKUP($A37,[26]HISTOAVRIL25!$A$6:$CB$51,62,0)</f>
        <v>0</v>
      </c>
      <c r="AI37" s="36">
        <f>VLOOKUP($A37,[26]HISTOAVRIL25!$A$6:$CB$51,63,0)</f>
        <v>0</v>
      </c>
      <c r="AJ37" s="36">
        <f>VLOOKUP($A37,[26]HISTOAVRIL25!$A$6:$BR$51,64,0)</f>
        <v>0</v>
      </c>
      <c r="AK37" s="36">
        <f>VLOOKUP($A37,[26]HISTOAVRIL25!$A$6:$BR$51,65,0)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VLOOKUP($A38,[26]HISTOAVRIL25!$A$6:$BA$51,48,0)</f>
        <v>0</v>
      </c>
      <c r="F38" s="36">
        <f>VLOOKUP(A38,MVTMARS25!A38:AM73,6,0)+MVTMARS25!H38-E38+L38</f>
        <v>70000</v>
      </c>
      <c r="G38" s="5">
        <f>IF(MVTAVRIL25!F38&gt;800000,(MVTMARS25!I38-E38+L38),0)</f>
        <v>0</v>
      </c>
      <c r="H38" s="36">
        <f>VLOOKUP(A38,[27]MVTAVRIL25!$A$6:$AM$42,8,0)</f>
        <v>0</v>
      </c>
      <c r="I38" s="6">
        <f t="shared" si="1"/>
        <v>70000</v>
      </c>
      <c r="J38" s="36">
        <f>VLOOKUP($A38,[26]HISTOAVRIL25!$A$6:$AQ$51,22,0)</f>
        <v>0</v>
      </c>
      <c r="K38" s="36">
        <f>VLOOKUP($A38,[26]HISTOAVRIL25!$A$6:$AU$51,45,0)</f>
        <v>22000</v>
      </c>
      <c r="L38" s="36">
        <f t="shared" si="2"/>
        <v>16000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VLOOKUP($A38,[26]HISTOAVRIL25!$A$6:$AU$51,8,0)</f>
        <v>3000</v>
      </c>
      <c r="Q38" s="36">
        <f>VLOOKUP($A38,[26]HISTOAVRIL25!$A$6:$AU$51,23,0)</f>
        <v>0</v>
      </c>
      <c r="R38" s="36">
        <f>VLOOKUP($A38,[26]HISTOAVRIL25!$A$6:$AU$51,46,0)</f>
        <v>0</v>
      </c>
      <c r="S38" s="36">
        <f>VLOOKUP($A38,[26]HISTOAVRIL25!$A$6:$AU$51,26,0)</f>
        <v>0</v>
      </c>
      <c r="T38" s="36">
        <f>VLOOKUP($A38,[26]HISTOAVRIL25!$A$6:$BG$51,58,0)</f>
        <v>0</v>
      </c>
      <c r="U38" s="36">
        <f>VLOOKUP($A38,[26]HISTOAVRIL25!$A$6:$AU$51,28,0)</f>
        <v>0</v>
      </c>
      <c r="V38" s="36">
        <f>VLOOKUP($A38,[26]HISTOAVRIL25!$A$6:$AU$51,19,0)</f>
        <v>0</v>
      </c>
      <c r="W38" s="36">
        <f>VLOOKUP($A38,[26]HISTOAVRIL25!$A$6:$AU$51,20,0)</f>
        <v>0</v>
      </c>
      <c r="X38" s="36">
        <f>VLOOKUP($A38,[26]HISTOAVRIL25!$A$6:$AU$51,27,0)</f>
        <v>0</v>
      </c>
      <c r="Y38" s="36">
        <f>VLOOKUP($A38,[26]HISTOAVRIL25!$A$6:$BM$51,33,0)</f>
        <v>0</v>
      </c>
      <c r="Z38" s="36">
        <f>VLOOKUP($A38,[26]HISTOAVRIL25!$A$6:$BM$51,64,0)</f>
        <v>0</v>
      </c>
      <c r="AA38" s="36"/>
      <c r="AB38" s="36">
        <f>VLOOKUP($A38,[26]HISTOAVRIL25!$A$6:$AU$51,44,0)</f>
        <v>0</v>
      </c>
      <c r="AC38" s="36">
        <f>VLOOKUP($A38,[26]HISTOAVRIL25!$A$6:$AU$51,43,0)</f>
        <v>0</v>
      </c>
      <c r="AD38" s="36">
        <f>VLOOKUP($A38,[26]HISTOAVRIL25!$A$6:$BR$51,47,0)</f>
        <v>0</v>
      </c>
      <c r="AE38" s="36">
        <f>VLOOKUP(A38,[26]HISTOAVRIL25!$A$6:$BR$51,54,0)</f>
        <v>0</v>
      </c>
      <c r="AF38" s="36">
        <f>VLOOKUP($A38,[26]HISTOAVRIL25!$A$6:$BR$51,60,0)</f>
        <v>0</v>
      </c>
      <c r="AG38" s="36">
        <f>VLOOKUP($A38,[26]HISTOAVRIL25!$A$6:$CB$51,61,0)</f>
        <v>0</v>
      </c>
      <c r="AH38" s="36">
        <f>VLOOKUP($A38,[26]HISTOAVRIL25!$A$6:$CB$51,62,0)</f>
        <v>0</v>
      </c>
      <c r="AI38" s="36">
        <f>VLOOKUP($A38,[26]HISTOAVRIL25!$A$6:$CB$51,63,0)</f>
        <v>0</v>
      </c>
      <c r="AJ38" s="36">
        <f>VLOOKUP($A38,[26]HISTOAVRIL25!$A$6:$BR$51,64,0)</f>
        <v>0</v>
      </c>
      <c r="AK38" s="36">
        <f>VLOOKUP($A38,[26]HISTOAVRIL25!$A$6:$BR$51,65,0)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VLOOKUP($A39,[26]HISTOAVRIL25!$A$6:$BA$51,48,0)</f>
        <v>0</v>
      </c>
      <c r="F39" s="36">
        <f>VLOOKUP(A39,MVTMARS25!A39:AM74,6,0)+MVTMARS25!H39-E39+L39</f>
        <v>905003.18772511894</v>
      </c>
      <c r="G39" s="5">
        <f>IF(MVTAVRIL25!F39&gt;800000,(MVTMARS25!I39-E39+L39),0)</f>
        <v>905003.18772511894</v>
      </c>
      <c r="H39" s="36">
        <f>VLOOKUP(A39,[27]MVTAVRIL25!$A$6:$AM$42,8,0)</f>
        <v>231.96049154393984</v>
      </c>
      <c r="I39" s="6">
        <f t="shared" si="1"/>
        <v>905235.14821666293</v>
      </c>
      <c r="J39" s="36">
        <f>VLOOKUP($A39,[26]HISTOAVRIL25!$A$6:$AQ$51,22,0)</f>
        <v>0</v>
      </c>
      <c r="K39" s="36">
        <f>VLOOKUP($A39,[26]HISTOAVRIL25!$A$6:$AU$51,45,0)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VLOOKUP($A39,[26]HISTOAVRIL25!$A$6:$AU$51,8,0)</f>
        <v>0</v>
      </c>
      <c r="Q39" s="36">
        <f>VLOOKUP($A39,[26]HISTOAVRIL25!$A$6:$AU$51,23,0)</f>
        <v>0</v>
      </c>
      <c r="R39" s="36">
        <f>VLOOKUP($A39,[26]HISTOAVRIL25!$A$6:$AU$51,46,0)</f>
        <v>0</v>
      </c>
      <c r="S39" s="36">
        <f>VLOOKUP($A39,[26]HISTOAVRIL25!$A$6:$AU$51,26,0)</f>
        <v>0</v>
      </c>
      <c r="T39" s="36">
        <f>VLOOKUP($A39,[26]HISTOAVRIL25!$A$6:$BG$51,58,0)</f>
        <v>0</v>
      </c>
      <c r="U39" s="36">
        <f>VLOOKUP($A39,[26]HISTOAVRIL25!$A$6:$AU$51,28,0)</f>
        <v>0</v>
      </c>
      <c r="V39" s="36">
        <f>VLOOKUP($A39,[26]HISTOAVRIL25!$A$6:$AU$51,19,0)</f>
        <v>0</v>
      </c>
      <c r="W39" s="36">
        <f>VLOOKUP($A39,[26]HISTOAVRIL25!$A$6:$AU$51,20,0)</f>
        <v>0</v>
      </c>
      <c r="X39" s="36">
        <f>VLOOKUP($A39,[26]HISTOAVRIL25!$A$6:$AU$51,27,0)</f>
        <v>0</v>
      </c>
      <c r="Y39" s="36">
        <f>VLOOKUP($A39,[26]HISTOAVRIL25!$A$6:$BM$51,33,0)</f>
        <v>0</v>
      </c>
      <c r="Z39" s="36">
        <f>VLOOKUP($A39,[26]HISTOAVRIL25!$A$6:$BM$51,64,0)</f>
        <v>0</v>
      </c>
      <c r="AA39" s="36"/>
      <c r="AB39" s="36">
        <f>VLOOKUP($A39,[26]HISTOAVRIL25!$A$6:$AU$51,44,0)</f>
        <v>0</v>
      </c>
      <c r="AC39" s="36">
        <f>VLOOKUP($A39,[26]HISTOAVRIL25!$A$6:$AU$51,43,0)</f>
        <v>0</v>
      </c>
      <c r="AD39" s="36">
        <f>VLOOKUP($A39,[26]HISTOAVRIL25!$A$6:$BR$51,47,0)</f>
        <v>0</v>
      </c>
      <c r="AE39" s="36">
        <f>VLOOKUP(A39,[26]HISTOAVRIL25!$A$6:$BR$51,54,0)</f>
        <v>0</v>
      </c>
      <c r="AF39" s="36">
        <f>VLOOKUP($A39,[26]HISTOAVRIL25!$A$6:$BR$51,60,0)</f>
        <v>0</v>
      </c>
      <c r="AG39" s="36">
        <f>VLOOKUP($A39,[26]HISTOAVRIL25!$A$6:$CB$51,61,0)</f>
        <v>0</v>
      </c>
      <c r="AH39" s="36">
        <f>VLOOKUP($A39,[26]HISTOAVRIL25!$A$6:$CB$51,62,0)</f>
        <v>0</v>
      </c>
      <c r="AI39" s="36">
        <f>VLOOKUP($A39,[26]HISTOAVRIL25!$A$6:$CB$51,63,0)</f>
        <v>0</v>
      </c>
      <c r="AJ39" s="36">
        <f>VLOOKUP($A39,[26]HISTOAVRIL25!$A$6:$BR$51,64,0)</f>
        <v>0</v>
      </c>
      <c r="AK39" s="36">
        <f>VLOOKUP($A39,[26]HISTOAVRIL25!$A$6:$BR$51,65,0)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VLOOKUP($A40,[26]HISTOAVRIL25!$A$6:$BA$51,48,0)</f>
        <v>0</v>
      </c>
      <c r="F40" s="36">
        <f>VLOOKUP(A40,MVTMARS25!A40:AM75,6,0)+MVTMARS25!H40-E40+L40</f>
        <v>1724773.5147880823</v>
      </c>
      <c r="G40" s="5">
        <f>IF(MVTAVRIL25!F40&gt;800000,(MVTMARS25!I40-E40+L40),0)</f>
        <v>1724773.5147880823</v>
      </c>
      <c r="H40" s="36">
        <f>VLOOKUP(A40,[27]MVTAVRIL25!$A$6:$AM$42,8,0)</f>
        <v>442.07503102600162</v>
      </c>
      <c r="I40" s="6">
        <f t="shared" si="1"/>
        <v>1725215.5898191084</v>
      </c>
      <c r="J40" s="36">
        <f>VLOOKUP($A40,[26]HISTOAVRIL25!$A$6:$AQ$51,22,0)</f>
        <v>0</v>
      </c>
      <c r="K40" s="36">
        <f>VLOOKUP($A40,[26]HISTOAVRIL25!$A$6:$AU$51,45,0)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VLOOKUP($A40,[26]HISTOAVRIL25!$A$6:$AU$51,8,0)</f>
        <v>3000</v>
      </c>
      <c r="Q40" s="36">
        <f>VLOOKUP($A40,[26]HISTOAVRIL25!$A$6:$AU$51,23,0)</f>
        <v>0</v>
      </c>
      <c r="R40" s="36">
        <f>VLOOKUP($A40,[26]HISTOAVRIL25!$A$6:$AU$51,46,0)</f>
        <v>0</v>
      </c>
      <c r="S40" s="36">
        <f>VLOOKUP($A40,[26]HISTOAVRIL25!$A$6:$AU$51,26,0)</f>
        <v>0</v>
      </c>
      <c r="T40" s="36">
        <f>VLOOKUP($A40,[26]HISTOAVRIL25!$A$6:$BG$51,58,0)</f>
        <v>0</v>
      </c>
      <c r="U40" s="36">
        <f>VLOOKUP($A40,[26]HISTOAVRIL25!$A$6:$AU$51,28,0)</f>
        <v>0</v>
      </c>
      <c r="V40" s="36">
        <f>VLOOKUP($A40,[26]HISTOAVRIL25!$A$6:$AU$51,19,0)</f>
        <v>0</v>
      </c>
      <c r="W40" s="36">
        <f>VLOOKUP($A40,[26]HISTOAVRIL25!$A$6:$AU$51,20,0)</f>
        <v>0</v>
      </c>
      <c r="X40" s="36">
        <f>VLOOKUP($A40,[26]HISTOAVRIL25!$A$6:$AU$51,27,0)</f>
        <v>0</v>
      </c>
      <c r="Y40" s="36">
        <f>VLOOKUP($A40,[26]HISTOAVRIL25!$A$6:$BM$51,33,0)</f>
        <v>0</v>
      </c>
      <c r="Z40" s="36">
        <f>VLOOKUP($A40,[26]HISTOAVRIL25!$A$6:$BM$51,64,0)</f>
        <v>0</v>
      </c>
      <c r="AA40" s="36"/>
      <c r="AB40" s="36">
        <f>VLOOKUP($A40,[26]HISTOAVRIL25!$A$6:$AU$51,44,0)</f>
        <v>0</v>
      </c>
      <c r="AC40" s="36">
        <f>VLOOKUP($A40,[26]HISTOAVRIL25!$A$6:$AU$51,43,0)</f>
        <v>0</v>
      </c>
      <c r="AD40" s="36">
        <f>VLOOKUP($A40,[26]HISTOAVRIL25!$A$6:$BR$51,47,0)</f>
        <v>0</v>
      </c>
      <c r="AE40" s="36">
        <f>VLOOKUP(A40,[26]HISTOAVRIL25!$A$6:$BR$51,54,0)</f>
        <v>0</v>
      </c>
      <c r="AF40" s="36">
        <f>VLOOKUP($A40,[26]HISTOAVRIL25!$A$6:$BR$51,60,0)</f>
        <v>0</v>
      </c>
      <c r="AG40" s="36">
        <f>VLOOKUP($A40,[26]HISTOAVRIL25!$A$6:$CB$51,61,0)</f>
        <v>0</v>
      </c>
      <c r="AH40" s="36">
        <f>VLOOKUP($A40,[26]HISTOAVRIL25!$A$6:$CB$51,62,0)</f>
        <v>0</v>
      </c>
      <c r="AI40" s="36">
        <f>VLOOKUP($A40,[26]HISTOAVRIL25!$A$6:$CB$51,63,0)</f>
        <v>0</v>
      </c>
      <c r="AJ40" s="36">
        <f>VLOOKUP($A40,[26]HISTOAVRIL25!$A$6:$BR$51,64,0)</f>
        <v>0</v>
      </c>
      <c r="AK40" s="36">
        <f>VLOOKUP($A40,[26]HISTOAVRIL25!$A$6:$BR$51,65,0)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VLOOKUP($A41,[26]HISTOAVRIL25!$A$6:$BA$51,48,0)</f>
        <v>0</v>
      </c>
      <c r="F41" s="36">
        <f>VLOOKUP(A41,MVTMARS25!A41:AM76,6,0)+MVTMARS25!H41-E41+L41</f>
        <v>935031.66290273471</v>
      </c>
      <c r="G41" s="5">
        <f>IF(MVTAVRIL25!F41&gt;800000,(MVTMARS25!I41-E41+L41),0)</f>
        <v>935031.66290273471</v>
      </c>
      <c r="H41" s="36">
        <f>VLOOKUP(A41,[27]MVTAVRIL25!$A$6:$AM$42,8,0)</f>
        <v>239.65706096710787</v>
      </c>
      <c r="I41" s="6">
        <f t="shared" si="1"/>
        <v>935271.31996370177</v>
      </c>
      <c r="J41" s="36">
        <f>VLOOKUP($A41,[26]HISTOAVRIL25!$A$6:$AQ$51,22,0)</f>
        <v>0</v>
      </c>
      <c r="K41" s="36">
        <f>VLOOKUP($A41,[26]HISTOAVRIL25!$A$6:$AU$51,45,0)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VLOOKUP($A41,[26]HISTOAVRIL25!$A$6:$AU$51,8,0)</f>
        <v>3000</v>
      </c>
      <c r="Q41" s="36">
        <f>VLOOKUP($A41,[26]HISTOAVRIL25!$A$6:$AU$51,23,0)</f>
        <v>0</v>
      </c>
      <c r="R41" s="36">
        <f>VLOOKUP($A41,[26]HISTOAVRIL25!$A$6:$AU$51,46,0)</f>
        <v>0</v>
      </c>
      <c r="S41" s="36">
        <f>VLOOKUP($A41,[26]HISTOAVRIL25!$A$6:$AU$51,26,0)</f>
        <v>0</v>
      </c>
      <c r="T41" s="36">
        <f>VLOOKUP($A41,[26]HISTOAVRIL25!$A$6:$BG$51,58,0)</f>
        <v>0</v>
      </c>
      <c r="U41" s="36">
        <f>VLOOKUP($A41,[26]HISTOAVRIL25!$A$6:$AU$51,28,0)</f>
        <v>0</v>
      </c>
      <c r="V41" s="36">
        <f>VLOOKUP($A41,[26]HISTOAVRIL25!$A$6:$AU$51,19,0)</f>
        <v>0</v>
      </c>
      <c r="W41" s="36">
        <f>VLOOKUP($A41,[26]HISTOAVRIL25!$A$6:$AU$51,20,0)</f>
        <v>0</v>
      </c>
      <c r="X41" s="36">
        <f>VLOOKUP($A41,[26]HISTOAVRIL25!$A$6:$AU$51,27,0)</f>
        <v>0</v>
      </c>
      <c r="Y41" s="36">
        <f>VLOOKUP($A41,[26]HISTOAVRIL25!$A$6:$BM$51,33,0)</f>
        <v>0</v>
      </c>
      <c r="Z41" s="36">
        <f>VLOOKUP($A41,[26]HISTOAVRIL25!$A$6:$BM$51,64,0)</f>
        <v>0</v>
      </c>
      <c r="AA41" s="36"/>
      <c r="AB41" s="36">
        <f>VLOOKUP($A41,[26]HISTOAVRIL25!$A$6:$AU$51,44,0)</f>
        <v>0</v>
      </c>
      <c r="AC41" s="36">
        <f>VLOOKUP($A41,[26]HISTOAVRIL25!$A$6:$AU$51,43,0)</f>
        <v>0</v>
      </c>
      <c r="AD41" s="36">
        <f>VLOOKUP($A41,[26]HISTOAVRIL25!$A$6:$BR$51,47,0)</f>
        <v>0</v>
      </c>
      <c r="AE41" s="36">
        <f>VLOOKUP(A41,[26]HISTOAVRIL25!$A$6:$BR$51,54,0)</f>
        <v>0</v>
      </c>
      <c r="AF41" s="36">
        <f>VLOOKUP($A41,[26]HISTOAVRIL25!$A$6:$BR$51,60,0)</f>
        <v>0</v>
      </c>
      <c r="AG41" s="36">
        <f>VLOOKUP($A41,[26]HISTOAVRIL25!$A$6:$CB$51,61,0)</f>
        <v>0</v>
      </c>
      <c r="AH41" s="36">
        <f>VLOOKUP($A41,[26]HISTOAVRIL25!$A$6:$CB$51,62,0)</f>
        <v>0</v>
      </c>
      <c r="AI41" s="36">
        <f>VLOOKUP($A41,[26]HISTOAVRIL25!$A$6:$CB$51,63,0)</f>
        <v>0</v>
      </c>
      <c r="AJ41" s="36">
        <f>VLOOKUP($A41,[26]HISTOAVRIL25!$A$6:$BR$51,64,0)</f>
        <v>0</v>
      </c>
      <c r="AK41" s="36">
        <f>VLOOKUP($A41,[26]HISTOAVRIL25!$A$6:$BR$51,65,0)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VLOOKUP($A42,[26]HISTOAVRIL25!$A$6:$BA$51,48,0)</f>
        <v>0</v>
      </c>
      <c r="F42" s="36">
        <f>VLOOKUP(A42,MVTMARS25!A42:AM77,6,0)+MVTMARS25!H42-E42+L42</f>
        <v>2223420.3127719318</v>
      </c>
      <c r="G42" s="5">
        <f>IF(MVTAVRIL25!F42&gt;800000,(MVTMARS25!I42-E42+L42),0)</f>
        <v>2223420.3127719318</v>
      </c>
      <c r="H42" s="36">
        <f>VLOOKUP(A42,[27]MVTAVRIL25!$A$6:$AM$42,8,0)</f>
        <v>569.882709425337</v>
      </c>
      <c r="I42" s="6">
        <f t="shared" si="1"/>
        <v>2223990.1954813572</v>
      </c>
      <c r="J42" s="36">
        <f>VLOOKUP($A42,[26]HISTOAVRIL25!$A$6:$AQ$51,22,0)</f>
        <v>0</v>
      </c>
      <c r="K42" s="36">
        <f>VLOOKUP($A42,[26]HISTOAVRIL25!$A$6:$AU$51,45,0)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VLOOKUP($A42,[26]HISTOAVRIL25!$A$6:$AU$51,8,0)</f>
        <v>0</v>
      </c>
      <c r="Q42" s="36">
        <f>VLOOKUP($A42,[26]HISTOAVRIL25!$A$6:$AU$51,23,0)</f>
        <v>0</v>
      </c>
      <c r="R42" s="36">
        <f>VLOOKUP($A42,[26]HISTOAVRIL25!$A$6:$AU$51,46,0)</f>
        <v>0</v>
      </c>
      <c r="S42" s="36">
        <f>VLOOKUP($A42,[26]HISTOAVRIL25!$A$6:$AU$51,26,0)</f>
        <v>0</v>
      </c>
      <c r="T42" s="36">
        <f>VLOOKUP($A42,[26]HISTOAVRIL25!$A$6:$BG$51,58,0)</f>
        <v>0</v>
      </c>
      <c r="U42" s="36">
        <f>VLOOKUP($A42,[26]HISTOAVRIL25!$A$6:$AU$51,28,0)</f>
        <v>0</v>
      </c>
      <c r="V42" s="36">
        <f>VLOOKUP($A42,[26]HISTOAVRIL25!$A$6:$AU$51,19,0)</f>
        <v>0</v>
      </c>
      <c r="W42" s="36">
        <f>VLOOKUP($A42,[26]HISTOAVRIL25!$A$6:$AU$51,20,0)</f>
        <v>0</v>
      </c>
      <c r="X42" s="36">
        <f>VLOOKUP($A42,[26]HISTOAVRIL25!$A$6:$AU$51,27,0)</f>
        <v>0</v>
      </c>
      <c r="Y42" s="36">
        <f>VLOOKUP($A42,[26]HISTOAVRIL25!$A$6:$BM$51,33,0)</f>
        <v>0</v>
      </c>
      <c r="Z42" s="36">
        <f>VLOOKUP($A42,[26]HISTOAVRIL25!$A$6:$BM$51,64,0)</f>
        <v>0</v>
      </c>
      <c r="AA42" s="36"/>
      <c r="AB42" s="36">
        <f>VLOOKUP($A42,[26]HISTOAVRIL25!$A$6:$AU$51,44,0)</f>
        <v>0</v>
      </c>
      <c r="AC42" s="36">
        <f>VLOOKUP($A42,[26]HISTOAVRIL25!$A$6:$AU$51,43,0)</f>
        <v>0</v>
      </c>
      <c r="AD42" s="36">
        <f>VLOOKUP($A42,[26]HISTOAVRIL25!$A$6:$BR$51,47,0)</f>
        <v>0</v>
      </c>
      <c r="AE42" s="36">
        <f>VLOOKUP(A42,[26]HISTOAVRIL25!$A$6:$BR$51,54,0)</f>
        <v>0</v>
      </c>
      <c r="AF42" s="36">
        <f>VLOOKUP($A42,[26]HISTOAVRIL25!$A$6:$BR$51,60,0)</f>
        <v>0</v>
      </c>
      <c r="AG42" s="36">
        <f>VLOOKUP($A42,[26]HISTOAVRIL25!$A$6:$CB$51,61,0)</f>
        <v>0</v>
      </c>
      <c r="AH42" s="36">
        <f>VLOOKUP($A42,[26]HISTOAVRIL25!$A$6:$CB$51,62,0)</f>
        <v>0</v>
      </c>
      <c r="AI42" s="36">
        <f>VLOOKUP($A42,[26]HISTOAVRIL25!$A$6:$CB$51,63,0)</f>
        <v>0</v>
      </c>
      <c r="AJ42" s="36">
        <f>VLOOKUP($A42,[26]HISTOAVRIL25!$A$6:$BR$51,64,0)</f>
        <v>0</v>
      </c>
      <c r="AK42" s="36">
        <f>VLOOKUP($A42,[26]HISTOAVRIL25!$A$6:$BR$51,65,0)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1"/>
      <c r="L43" s="181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36093611.999999993</v>
      </c>
      <c r="G44" s="9">
        <f t="shared" si="9"/>
        <v>35113862</v>
      </c>
      <c r="H44" s="36">
        <f t="shared" si="9"/>
        <v>8999.9999999999982</v>
      </c>
      <c r="I44" s="9">
        <f t="shared" si="9"/>
        <v>36102612.000000007</v>
      </c>
      <c r="J44" s="9">
        <f t="shared" si="9"/>
        <v>5000</v>
      </c>
      <c r="K44" s="9">
        <f t="shared" si="9"/>
        <v>874500</v>
      </c>
      <c r="L44" s="9">
        <f t="shared" si="9"/>
        <v>870500</v>
      </c>
      <c r="M44" s="9">
        <f t="shared" si="9"/>
        <v>34000</v>
      </c>
      <c r="N44" s="9">
        <f t="shared" si="9"/>
        <v>34000</v>
      </c>
      <c r="O44" s="9">
        <f t="shared" si="9"/>
        <v>136000</v>
      </c>
      <c r="P44" s="9">
        <f t="shared" si="9"/>
        <v>12000</v>
      </c>
      <c r="Q44" s="9">
        <f t="shared" si="9"/>
        <v>0</v>
      </c>
      <c r="R44" s="9">
        <f t="shared" si="9"/>
        <v>0</v>
      </c>
      <c r="S44" s="9">
        <f t="shared" si="9"/>
        <v>300000</v>
      </c>
      <c r="T44" s="9">
        <f t="shared" si="9"/>
        <v>9000</v>
      </c>
      <c r="U44" s="9">
        <f t="shared" si="9"/>
        <v>0</v>
      </c>
      <c r="V44" s="9">
        <f t="shared" si="9"/>
        <v>0</v>
      </c>
      <c r="W44" s="9"/>
      <c r="X44" s="9">
        <f t="shared" si="9"/>
        <v>0</v>
      </c>
      <c r="Y44" s="9">
        <f t="shared" si="9"/>
        <v>0</v>
      </c>
      <c r="Z44" s="9">
        <f t="shared" si="9"/>
        <v>150000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0</v>
      </c>
      <c r="AF44" s="9">
        <f t="shared" si="9"/>
        <v>6000</v>
      </c>
      <c r="AG44" s="9">
        <f t="shared" si="9"/>
        <v>0</v>
      </c>
      <c r="AH44" s="9">
        <f t="shared" si="9"/>
        <v>0</v>
      </c>
      <c r="AI44" s="9">
        <f t="shared" si="9"/>
        <v>100000</v>
      </c>
      <c r="AJ44" s="9">
        <f t="shared" si="9"/>
        <v>150000</v>
      </c>
      <c r="AK44" s="9">
        <f t="shared" si="9"/>
        <v>0</v>
      </c>
      <c r="AL44" s="9">
        <f t="shared" si="9"/>
        <v>400000</v>
      </c>
    </row>
    <row r="46" spans="1:38" x14ac:dyDescent="0.35">
      <c r="H46">
        <v>9000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1"/>
      <c r="L47" s="181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BE2F-BE31-4AFD-B5B7-572E78F8A7C8}">
  <dimension ref="A1:AM47"/>
  <sheetViews>
    <sheetView workbookViewId="0">
      <pane xSplit="2" ySplit="5" topLeftCell="J27" activePane="bottomRight" state="frozen"/>
      <selection activeCell="F8" sqref="F8"/>
      <selection pane="topRight" activeCell="F8" sqref="F8"/>
      <selection pane="bottomLeft" activeCell="F8" sqref="F8"/>
      <selection pane="bottomRight" activeCell="A28" sqref="A28:XFD2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1" bestFit="1" customWidth="1"/>
    <col min="12" max="12" width="17.54296875" style="181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0"/>
      <c r="K4" s="192">
        <v>45794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VLOOKUP(A6,MVTAVRIL25!A6:AM42,6,0)+MVTAVRIL25!H6-E6+L6</f>
        <v>1097287.7862270027</v>
      </c>
      <c r="G6" s="5">
        <f>IF(MVTMAI25!F6&gt;800000,(MVTAVRIL25!I6-E6+L6),0)</f>
        <v>1097287.7862270027</v>
      </c>
      <c r="H6" s="36">
        <f>VLOOKUP(A6,[27]MVTMAI25!$A$6:$AM$42,8,0)</f>
        <v>0</v>
      </c>
      <c r="I6" s="6">
        <f>F6+H6</f>
        <v>1097287.7862270027</v>
      </c>
      <c r="J6" s="36">
        <f>VLOOKUP($A6,[26]HISTOMAI25!$A$6:$AQ$51,22,0)</f>
        <v>0</v>
      </c>
      <c r="K6" s="36">
        <f>VLOOKUP($A6,[26]HISTOMAI25!$A$6:$AU$51,45,0)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VLOOKUP($A6,[26]HISTOMAI25!$A$6:$AU$51,8,0)</f>
        <v>0</v>
      </c>
      <c r="Q6" s="36">
        <f>VLOOKUP($A6,[26]HISTOMAI25!$A$6:$AU$51,23,0)</f>
        <v>0</v>
      </c>
      <c r="R6" s="36">
        <f>VLOOKUP($A6,[26]HISTOMAI25!$A$6:$AU$51,46,0)</f>
        <v>0</v>
      </c>
      <c r="S6" s="36">
        <f>VLOOKUP($A6,[26]HISTOMAI25!$A$6:$AU$51,26,0)</f>
        <v>0</v>
      </c>
      <c r="T6" s="36">
        <f>VLOOKUP($A6,[26]HISTOMAI25!$A$6:$BG$51,58,0)</f>
        <v>0</v>
      </c>
      <c r="U6" s="36">
        <f>VLOOKUP($A6,[26]HISTOMAI25!$A$6:$AU$51,28,0)</f>
        <v>0</v>
      </c>
      <c r="V6" s="36">
        <f>VLOOKUP($A6,[26]HISTOMAI25!$A$6:$AU$51,19,0)</f>
        <v>0</v>
      </c>
      <c r="W6" s="36">
        <f>VLOOKUP($A6,[26]HISTOMAI25!$A$6:$AU$51,20,0)</f>
        <v>0</v>
      </c>
      <c r="X6" s="36">
        <f>VLOOKUP($A6,[26]HISTOMAI25!$A$6:$AU$51,27,0)</f>
        <v>0</v>
      </c>
      <c r="Y6" s="36">
        <f>VLOOKUP($A6,[26]HISTOMAI25!$A$6:$BM$51,33,0)</f>
        <v>0</v>
      </c>
      <c r="Z6" s="36">
        <f>VLOOKUP($A6,[26]HISTOMAI25!$A$6:$BM$51,64,0)</f>
        <v>0</v>
      </c>
      <c r="AA6" s="36"/>
      <c r="AB6" s="36">
        <f>VLOOKUP($A6,[26]HISTOMAI25!$A$6:$AU$51,44,0)</f>
        <v>0</v>
      </c>
      <c r="AC6" s="36">
        <f>VLOOKUP($A6,[26]HISTOMAI25!$A$6:$AU$51,43,0)</f>
        <v>0</v>
      </c>
      <c r="AD6" s="36">
        <f>VLOOKUP($A6,[26]HISTOMAI25!$A$6:$BR$51,47,0)</f>
        <v>0</v>
      </c>
      <c r="AE6" s="36">
        <f>VLOOKUP(A6,[26]HISTOMAI25!$A$6:$BR$51,54,0)</f>
        <v>0</v>
      </c>
      <c r="AF6" s="36">
        <f>VLOOKUP($A6,[26]HISTOMAI25!$A$6:$BR$51,60,0)</f>
        <v>6000</v>
      </c>
      <c r="AG6" s="36">
        <f>VLOOKUP($A6,[26]HISTOMAI25!$A$6:$CB$51,61,0)</f>
        <v>0</v>
      </c>
      <c r="AH6" s="36">
        <f>VLOOKUP($A6,[26]HISTOMAI25!$A$6:$CB$51,62,0)</f>
        <v>0</v>
      </c>
      <c r="AI6" s="36">
        <f>VLOOKUP($A6,[26]HISTOMAI25!$A$6:$CB$51,63,0)</f>
        <v>0</v>
      </c>
      <c r="AJ6" s="36">
        <f>VLOOKUP($A6,[26]HISTOMAI25!$A$6:$BR$51,64,0)</f>
        <v>0</v>
      </c>
      <c r="AK6" s="36">
        <f>VLOOKUP($A6,[26]HISTOMAI25!$A$6:$BR$51,65,0)</f>
        <v>0</v>
      </c>
      <c r="AL6" s="36">
        <f>VLOOKUP($A6,[26]HISTOMAI25!$A$6:$BR$40,66,0)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VLOOKUP($A7,[26]HISTOMAI25!$A$6:$BA$51,48,0)</f>
        <v>0</v>
      </c>
      <c r="F7" s="36">
        <f>VLOOKUP(A7,MVTAVRIL25!A7:AM43,6,0)+MVTAVRIL25!H7-E7+L7</f>
        <v>968953.91223464545</v>
      </c>
      <c r="G7" s="5">
        <f>IF(MVTMAI25!F7&gt;800000,(MVTAVRIL25!I7-E7+L7),0)</f>
        <v>968953.91223464545</v>
      </c>
      <c r="H7" s="36">
        <f>VLOOKUP(A7,[27]MVTMAI25!$A$6:$AM$42,8,0)</f>
        <v>0</v>
      </c>
      <c r="I7" s="6">
        <f t="shared" ref="I7:I42" si="1">F7+H7</f>
        <v>968953.91223464545</v>
      </c>
      <c r="J7" s="36">
        <f>VLOOKUP($A7,[26]HISTOMAI25!$A$6:$AQ$51,22,0)</f>
        <v>0</v>
      </c>
      <c r="K7" s="36">
        <f>VLOOKUP($A7,[26]HISTOMAI25!$A$6:$AU$51,45,0)</f>
        <v>45000</v>
      </c>
      <c r="L7" s="36">
        <f t="shared" ref="L7:L42" si="2">IF(K7=0,0,K7-(M7+N7+O7))</f>
        <v>33000</v>
      </c>
      <c r="M7" s="36">
        <f>IF(K7=0,0,1000)+1000</f>
        <v>2000</v>
      </c>
      <c r="N7" s="36">
        <f>IF(K7=0,0,1000)+1000</f>
        <v>2000</v>
      </c>
      <c r="O7" s="36">
        <f>IF(K7=0,0,4000)+4000</f>
        <v>8000</v>
      </c>
      <c r="P7" s="36">
        <f>VLOOKUP($A7,[26]HISTOMAI25!$A$6:$AU$51,8,0)</f>
        <v>5000</v>
      </c>
      <c r="Q7" s="36">
        <f>VLOOKUP($A7,[26]HISTOMAI25!$A$6:$AU$51,23,0)</f>
        <v>0</v>
      </c>
      <c r="R7" s="36">
        <f>VLOOKUP($A7,[26]HISTOMAI25!$A$6:$AU$51,46,0)</f>
        <v>0</v>
      </c>
      <c r="S7" s="36">
        <f>VLOOKUP($A7,[26]HISTOMAI25!$A$6:$AU$51,26,0)</f>
        <v>0</v>
      </c>
      <c r="T7" s="36">
        <f>VLOOKUP($A7,[26]HISTOMAI25!$A$6:$BG$51,58,0)</f>
        <v>0</v>
      </c>
      <c r="U7" s="36">
        <f>VLOOKUP($A7,[26]HISTOMAI25!$A$6:$AU$51,28,0)</f>
        <v>0</v>
      </c>
      <c r="V7" s="36">
        <f>VLOOKUP($A7,[26]HISTOMAI25!$A$6:$AU$51,19,0)</f>
        <v>0</v>
      </c>
      <c r="W7" s="36">
        <f>VLOOKUP($A7,[26]HISTOMAI25!$A$6:$AU$51,20,0)</f>
        <v>0</v>
      </c>
      <c r="X7" s="36">
        <f>VLOOKUP($A7,[26]HISTOMAI25!$A$6:$AU$51,27,0)</f>
        <v>0</v>
      </c>
      <c r="Y7" s="36">
        <f>VLOOKUP($A7,[26]HISTOMAI25!$A$6:$BM$51,33,0)</f>
        <v>0</v>
      </c>
      <c r="Z7" s="36">
        <f>VLOOKUP($A7,[26]HISTOMAI25!$A$6:$BM$51,64,0)</f>
        <v>0</v>
      </c>
      <c r="AA7" s="36"/>
      <c r="AB7" s="36">
        <f>VLOOKUP($A7,[26]HISTOMAI25!$A$6:$AU$51,44,0)</f>
        <v>0</v>
      </c>
      <c r="AC7" s="36">
        <f>VLOOKUP($A7,[26]HISTOMAI25!$A$6:$AU$51,43,0)</f>
        <v>0</v>
      </c>
      <c r="AD7" s="36">
        <f>VLOOKUP($A7,[26]HISTOMAI25!$A$6:$BR$51,47,0)</f>
        <v>0</v>
      </c>
      <c r="AE7" s="36">
        <f>VLOOKUP(A7,[26]HISTOMAI25!$A$6:$BR$51,54,0)</f>
        <v>0</v>
      </c>
      <c r="AF7" s="36">
        <f>VLOOKUP($A7,[26]HISTOMAI25!$A$6:$BR$51,60,0)</f>
        <v>0</v>
      </c>
      <c r="AG7" s="36">
        <f>VLOOKUP($A7,[26]HISTOMAI25!$A$6:$CB$51,61,0)</f>
        <v>0</v>
      </c>
      <c r="AH7" s="36">
        <f>VLOOKUP($A7,[26]HISTOMAI25!$A$6:$CB$51,62,0)</f>
        <v>0</v>
      </c>
      <c r="AI7" s="36">
        <f>VLOOKUP($A7,[26]HISTOMAI25!$A$6:$CB$51,63,0)</f>
        <v>0</v>
      </c>
      <c r="AJ7" s="36">
        <f>VLOOKUP($A7,[26]HISTOMAI25!$A$6:$BR$51,64,0)</f>
        <v>0</v>
      </c>
      <c r="AK7" s="36">
        <f>VLOOKUP($A7,[26]HISTOMAI25!$A$6:$BR$51,65,0)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VLOOKUP($A8,[26]HISTOMAI25!$A$6:$BA$51,48,0)</f>
        <v>0</v>
      </c>
      <c r="F8" s="36">
        <f>VLOOKUP(A8,MVTAVRIL25!A8:AM44,6,0)+MVTAVRIL25!H8-E8+L8</f>
        <v>1096297.3174913663</v>
      </c>
      <c r="G8" s="5">
        <f>IF(MVTMAI25!F8&gt;800000,(MVTAVRIL25!I8-E8+L8),0)</f>
        <v>1096297.3174913663</v>
      </c>
      <c r="H8" s="36">
        <f>VLOOKUP(A8,[27]MVTMAI25!$A$6:$AM$42,8,0)</f>
        <v>0</v>
      </c>
      <c r="I8" s="6">
        <f t="shared" si="1"/>
        <v>1096297.3174913663</v>
      </c>
      <c r="J8" s="36">
        <f>VLOOKUP($A8,[26]HISTOMAI25!$A$6:$AQ$51,22,0)</f>
        <v>0</v>
      </c>
      <c r="K8" s="36">
        <f>VLOOKUP($A8,[26]HISTOMAI25!$A$6:$AU$51,45,0)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VLOOKUP($A8,[26]HISTOMAI25!$A$6:$AU$51,8,0)</f>
        <v>0</v>
      </c>
      <c r="Q8" s="36">
        <f>VLOOKUP($A8,[26]HISTOMAI25!$A$6:$AU$51,23,0)</f>
        <v>0</v>
      </c>
      <c r="R8" s="36">
        <f>VLOOKUP($A8,[26]HISTOMAI25!$A$6:$AU$51,46,0)</f>
        <v>0</v>
      </c>
      <c r="S8" s="36">
        <f>VLOOKUP($A8,[26]HISTOMAI25!$A$6:$AU$51,26,0)</f>
        <v>0</v>
      </c>
      <c r="T8" s="36">
        <f>VLOOKUP($A8,[26]HISTOMAI25!$A$6:$BG$51,58,0)</f>
        <v>0</v>
      </c>
      <c r="U8" s="36">
        <f>VLOOKUP($A8,[26]HISTOMAI25!$A$6:$AU$51,28,0)</f>
        <v>0</v>
      </c>
      <c r="V8" s="36">
        <f>VLOOKUP($A8,[26]HISTOMAI25!$A$6:$AU$51,19,0)</f>
        <v>0</v>
      </c>
      <c r="W8" s="36">
        <f>VLOOKUP($A8,[26]HISTOMAI25!$A$6:$AU$51,20,0)</f>
        <v>0</v>
      </c>
      <c r="X8" s="36">
        <f>VLOOKUP($A8,[26]HISTOMAI25!$A$6:$AU$51,27,0)</f>
        <v>0</v>
      </c>
      <c r="Y8" s="36">
        <f>VLOOKUP($A8,[26]HISTOMAI25!$A$6:$BM$51,33,0)</f>
        <v>0</v>
      </c>
      <c r="Z8" s="36">
        <f>VLOOKUP($A8,[26]HISTOMAI25!$A$6:$BM$51,64,0)</f>
        <v>0</v>
      </c>
      <c r="AA8" s="36"/>
      <c r="AB8" s="36">
        <f>VLOOKUP($A8,[26]HISTOMAI25!$A$6:$AU$51,44,0)</f>
        <v>0</v>
      </c>
      <c r="AC8" s="36">
        <f>VLOOKUP($A8,[26]HISTOMAI25!$A$6:$AU$51,43,0)</f>
        <v>0</v>
      </c>
      <c r="AD8" s="36">
        <f>VLOOKUP($A8,[26]HISTOMAI25!$A$6:$BR$51,47,0)</f>
        <v>0</v>
      </c>
      <c r="AE8" s="36">
        <f>VLOOKUP(A8,[26]HISTOMAI25!$A$6:$BR$51,54,0)</f>
        <v>0</v>
      </c>
      <c r="AF8" s="36">
        <f>VLOOKUP($A8,[26]HISTOMAI25!$A$6:$BR$51,60,0)</f>
        <v>0</v>
      </c>
      <c r="AG8" s="36">
        <f>VLOOKUP($A8,[26]HISTOMAI25!$A$6:$CB$51,61,0)</f>
        <v>0</v>
      </c>
      <c r="AH8" s="36">
        <f>VLOOKUP($A8,[26]HISTOMAI25!$A$6:$CB$51,62,0)</f>
        <v>0</v>
      </c>
      <c r="AI8" s="36">
        <f>VLOOKUP($A8,[26]HISTOMAI25!$A$6:$CB$51,63,0)</f>
        <v>0</v>
      </c>
      <c r="AJ8" s="36">
        <f>VLOOKUP($A8,[26]HISTOMAI25!$A$6:$BR$51,64,0)</f>
        <v>0</v>
      </c>
      <c r="AK8" s="36">
        <f>VLOOKUP($A8,[26]HISTOMAI25!$A$6:$BR$51,65,0)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VLOOKUP($A9,[26]HISTOMAI25!$A$6:$BA$51,48,0)</f>
        <v>0</v>
      </c>
      <c r="F9" s="36">
        <f>VLOOKUP(A9,MVTAVRIL25!A9:AM45,6,0)+MVTAVRIL25!H9-E9+L9</f>
        <v>961137.3183641315</v>
      </c>
      <c r="G9" s="5">
        <f>IF(MVTMAI25!F9&gt;800000,(MVTAVRIL25!I9-E9+L9),0)</f>
        <v>961137.3183641315</v>
      </c>
      <c r="H9" s="36">
        <f>VLOOKUP(A9,[27]MVTMAI25!$A$6:$AM$42,8,0)</f>
        <v>0</v>
      </c>
      <c r="I9" s="6">
        <f t="shared" si="1"/>
        <v>961137.3183641315</v>
      </c>
      <c r="J9" s="36">
        <f>VLOOKUP($A9,[26]HISTOMAI25!$A$6:$AQ$51,22,0)</f>
        <v>0</v>
      </c>
      <c r="K9" s="36">
        <f>VLOOKUP($A9,[26]HISTOMAI25!$A$6:$AU$51,45,0)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VLOOKUP($A9,[26]HISTOMAI25!$A$6:$AU$51,8,0)</f>
        <v>0</v>
      </c>
      <c r="Q9" s="36">
        <f>VLOOKUP($A9,[26]HISTOMAI25!$A$6:$AU$51,23,0)</f>
        <v>0</v>
      </c>
      <c r="R9" s="36">
        <f>VLOOKUP($A9,[26]HISTOMAI25!$A$6:$AU$51,46,0)</f>
        <v>0</v>
      </c>
      <c r="S9" s="36">
        <f>VLOOKUP($A9,[26]HISTOMAI25!$A$6:$AU$51,26,0)</f>
        <v>0</v>
      </c>
      <c r="T9" s="36">
        <f>VLOOKUP($A9,[26]HISTOMAI25!$A$6:$BG$51,58,0)</f>
        <v>0</v>
      </c>
      <c r="U9" s="36">
        <f>VLOOKUP($A9,[26]HISTOMAI25!$A$6:$AU$51,28,0)</f>
        <v>0</v>
      </c>
      <c r="V9" s="36">
        <f>VLOOKUP($A9,[26]HISTOMAI25!$A$6:$AU$51,19,0)</f>
        <v>0</v>
      </c>
      <c r="W9" s="36">
        <f>VLOOKUP($A9,[26]HISTOMAI25!$A$6:$AU$51,20,0)</f>
        <v>0</v>
      </c>
      <c r="X9" s="36">
        <f>VLOOKUP($A9,[26]HISTOMAI25!$A$6:$AU$51,27,0)</f>
        <v>0</v>
      </c>
      <c r="Y9" s="36">
        <f>VLOOKUP($A9,[26]HISTOMAI25!$A$6:$BM$51,33,0)</f>
        <v>0</v>
      </c>
      <c r="Z9" s="36">
        <f>VLOOKUP($A9,[26]HISTOMAI25!$A$6:$BM$51,64,0)</f>
        <v>0</v>
      </c>
      <c r="AA9" s="36"/>
      <c r="AB9" s="36">
        <f>VLOOKUP($A9,[26]HISTOMAI25!$A$6:$AU$51,44,0)</f>
        <v>0</v>
      </c>
      <c r="AC9" s="36">
        <f>VLOOKUP($A9,[26]HISTOMAI25!$A$6:$AU$51,43,0)</f>
        <v>0</v>
      </c>
      <c r="AD9" s="36">
        <f>VLOOKUP($A9,[26]HISTOMAI25!$A$6:$BR$51,47,0)</f>
        <v>0</v>
      </c>
      <c r="AE9" s="36">
        <f>VLOOKUP(A9,[26]HISTOMAI25!$A$6:$BR$51,54,0)</f>
        <v>0</v>
      </c>
      <c r="AF9" s="36">
        <f>VLOOKUP($A9,[26]HISTOMAI25!$A$6:$BR$51,60,0)</f>
        <v>0</v>
      </c>
      <c r="AG9" s="36">
        <f>VLOOKUP($A9,[26]HISTOMAI25!$A$6:$CB$51,61,0)</f>
        <v>0</v>
      </c>
      <c r="AH9" s="36">
        <f>VLOOKUP($A9,[26]HISTOMAI25!$A$6:$CB$51,62,0)</f>
        <v>0</v>
      </c>
      <c r="AI9" s="36">
        <f>VLOOKUP($A9,[26]HISTOMAI25!$A$6:$CB$51,63,0)</f>
        <v>0</v>
      </c>
      <c r="AJ9" s="36">
        <f>VLOOKUP($A9,[26]HISTOMAI25!$A$6:$BR$51,64,0)</f>
        <v>0</v>
      </c>
      <c r="AK9" s="36">
        <f>VLOOKUP($A9,[26]HISTOMAI25!$A$6:$BR$51,65,0)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VLOOKUP($A10,[26]HISTOMAI25!$A$6:$BA$51,48,0)</f>
        <v>0</v>
      </c>
      <c r="F10" s="36">
        <f>VLOOKUP(A10,MVTAVRIL25!A10:AM46,6,0)+MVTAVRIL25!H10-E10+L10</f>
        <v>971425.7308667925</v>
      </c>
      <c r="G10" s="5">
        <f>IF(MVTMAI25!F10&gt;800000,(MVTAVRIL25!I10-E10+L10),0)</f>
        <v>971425.7308667925</v>
      </c>
      <c r="H10" s="36">
        <f>VLOOKUP(A10,[27]MVTMAI25!$A$6:$AM$42,8,0)</f>
        <v>0</v>
      </c>
      <c r="I10" s="6">
        <f t="shared" si="1"/>
        <v>971425.7308667925</v>
      </c>
      <c r="J10" s="36">
        <f>VLOOKUP($A10,[26]HISTOMAI25!$A$6:$AQ$51,22,0)</f>
        <v>0</v>
      </c>
      <c r="K10" s="36">
        <f>VLOOKUP($A10,[26]HISTOMAI25!$A$6:$AU$51,45,0)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VLOOKUP($A10,[26]HISTOMAI25!$A$6:$AU$51,8,0)</f>
        <v>0</v>
      </c>
      <c r="Q10" s="36">
        <f>VLOOKUP($A10,[26]HISTOMAI25!$A$6:$AU$51,23,0)</f>
        <v>0</v>
      </c>
      <c r="R10" s="36">
        <f>VLOOKUP($A10,[26]HISTOMAI25!$A$6:$AU$51,46,0)</f>
        <v>0</v>
      </c>
      <c r="S10" s="36">
        <f>VLOOKUP($A10,[26]HISTOMAI25!$A$6:$AU$51,26,0)</f>
        <v>0</v>
      </c>
      <c r="T10" s="36">
        <f>VLOOKUP($A10,[26]HISTOMAI25!$A$6:$BG$51,58,0)</f>
        <v>0</v>
      </c>
      <c r="U10" s="36">
        <f>VLOOKUP($A10,[26]HISTOMAI25!$A$6:$AU$51,28,0)</f>
        <v>0</v>
      </c>
      <c r="V10" s="36">
        <f>VLOOKUP($A10,[26]HISTOMAI25!$A$6:$AU$51,19,0)</f>
        <v>0</v>
      </c>
      <c r="W10" s="36">
        <f>VLOOKUP($A10,[26]HISTOMAI25!$A$6:$AU$51,20,0)</f>
        <v>0</v>
      </c>
      <c r="X10" s="36">
        <f>VLOOKUP($A10,[26]HISTOMAI25!$A$6:$AU$51,27,0)</f>
        <v>0</v>
      </c>
      <c r="Y10" s="36">
        <f>VLOOKUP($A10,[26]HISTOMAI25!$A$6:$BM$51,33,0)</f>
        <v>0</v>
      </c>
      <c r="Z10" s="36">
        <f>VLOOKUP($A10,[26]HISTOMAI25!$A$6:$BM$51,64,0)</f>
        <v>0</v>
      </c>
      <c r="AA10" s="36"/>
      <c r="AB10" s="36">
        <f>VLOOKUP($A10,[26]HISTOMAI25!$A$6:$AU$51,44,0)</f>
        <v>0</v>
      </c>
      <c r="AC10" s="36">
        <f>VLOOKUP($A10,[26]HISTOMAI25!$A$6:$AU$51,43,0)</f>
        <v>0</v>
      </c>
      <c r="AD10" s="36">
        <f>VLOOKUP($A10,[26]HISTOMAI25!$A$6:$BR$51,47,0)</f>
        <v>0</v>
      </c>
      <c r="AE10" s="36">
        <f>VLOOKUP(A10,[26]HISTOMAI25!$A$6:$BR$51,54,0)</f>
        <v>0</v>
      </c>
      <c r="AF10" s="36">
        <f>VLOOKUP($A10,[26]HISTOMAI25!$A$6:$BR$51,60,0)</f>
        <v>0</v>
      </c>
      <c r="AG10" s="36">
        <f>VLOOKUP($A10,[26]HISTOMAI25!$A$6:$CB$51,61,0)</f>
        <v>0</v>
      </c>
      <c r="AH10" s="36">
        <f>VLOOKUP($A10,[26]HISTOMAI25!$A$6:$CB$51,62,0)</f>
        <v>0</v>
      </c>
      <c r="AI10" s="36">
        <f>VLOOKUP($A10,[26]HISTOMAI25!$A$6:$CB$51,63,0)</f>
        <v>0</v>
      </c>
      <c r="AJ10" s="36">
        <f>VLOOKUP($A10,[26]HISTOMAI25!$A$6:$BR$51,64,0)</f>
        <v>0</v>
      </c>
      <c r="AK10" s="36">
        <f>VLOOKUP($A10,[26]HISTOMAI25!$A$6:$BR$51,65,0)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VLOOKUP($A11,[26]HISTOMAI25!$A$6:$BA$51,48,0)</f>
        <v>0</v>
      </c>
      <c r="F11" s="36">
        <f>VLOOKUP(A11,MVTAVRIL25!A11:AM47,6,0)+MVTAVRIL25!H11-E11+L11</f>
        <v>960862.96530022437</v>
      </c>
      <c r="G11" s="5">
        <f>IF(MVTMAI25!F11&gt;800000,(MVTAVRIL25!I11-E11+L11),0)</f>
        <v>960862.96530022437</v>
      </c>
      <c r="H11" s="36">
        <f>VLOOKUP(A11,[27]MVTMAI25!$A$6:$AM$42,8,0)</f>
        <v>0</v>
      </c>
      <c r="I11" s="6">
        <f t="shared" si="1"/>
        <v>960862.96530022437</v>
      </c>
      <c r="J11" s="36">
        <f>VLOOKUP($A11,[26]HISTOMAI25!$A$6:$AQ$51,22,0)</f>
        <v>0</v>
      </c>
      <c r="K11" s="36">
        <f>VLOOKUP($A11,[26]HISTOMAI25!$A$6:$AU$51,45,0)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VLOOKUP($A11,[26]HISTOMAI25!$A$6:$AU$51,8,0)</f>
        <v>0</v>
      </c>
      <c r="Q11" s="36">
        <f>VLOOKUP($A11,[26]HISTOMAI25!$A$6:$AU$51,23,0)</f>
        <v>0</v>
      </c>
      <c r="R11" s="36">
        <f>VLOOKUP($A11,[26]HISTOMAI25!$A$6:$AU$51,46,0)</f>
        <v>0</v>
      </c>
      <c r="S11" s="36">
        <f>VLOOKUP($A11,[26]HISTOMAI25!$A$6:$AU$51,26,0)</f>
        <v>0</v>
      </c>
      <c r="T11" s="36">
        <f>VLOOKUP($A11,[26]HISTOMAI25!$A$6:$BG$51,58,0)</f>
        <v>0</v>
      </c>
      <c r="U11" s="36">
        <f>VLOOKUP($A11,[26]HISTOMAI25!$A$6:$AU$51,28,0)</f>
        <v>0</v>
      </c>
      <c r="V11" s="36">
        <f>VLOOKUP($A11,[26]HISTOMAI25!$A$6:$AU$51,19,0)</f>
        <v>0</v>
      </c>
      <c r="W11" s="36">
        <f>VLOOKUP($A11,[26]HISTOMAI25!$A$6:$AU$51,20,0)</f>
        <v>0</v>
      </c>
      <c r="X11" s="36">
        <f>VLOOKUP($A11,[26]HISTOMAI25!$A$6:$AU$51,27,0)</f>
        <v>0</v>
      </c>
      <c r="Y11" s="36">
        <f>VLOOKUP($A11,[26]HISTOMAI25!$A$6:$BM$51,33,0)</f>
        <v>0</v>
      </c>
      <c r="Z11" s="36">
        <f>VLOOKUP($A11,[26]HISTOMAI25!$A$6:$BM$51,64,0)</f>
        <v>0</v>
      </c>
      <c r="AA11" s="36"/>
      <c r="AB11" s="36">
        <f>VLOOKUP($A11,[26]HISTOMAI25!$A$6:$AU$51,44,0)</f>
        <v>0</v>
      </c>
      <c r="AC11" s="36">
        <f>VLOOKUP($A11,[26]HISTOMAI25!$A$6:$AU$51,43,0)</f>
        <v>0</v>
      </c>
      <c r="AD11" s="36">
        <f>VLOOKUP($A11,[26]HISTOMAI25!$A$6:$BR$51,47,0)</f>
        <v>0</v>
      </c>
      <c r="AE11" s="36">
        <f>VLOOKUP(A11,[26]HISTOMAI25!$A$6:$BR$51,54,0)</f>
        <v>0</v>
      </c>
      <c r="AF11" s="36">
        <f>VLOOKUP($A11,[26]HISTOMAI25!$A$6:$BR$51,60,0)</f>
        <v>0</v>
      </c>
      <c r="AG11" s="36">
        <f>VLOOKUP($A11,[26]HISTOMAI25!$A$6:$CB$51,61,0)</f>
        <v>0</v>
      </c>
      <c r="AH11" s="36">
        <f>VLOOKUP($A11,[26]HISTOMAI25!$A$6:$CB$51,62,0)</f>
        <v>0</v>
      </c>
      <c r="AI11" s="36">
        <f>VLOOKUP($A11,[26]HISTOMAI25!$A$6:$CB$51,63,0)</f>
        <v>0</v>
      </c>
      <c r="AJ11" s="36">
        <f>VLOOKUP($A11,[26]HISTOMAI25!$A$6:$BR$51,64,0)</f>
        <v>0</v>
      </c>
      <c r="AK11" s="36">
        <f>VLOOKUP($A11,[26]HISTOMAI25!$A$6:$BR$51,65,0)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VLOOKUP($A12,[26]HISTOMAI25!$A$6:$BA$51,48,0)</f>
        <v>0</v>
      </c>
      <c r="F12" s="36">
        <f>VLOOKUP(A12,MVTAVRIL25!A12:AM48,6,0)+MVTAVRIL25!H12-E12+L12</f>
        <v>1680370.9161111314</v>
      </c>
      <c r="G12" s="5">
        <f>IF(MVTMAI25!F12&gt;800000,(MVTAVRIL25!I12-E12+L12),0)</f>
        <v>1680370.9161111314</v>
      </c>
      <c r="H12" s="36">
        <f>VLOOKUP(A12,[27]MVTMAI25!$A$6:$AM$42,8,0)</f>
        <v>0</v>
      </c>
      <c r="I12" s="6">
        <f t="shared" si="1"/>
        <v>1680370.9161111314</v>
      </c>
      <c r="J12" s="36">
        <f>VLOOKUP($A12,[26]HISTOMAI25!$A$6:$AQ$51,22,0)</f>
        <v>0</v>
      </c>
      <c r="K12" s="36">
        <f>VLOOKUP($A12,[26]HISTOMAI25!$A$6:$AU$51,45,0)</f>
        <v>35000</v>
      </c>
      <c r="L12" s="36">
        <f t="shared" si="2"/>
        <v>29000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VLOOKUP($A12,[26]HISTOMAI25!$A$6:$AU$51,8,0)</f>
        <v>0</v>
      </c>
      <c r="Q12" s="36">
        <f>VLOOKUP($A12,[26]HISTOMAI25!$A$6:$AU$51,23,0)</f>
        <v>0</v>
      </c>
      <c r="R12" s="36">
        <f>VLOOKUP($A12,[26]HISTOMAI25!$A$6:$AU$51,46,0)</f>
        <v>0</v>
      </c>
      <c r="S12" s="36">
        <f>VLOOKUP($A12,[26]HISTOMAI25!$A$6:$AU$51,26,0)</f>
        <v>0</v>
      </c>
      <c r="T12" s="36">
        <f>VLOOKUP($A12,[26]HISTOMAI25!$A$6:$BG$51,58,0)</f>
        <v>0</v>
      </c>
      <c r="U12" s="36">
        <f>VLOOKUP($A12,[26]HISTOMAI25!$A$6:$AU$51,28,0)</f>
        <v>0</v>
      </c>
      <c r="V12" s="36">
        <f>VLOOKUP($A12,[26]HISTOMAI25!$A$6:$AU$51,19,0)</f>
        <v>0</v>
      </c>
      <c r="W12" s="36">
        <f>VLOOKUP($A12,[26]HISTOMAI25!$A$6:$AU$51,20,0)</f>
        <v>0</v>
      </c>
      <c r="X12" s="36">
        <f>VLOOKUP($A12,[26]HISTOMAI25!$A$6:$AU$51,27,0)</f>
        <v>0</v>
      </c>
      <c r="Y12" s="36">
        <f>VLOOKUP($A12,[26]HISTOMAI25!$A$6:$BM$51,33,0)</f>
        <v>0</v>
      </c>
      <c r="Z12" s="36">
        <f>VLOOKUP($A12,[26]HISTOMAI25!$A$6:$BM$51,64,0)</f>
        <v>0</v>
      </c>
      <c r="AA12" s="36"/>
      <c r="AB12" s="36">
        <f>VLOOKUP($A12,[26]HISTOMAI25!$A$6:$AU$51,44,0)</f>
        <v>0</v>
      </c>
      <c r="AC12" s="36">
        <f>VLOOKUP($A12,[26]HISTOMAI25!$A$6:$AU$51,43,0)</f>
        <v>0</v>
      </c>
      <c r="AD12" s="36">
        <f>VLOOKUP($A12,[26]HISTOMAI25!$A$6:$BR$51,47,0)</f>
        <v>0</v>
      </c>
      <c r="AE12" s="36">
        <f>VLOOKUP(A12,[26]HISTOMAI25!$A$6:$BR$51,54,0)</f>
        <v>0</v>
      </c>
      <c r="AF12" s="36">
        <f>VLOOKUP($A12,[26]HISTOMAI25!$A$6:$BR$51,60,0)</f>
        <v>0</v>
      </c>
      <c r="AG12" s="36">
        <f>VLOOKUP($A12,[26]HISTOMAI25!$A$6:$CB$51,61,0)</f>
        <v>0</v>
      </c>
      <c r="AH12" s="36">
        <f>VLOOKUP($A12,[26]HISTOMAI25!$A$6:$CB$51,62,0)</f>
        <v>0</v>
      </c>
      <c r="AI12" s="36">
        <f>VLOOKUP($A12,[26]HISTOMAI25!$A$6:$CB$51,63,0)</f>
        <v>0</v>
      </c>
      <c r="AJ12" s="36">
        <f>VLOOKUP($A12,[26]HISTOMAI25!$A$6:$BR$51,64,0)</f>
        <v>0</v>
      </c>
      <c r="AK12" s="36">
        <f>VLOOKUP($A12,[26]HISTOMAI25!$A$6:$BR$51,65,0)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VLOOKUP($A13,[26]HISTOMAI25!$A$6:$BA$51,48,0)</f>
        <v>0</v>
      </c>
      <c r="F13" s="36">
        <f>VLOOKUP(A13,MVTAVRIL25!A13:AM49,6,0)+MVTAVRIL25!H13-E13+L13</f>
        <v>960839.16973006097</v>
      </c>
      <c r="G13" s="5">
        <f>IF(MVTMAI25!F13&gt;800000,(MVTAVRIL25!I13-E13+L13),0)</f>
        <v>960839.16973006097</v>
      </c>
      <c r="H13" s="36">
        <f>VLOOKUP(A13,[27]MVTMAI25!$A$6:$AM$42,8,0)</f>
        <v>0</v>
      </c>
      <c r="I13" s="6">
        <f t="shared" si="1"/>
        <v>960839.16973006097</v>
      </c>
      <c r="J13" s="36">
        <f>VLOOKUP($A13,[26]HISTOMAI25!$A$6:$AQ$51,22,0)</f>
        <v>0</v>
      </c>
      <c r="K13" s="36">
        <f>VLOOKUP($A13,[26]HISTOMAI25!$A$6:$AU$51,45,0)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VLOOKUP($A13,[26]HISTOMAI25!$A$6:$AU$51,8,0)</f>
        <v>0</v>
      </c>
      <c r="Q13" s="36">
        <f>VLOOKUP($A13,[26]HISTOMAI25!$A$6:$AU$51,23,0)</f>
        <v>0</v>
      </c>
      <c r="R13" s="36">
        <f>VLOOKUP($A13,[26]HISTOMAI25!$A$6:$AU$51,46,0)</f>
        <v>0</v>
      </c>
      <c r="S13" s="36">
        <f>VLOOKUP($A13,[26]HISTOMAI25!$A$6:$AU$51,26,0)</f>
        <v>0</v>
      </c>
      <c r="T13" s="36">
        <f>VLOOKUP($A13,[26]HISTOMAI25!$A$6:$BG$51,58,0)</f>
        <v>0</v>
      </c>
      <c r="U13" s="36">
        <f>VLOOKUP($A13,[26]HISTOMAI25!$A$6:$AU$51,28,0)</f>
        <v>0</v>
      </c>
      <c r="V13" s="36">
        <f>VLOOKUP($A13,[26]HISTOMAI25!$A$6:$AU$51,19,0)</f>
        <v>0</v>
      </c>
      <c r="W13" s="36">
        <f>VLOOKUP($A13,[26]HISTOMAI25!$A$6:$AU$51,20,0)</f>
        <v>0</v>
      </c>
      <c r="X13" s="36">
        <f>VLOOKUP($A13,[26]HISTOMAI25!$A$6:$AU$51,27,0)</f>
        <v>0</v>
      </c>
      <c r="Y13" s="36">
        <f>VLOOKUP($A13,[26]HISTOMAI25!$A$6:$BM$51,33,0)</f>
        <v>0</v>
      </c>
      <c r="Z13" s="36">
        <f>VLOOKUP($A13,[26]HISTOMAI25!$A$6:$BM$51,64,0)</f>
        <v>0</v>
      </c>
      <c r="AA13" s="36"/>
      <c r="AB13" s="36">
        <f>VLOOKUP($A13,[26]HISTOMAI25!$A$6:$AU$51,44,0)</f>
        <v>0</v>
      </c>
      <c r="AC13" s="36">
        <f>VLOOKUP($A13,[26]HISTOMAI25!$A$6:$AU$51,43,0)</f>
        <v>0</v>
      </c>
      <c r="AD13" s="36">
        <f>VLOOKUP($A13,[26]HISTOMAI25!$A$6:$BR$51,47,0)</f>
        <v>0</v>
      </c>
      <c r="AE13" s="36">
        <f>VLOOKUP(A13,[26]HISTOMAI25!$A$6:$BR$51,54,0)</f>
        <v>0</v>
      </c>
      <c r="AF13" s="36">
        <f>VLOOKUP($A13,[26]HISTOMAI25!$A$6:$BR$51,60,0)</f>
        <v>0</v>
      </c>
      <c r="AG13" s="36">
        <f>VLOOKUP($A13,[26]HISTOMAI25!$A$6:$CB$51,61,0)</f>
        <v>0</v>
      </c>
      <c r="AH13" s="36">
        <f>VLOOKUP($A13,[26]HISTOMAI25!$A$6:$CB$51,62,0)</f>
        <v>0</v>
      </c>
      <c r="AI13" s="36">
        <f>VLOOKUP($A13,[26]HISTOMAI25!$A$6:$CB$51,63,0)</f>
        <v>0</v>
      </c>
      <c r="AJ13" s="36">
        <f>VLOOKUP($A13,[26]HISTOMAI25!$A$6:$BR$51,64,0)</f>
        <v>0</v>
      </c>
      <c r="AK13" s="36">
        <f>VLOOKUP($A13,[26]HISTOMAI25!$A$6:$BR$51,65,0)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VLOOKUP($A14,[26]HISTOMAI25!$A$6:$BA$51,48,0)</f>
        <v>0</v>
      </c>
      <c r="F14" s="36">
        <f>VLOOKUP(A14,MVTAVRIL25!A14:AM50,6,0)+MVTAVRIL25!H14-E14+L14</f>
        <v>1707311.1164119579</v>
      </c>
      <c r="G14" s="5">
        <f>IF(MVTMAI25!F14&gt;800000,(MVTAVRIL25!I14-E14+L14),0)</f>
        <v>1707311.1164119579</v>
      </c>
      <c r="H14" s="36">
        <f>VLOOKUP(A14,[27]MVTMAI25!$A$6:$AM$42,8,0)</f>
        <v>0</v>
      </c>
      <c r="I14" s="6">
        <f t="shared" si="1"/>
        <v>1707311.1164119579</v>
      </c>
      <c r="J14" s="36">
        <f>VLOOKUP($A14,[26]HISTOMAI25!$A$6:$AQ$51,22,0)</f>
        <v>0</v>
      </c>
      <c r="K14" s="36">
        <f>VLOOKUP($A14,[26]HISTOMAI25!$A$6:$AU$51,45,0)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VLOOKUP($A14,[26]HISTOMAI25!$A$6:$AU$51,8,0)</f>
        <v>0</v>
      </c>
      <c r="Q14" s="36">
        <f>VLOOKUP($A14,[26]HISTOMAI25!$A$6:$AU$51,23,0)</f>
        <v>0</v>
      </c>
      <c r="R14" s="36">
        <f>VLOOKUP($A14,[26]HISTOMAI25!$A$6:$AU$51,46,0)</f>
        <v>0</v>
      </c>
      <c r="S14" s="36">
        <f>VLOOKUP($A14,[26]HISTOMAI25!$A$6:$AU$51,26,0)</f>
        <v>0</v>
      </c>
      <c r="T14" s="36">
        <f>VLOOKUP($A14,[26]HISTOMAI25!$A$6:$BG$51,58,0)</f>
        <v>0</v>
      </c>
      <c r="U14" s="36">
        <f>VLOOKUP($A14,[26]HISTOMAI25!$A$6:$AU$51,28,0)</f>
        <v>0</v>
      </c>
      <c r="V14" s="36">
        <f>VLOOKUP($A14,[26]HISTOMAI25!$A$6:$AU$51,19,0)</f>
        <v>0</v>
      </c>
      <c r="W14" s="36">
        <f>VLOOKUP($A14,[26]HISTOMAI25!$A$6:$AU$51,20,0)</f>
        <v>0</v>
      </c>
      <c r="X14" s="36">
        <f>VLOOKUP($A14,[26]HISTOMAI25!$A$6:$AU$51,27,0)</f>
        <v>0</v>
      </c>
      <c r="Y14" s="36">
        <f>VLOOKUP($A14,[26]HISTOMAI25!$A$6:$BM$51,33,0)</f>
        <v>0</v>
      </c>
      <c r="Z14" s="36">
        <f>VLOOKUP($A14,[26]HISTOMAI25!$A$6:$BM$51,64,0)</f>
        <v>0</v>
      </c>
      <c r="AA14" s="36"/>
      <c r="AB14" s="36">
        <f>VLOOKUP($A14,[26]HISTOMAI25!$A$6:$AU$51,44,0)</f>
        <v>0</v>
      </c>
      <c r="AC14" s="36">
        <f>VLOOKUP($A14,[26]HISTOMAI25!$A$6:$AU$51,43,0)</f>
        <v>0</v>
      </c>
      <c r="AD14" s="36">
        <f>VLOOKUP($A14,[26]HISTOMAI25!$A$6:$BR$51,47,0)</f>
        <v>0</v>
      </c>
      <c r="AE14" s="36">
        <f>VLOOKUP(A14,[26]HISTOMAI25!$A$6:$BR$51,54,0)</f>
        <v>0</v>
      </c>
      <c r="AF14" s="36">
        <f>VLOOKUP($A14,[26]HISTOMAI25!$A$6:$BR$51,60,0)</f>
        <v>0</v>
      </c>
      <c r="AG14" s="36">
        <f>VLOOKUP($A14,[26]HISTOMAI25!$A$6:$CB$51,61,0)</f>
        <v>0</v>
      </c>
      <c r="AH14" s="36">
        <f>VLOOKUP($A14,[26]HISTOMAI25!$A$6:$CB$51,62,0)</f>
        <v>0</v>
      </c>
      <c r="AI14" s="36">
        <f>VLOOKUP($A14,[26]HISTOMAI25!$A$6:$CB$51,63,0)</f>
        <v>0</v>
      </c>
      <c r="AJ14" s="36">
        <f>VLOOKUP($A14,[26]HISTOMAI25!$A$6:$BR$51,64,0)</f>
        <v>0</v>
      </c>
      <c r="AK14" s="36">
        <f>VLOOKUP($A14,[26]HISTOMAI25!$A$6:$BR$51,65,0)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VLOOKUP($A15,[26]HISTOMAI25!$A$6:$BA$51,48,0)</f>
        <v>0</v>
      </c>
      <c r="F15" s="36">
        <f>VLOOKUP(A15,MVTAVRIL25!A15:AM51,6,0)+MVTAVRIL25!H15-E15+L15</f>
        <v>95000</v>
      </c>
      <c r="G15" s="5">
        <f>IF(MVTMAI25!F15&gt;800000,(MVTAVRIL25!I15-E15+L15),0)</f>
        <v>0</v>
      </c>
      <c r="H15" s="36">
        <f>VLOOKUP(A15,[27]MVTMAI25!$A$6:$AM$42,8,0)</f>
        <v>0</v>
      </c>
      <c r="I15" s="6">
        <f t="shared" si="1"/>
        <v>95000</v>
      </c>
      <c r="J15" s="36">
        <f>VLOOKUP($A15,[26]HISTOMAI25!$A$6:$AQ$51,22,0)</f>
        <v>0</v>
      </c>
      <c r="K15" s="36">
        <f>VLOOKUP($A15,[26]HISTOMAI25!$A$6:$AU$51,45,0)</f>
        <v>25000</v>
      </c>
      <c r="L15" s="36">
        <f t="shared" si="2"/>
        <v>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VLOOKUP($A15,[26]HISTOMAI25!$A$6:$AU$51,8,0)</f>
        <v>0</v>
      </c>
      <c r="Q15" s="36">
        <f>VLOOKUP($A15,[26]HISTOMAI25!$A$6:$AU$51,23,0)</f>
        <v>0</v>
      </c>
      <c r="R15" s="36">
        <f>VLOOKUP($A15,[26]HISTOMAI25!$A$6:$AU$51,46,0)</f>
        <v>0</v>
      </c>
      <c r="S15" s="36">
        <f>VLOOKUP($A15,[26]HISTOMAI25!$A$6:$AU$51,26,0)</f>
        <v>0</v>
      </c>
      <c r="T15" s="36">
        <f>VLOOKUP($A15,[26]HISTOMAI25!$A$6:$BG$51,58,0)</f>
        <v>0</v>
      </c>
      <c r="U15" s="36">
        <f>VLOOKUP($A15,[26]HISTOMAI25!$A$6:$AU$51,28,0)</f>
        <v>0</v>
      </c>
      <c r="V15" s="36">
        <f>VLOOKUP($A15,[26]HISTOMAI25!$A$6:$AU$51,19,0)</f>
        <v>0</v>
      </c>
      <c r="W15" s="36">
        <f>VLOOKUP($A15,[26]HISTOMAI25!$A$6:$AU$51,20,0)</f>
        <v>0</v>
      </c>
      <c r="X15" s="36">
        <f>VLOOKUP($A15,[26]HISTOMAI25!$A$6:$AU$51,27,0)</f>
        <v>0</v>
      </c>
      <c r="Y15" s="36">
        <f>VLOOKUP($A15,[26]HISTOMAI25!$A$6:$BM$51,33,0)</f>
        <v>0</v>
      </c>
      <c r="Z15" s="36">
        <f>VLOOKUP($A15,[26]HISTOMAI25!$A$6:$BM$51,64,0)</f>
        <v>0</v>
      </c>
      <c r="AA15" s="36"/>
      <c r="AB15" s="36">
        <f>VLOOKUP($A15,[26]HISTOMAI25!$A$6:$AU$51,44,0)</f>
        <v>0</v>
      </c>
      <c r="AC15" s="36">
        <f>VLOOKUP($A15,[26]HISTOMAI25!$A$6:$AU$51,43,0)</f>
        <v>0</v>
      </c>
      <c r="AD15" s="36">
        <f>VLOOKUP($A15,[26]HISTOMAI25!$A$6:$BR$51,47,0)</f>
        <v>0</v>
      </c>
      <c r="AE15" s="36">
        <f>VLOOKUP(A15,[26]HISTOMAI25!$A$6:$BR$51,54,0)</f>
        <v>0</v>
      </c>
      <c r="AF15" s="36">
        <f>VLOOKUP($A15,[26]HISTOMAI25!$A$6:$BR$51,60,0)</f>
        <v>0</v>
      </c>
      <c r="AG15" s="36">
        <f>VLOOKUP($A15,[26]HISTOMAI25!$A$6:$CB$51,61,0)</f>
        <v>0</v>
      </c>
      <c r="AH15" s="36">
        <f>VLOOKUP($A15,[26]HISTOMAI25!$A$6:$CB$51,62,0)</f>
        <v>0</v>
      </c>
      <c r="AI15" s="36">
        <f>VLOOKUP($A15,[26]HISTOMAI25!$A$6:$CB$51,63,0)</f>
        <v>0</v>
      </c>
      <c r="AJ15" s="36">
        <f>VLOOKUP($A15,[26]HISTOMAI25!$A$6:$BR$51,64,0)</f>
        <v>0</v>
      </c>
      <c r="AK15" s="36">
        <f>VLOOKUP($A15,[26]HISTOMAI25!$A$6:$BR$51,65,0)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VLOOKUP($A16,[26]HISTOMAI25!$A$6:$BA$51,48,0)</f>
        <v>0</v>
      </c>
      <c r="F16" s="36">
        <f>VLOOKUP(A16,MVTAVRIL25!A16:AM52,6,0)+MVTAVRIL25!H16-E16+L16</f>
        <v>956672.27536945511</v>
      </c>
      <c r="G16" s="5">
        <f>IF(MVTMAI25!F16&gt;800000,(MVTAVRIL25!I16-E16+L16),0)</f>
        <v>956672.27536945511</v>
      </c>
      <c r="H16" s="36">
        <f>VLOOKUP(A16,[27]MVTMAI25!$A$6:$AM$42,8,0)</f>
        <v>0</v>
      </c>
      <c r="I16" s="6">
        <f t="shared" si="1"/>
        <v>956672.27536945511</v>
      </c>
      <c r="J16" s="36">
        <f>VLOOKUP($A16,[26]HISTOMAI25!$A$6:$AQ$51,22,0)</f>
        <v>0</v>
      </c>
      <c r="K16" s="36">
        <f>VLOOKUP($A16,[26]HISTOMAI25!$A$6:$AU$51,45,0)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VLOOKUP($A16,[26]HISTOMAI25!$A$6:$AU$51,8,0)</f>
        <v>0</v>
      </c>
      <c r="Q16" s="36">
        <f>VLOOKUP($A16,[26]HISTOMAI25!$A$6:$AU$51,23,0)</f>
        <v>0</v>
      </c>
      <c r="R16" s="36">
        <f>VLOOKUP($A16,[26]HISTOMAI25!$A$6:$AU$51,46,0)</f>
        <v>0</v>
      </c>
      <c r="S16" s="36">
        <f>VLOOKUP($A16,[26]HISTOMAI25!$A$6:$AU$51,26,0)</f>
        <v>0</v>
      </c>
      <c r="T16" s="36">
        <f>VLOOKUP($A16,[26]HISTOMAI25!$A$6:$BG$51,58,0)</f>
        <v>0</v>
      </c>
      <c r="U16" s="36">
        <f>VLOOKUP($A16,[26]HISTOMAI25!$A$6:$AU$51,28,0)</f>
        <v>0</v>
      </c>
      <c r="V16" s="36">
        <f>VLOOKUP($A16,[26]HISTOMAI25!$A$6:$AU$51,19,0)</f>
        <v>0</v>
      </c>
      <c r="W16" s="36">
        <f>VLOOKUP($A16,[26]HISTOMAI25!$A$6:$AU$51,20,0)</f>
        <v>0</v>
      </c>
      <c r="X16" s="36">
        <f>VLOOKUP($A16,[26]HISTOMAI25!$A$6:$AU$51,27,0)</f>
        <v>0</v>
      </c>
      <c r="Y16" s="36">
        <f>VLOOKUP($A16,[26]HISTOMAI25!$A$6:$BM$51,33,0)</f>
        <v>0</v>
      </c>
      <c r="Z16" s="36">
        <f>VLOOKUP($A16,[26]HISTOMAI25!$A$6:$BM$51,64,0)</f>
        <v>0</v>
      </c>
      <c r="AA16" s="36"/>
      <c r="AB16" s="36">
        <f>VLOOKUP($A16,[26]HISTOMAI25!$A$6:$AU$51,44,0)</f>
        <v>0</v>
      </c>
      <c r="AC16" s="36">
        <f>VLOOKUP($A16,[26]HISTOMAI25!$A$6:$AU$51,43,0)</f>
        <v>0</v>
      </c>
      <c r="AD16" s="36">
        <f>VLOOKUP($A16,[26]HISTOMAI25!$A$6:$BR$51,47,0)</f>
        <v>0</v>
      </c>
      <c r="AE16" s="36">
        <f>VLOOKUP(A16,[26]HISTOMAI25!$A$6:$BR$51,54,0)</f>
        <v>0</v>
      </c>
      <c r="AF16" s="36">
        <f>VLOOKUP($A16,[26]HISTOMAI25!$A$6:$BR$51,60,0)</f>
        <v>0</v>
      </c>
      <c r="AG16" s="36">
        <f>VLOOKUP($A16,[26]HISTOMAI25!$A$6:$CB$51,61,0)</f>
        <v>0</v>
      </c>
      <c r="AH16" s="36">
        <f>VLOOKUP($A16,[26]HISTOMAI25!$A$6:$CB$51,62,0)</f>
        <v>0</v>
      </c>
      <c r="AI16" s="36">
        <f>VLOOKUP($A16,[26]HISTOMAI25!$A$6:$CB$51,63,0)</f>
        <v>0</v>
      </c>
      <c r="AJ16" s="36">
        <f>VLOOKUP($A16,[26]HISTOMAI25!$A$6:$BR$51,64,0)</f>
        <v>0</v>
      </c>
      <c r="AK16" s="36">
        <f>VLOOKUP($A16,[26]HISTOMAI25!$A$6:$BR$51,65,0)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VLOOKUP($A17,[26]HISTOMAI25!$A$6:$BA$51,48,0)</f>
        <v>0</v>
      </c>
      <c r="F17" s="36">
        <f>VLOOKUP(A17,MVTAVRIL25!A17:AM53,6,0)+MVTAVRIL25!H17-E17+L17</f>
        <v>1092859.9095470994</v>
      </c>
      <c r="G17" s="5">
        <f>IF(MVTMAI25!F17&gt;800000,(MVTAVRIL25!I17-E17+L17),0)</f>
        <v>1092859.9095470994</v>
      </c>
      <c r="H17" s="36">
        <f>VLOOKUP(A17,[27]MVTMAI25!$A$6:$AM$42,8,0)</f>
        <v>0</v>
      </c>
      <c r="I17" s="6">
        <f t="shared" si="1"/>
        <v>1092859.9095470994</v>
      </c>
      <c r="J17" s="36">
        <f>VLOOKUP($A17,[26]HISTOMAI25!$A$6:$AQ$51,22,0)</f>
        <v>0</v>
      </c>
      <c r="K17" s="36">
        <f>VLOOKUP($A17,[26]HISTOMAI25!$A$6:$AU$51,45,0)</f>
        <v>50000</v>
      </c>
      <c r="L17" s="36">
        <f t="shared" si="2"/>
        <v>44000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VLOOKUP($A17,[26]HISTOMAI25!$A$6:$AU$51,8,0)</f>
        <v>0</v>
      </c>
      <c r="Q17" s="36">
        <f>VLOOKUP($A17,[26]HISTOMAI25!$A$6:$AU$51,23,0)</f>
        <v>0</v>
      </c>
      <c r="R17" s="36">
        <f>VLOOKUP($A17,[26]HISTOMAI25!$A$6:$AU$51,46,0)</f>
        <v>0</v>
      </c>
      <c r="S17" s="36">
        <f>VLOOKUP($A17,[26]HISTOMAI25!$A$6:$AU$51,26,0)</f>
        <v>0</v>
      </c>
      <c r="T17" s="36">
        <f>VLOOKUP($A17,[26]HISTOMAI25!$A$6:$BG$51,58,0)</f>
        <v>0</v>
      </c>
      <c r="U17" s="36">
        <f>VLOOKUP($A17,[26]HISTOMAI25!$A$6:$AU$51,28,0)</f>
        <v>0</v>
      </c>
      <c r="V17" s="36">
        <f>VLOOKUP($A17,[26]HISTOMAI25!$A$6:$AU$51,19,0)</f>
        <v>0</v>
      </c>
      <c r="W17" s="36">
        <f>VLOOKUP($A17,[26]HISTOMAI25!$A$6:$AU$51,20,0)</f>
        <v>0</v>
      </c>
      <c r="X17" s="36">
        <f>VLOOKUP($A17,[26]HISTOMAI25!$A$6:$AU$51,27,0)</f>
        <v>0</v>
      </c>
      <c r="Y17" s="36">
        <f>VLOOKUP($A17,[26]HISTOMAI25!$A$6:$BM$51,33,0)</f>
        <v>0</v>
      </c>
      <c r="Z17" s="36">
        <f>VLOOKUP($A17,[26]HISTOMAI25!$A$6:$BM$51,64,0)</f>
        <v>0</v>
      </c>
      <c r="AA17" s="36"/>
      <c r="AB17" s="36">
        <f>VLOOKUP($A17,[26]HISTOMAI25!$A$6:$AU$51,44,0)</f>
        <v>0</v>
      </c>
      <c r="AC17" s="36">
        <f>VLOOKUP($A17,[26]HISTOMAI25!$A$6:$AU$51,43,0)</f>
        <v>0</v>
      </c>
      <c r="AD17" s="36">
        <f>VLOOKUP($A17,[26]HISTOMAI25!$A$6:$BR$51,47,0)</f>
        <v>0</v>
      </c>
      <c r="AE17" s="36">
        <f>VLOOKUP(A17,[26]HISTOMAI25!$A$6:$BR$51,54,0)</f>
        <v>0</v>
      </c>
      <c r="AF17" s="36">
        <f>VLOOKUP($A17,[26]HISTOMAI25!$A$6:$BR$51,60,0)</f>
        <v>0</v>
      </c>
      <c r="AG17" s="36">
        <f>VLOOKUP($A17,[26]HISTOMAI25!$A$6:$CB$51,61,0)</f>
        <v>0</v>
      </c>
      <c r="AH17" s="36">
        <f>VLOOKUP($A17,[26]HISTOMAI25!$A$6:$CB$51,62,0)</f>
        <v>0</v>
      </c>
      <c r="AI17" s="36">
        <f>VLOOKUP($A17,[26]HISTOMAI25!$A$6:$CB$51,63,0)</f>
        <v>0</v>
      </c>
      <c r="AJ17" s="36">
        <f>VLOOKUP($A17,[26]HISTOMAI25!$A$6:$BR$51,64,0)</f>
        <v>0</v>
      </c>
      <c r="AK17" s="36">
        <f>VLOOKUP($A17,[26]HISTOMAI25!$A$6:$BR$51,65,0)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VLOOKUP($A18,[26]HISTOMAI25!$A$6:$BA$51,48,0)</f>
        <v>0</v>
      </c>
      <c r="F18" s="36">
        <f>VLOOKUP(A18,MVTAVRIL25!A18:AM54,6,0)+MVTAVRIL25!H18-E18+L18</f>
        <v>960826.30000484944</v>
      </c>
      <c r="G18" s="5">
        <f>IF(MVTMAI25!F18&gt;800000,(MVTAVRIL25!I18-E18+L18),0)</f>
        <v>960826.30000484944</v>
      </c>
      <c r="H18" s="36">
        <f>VLOOKUP(A18,[27]MVTMAI25!$A$6:$AM$42,8,0)</f>
        <v>0</v>
      </c>
      <c r="I18" s="6">
        <f t="shared" si="1"/>
        <v>960826.30000484944</v>
      </c>
      <c r="J18" s="36">
        <f>VLOOKUP($A18,[26]HISTOMAI25!$A$6:$AQ$51,22,0)</f>
        <v>0</v>
      </c>
      <c r="K18" s="36">
        <f>VLOOKUP($A18,[26]HISTOMAI25!$A$6:$AU$51,45,0)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VLOOKUP($A18,[26]HISTOMAI25!$A$6:$AU$51,8,0)</f>
        <v>0</v>
      </c>
      <c r="Q18" s="36">
        <f>VLOOKUP($A18,[26]HISTOMAI25!$A$6:$AU$51,23,0)</f>
        <v>0</v>
      </c>
      <c r="R18" s="36">
        <f>VLOOKUP($A18,[26]HISTOMAI25!$A$6:$AU$51,46,0)</f>
        <v>0</v>
      </c>
      <c r="S18" s="36">
        <f>VLOOKUP($A18,[26]HISTOMAI25!$A$6:$AU$51,26,0)</f>
        <v>0</v>
      </c>
      <c r="T18" s="36">
        <f>VLOOKUP($A18,[26]HISTOMAI25!$A$6:$BG$51,58,0)</f>
        <v>0</v>
      </c>
      <c r="U18" s="36">
        <f>VLOOKUP($A18,[26]HISTOMAI25!$A$6:$AU$51,28,0)</f>
        <v>0</v>
      </c>
      <c r="V18" s="36">
        <f>VLOOKUP($A18,[26]HISTOMAI25!$A$6:$AU$51,19,0)</f>
        <v>0</v>
      </c>
      <c r="W18" s="36">
        <f>VLOOKUP($A18,[26]HISTOMAI25!$A$6:$AU$51,20,0)</f>
        <v>0</v>
      </c>
      <c r="X18" s="36">
        <f>VLOOKUP($A18,[26]HISTOMAI25!$A$6:$AU$51,27,0)</f>
        <v>0</v>
      </c>
      <c r="Y18" s="36">
        <f>VLOOKUP($A18,[26]HISTOMAI25!$A$6:$BM$51,33,0)</f>
        <v>0</v>
      </c>
      <c r="Z18" s="36">
        <f>VLOOKUP($A18,[26]HISTOMAI25!$A$6:$BM$51,64,0)</f>
        <v>0</v>
      </c>
      <c r="AA18" s="36"/>
      <c r="AB18" s="36">
        <f>VLOOKUP($A18,[26]HISTOMAI25!$A$6:$AU$51,44,0)</f>
        <v>0</v>
      </c>
      <c r="AC18" s="36">
        <f>VLOOKUP($A18,[26]HISTOMAI25!$A$6:$AU$51,43,0)</f>
        <v>0</v>
      </c>
      <c r="AD18" s="36">
        <f>VLOOKUP($A18,[26]HISTOMAI25!$A$6:$BR$51,47,0)</f>
        <v>0</v>
      </c>
      <c r="AE18" s="36">
        <f>VLOOKUP(A18,[26]HISTOMAI25!$A$6:$BR$51,54,0)</f>
        <v>0</v>
      </c>
      <c r="AF18" s="36">
        <f>VLOOKUP($A18,[26]HISTOMAI25!$A$6:$BR$51,60,0)</f>
        <v>0</v>
      </c>
      <c r="AG18" s="36">
        <f>VLOOKUP($A18,[26]HISTOMAI25!$A$6:$CB$51,61,0)</f>
        <v>0</v>
      </c>
      <c r="AH18" s="36">
        <f>VLOOKUP($A18,[26]HISTOMAI25!$A$6:$CB$51,62,0)</f>
        <v>0</v>
      </c>
      <c r="AI18" s="36">
        <f>VLOOKUP($A18,[26]HISTOMAI25!$A$6:$CB$51,63,0)</f>
        <v>0</v>
      </c>
      <c r="AJ18" s="36">
        <f>VLOOKUP($A18,[26]HISTOMAI25!$A$6:$BR$51,64,0)</f>
        <v>0</v>
      </c>
      <c r="AK18" s="36">
        <f>VLOOKUP($A18,[26]HISTOMAI25!$A$6:$BR$51,65,0)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VLOOKUP($A19,[26]HISTOMAI25!$A$6:$BA$51,48,0)</f>
        <v>0</v>
      </c>
      <c r="F19" s="36">
        <f>VLOOKUP(A19,MVTAVRIL25!A19:AM55,6,0)+MVTAVRIL25!H19-E19+L19</f>
        <v>1004742.1499443398</v>
      </c>
      <c r="G19" s="5">
        <f>IF(MVTMAI25!F19&gt;800000,(MVTAVRIL25!I19-E19+L19),0)</f>
        <v>1004742.1499443398</v>
      </c>
      <c r="H19" s="36">
        <f>VLOOKUP(A19,[27]MVTMAI25!$A$6:$AM$42,8,0)</f>
        <v>0</v>
      </c>
      <c r="I19" s="6">
        <f t="shared" si="1"/>
        <v>1004742.1499443398</v>
      </c>
      <c r="J19" s="36">
        <f>VLOOKUP($A19,[26]HISTOMAI25!$A$6:$AQ$51,22,0)</f>
        <v>0</v>
      </c>
      <c r="K19" s="36">
        <f>VLOOKUP($A19,[26]HISTOMAI25!$A$6:$AU$51,45,0)</f>
        <v>25000</v>
      </c>
      <c r="L19" s="36">
        <f t="shared" si="2"/>
        <v>19000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VLOOKUP($A19,[26]HISTOMAI25!$A$6:$AU$51,8,0)</f>
        <v>0</v>
      </c>
      <c r="Q19" s="36">
        <f>VLOOKUP($A19,[26]HISTOMAI25!$A$6:$AU$51,23,0)</f>
        <v>0</v>
      </c>
      <c r="R19" s="36">
        <f>VLOOKUP($A19,[26]HISTOMAI25!$A$6:$AU$51,46,0)</f>
        <v>0</v>
      </c>
      <c r="S19" s="36">
        <f>VLOOKUP($A19,[26]HISTOMAI25!$A$6:$AU$51,26,0)</f>
        <v>0</v>
      </c>
      <c r="T19" s="36">
        <f>VLOOKUP($A19,[26]HISTOMAI25!$A$6:$BG$51,58,0)</f>
        <v>0</v>
      </c>
      <c r="U19" s="36">
        <f>VLOOKUP($A19,[26]HISTOMAI25!$A$6:$AU$51,28,0)</f>
        <v>0</v>
      </c>
      <c r="V19" s="36">
        <f>VLOOKUP($A19,[26]HISTOMAI25!$A$6:$AU$51,19,0)</f>
        <v>0</v>
      </c>
      <c r="W19" s="36">
        <f>VLOOKUP($A19,[26]HISTOMAI25!$A$6:$AU$51,20,0)</f>
        <v>0</v>
      </c>
      <c r="X19" s="36">
        <f>VLOOKUP($A19,[26]HISTOMAI25!$A$6:$AU$51,27,0)</f>
        <v>0</v>
      </c>
      <c r="Y19" s="36">
        <f>VLOOKUP($A19,[26]HISTOMAI25!$A$6:$BM$51,33,0)</f>
        <v>0</v>
      </c>
      <c r="Z19" s="36">
        <f>VLOOKUP($A19,[26]HISTOMAI25!$A$6:$BM$51,64,0)</f>
        <v>0</v>
      </c>
      <c r="AA19" s="36"/>
      <c r="AB19" s="36">
        <f>VLOOKUP($A19,[26]HISTOMAI25!$A$6:$AU$51,44,0)</f>
        <v>0</v>
      </c>
      <c r="AC19" s="36">
        <f>VLOOKUP($A19,[26]HISTOMAI25!$A$6:$AU$51,43,0)</f>
        <v>0</v>
      </c>
      <c r="AD19" s="36">
        <f>VLOOKUP($A19,[26]HISTOMAI25!$A$6:$BR$51,47,0)</f>
        <v>0</v>
      </c>
      <c r="AE19" s="36">
        <f>VLOOKUP(A19,[26]HISTOMAI25!$A$6:$BR$51,54,0)</f>
        <v>0</v>
      </c>
      <c r="AF19" s="36">
        <f>VLOOKUP($A19,[26]HISTOMAI25!$A$6:$BR$51,60,0)</f>
        <v>0</v>
      </c>
      <c r="AG19" s="36">
        <f>VLOOKUP($A19,[26]HISTOMAI25!$A$6:$CB$51,61,0)</f>
        <v>0</v>
      </c>
      <c r="AH19" s="36">
        <f>VLOOKUP($A19,[26]HISTOMAI25!$A$6:$CB$51,62,0)</f>
        <v>0</v>
      </c>
      <c r="AI19" s="36">
        <f>VLOOKUP($A19,[26]HISTOMAI25!$A$6:$CB$51,63,0)</f>
        <v>0</v>
      </c>
      <c r="AJ19" s="36">
        <f>VLOOKUP($A19,[26]HISTOMAI25!$A$6:$BR$51,64,0)</f>
        <v>0</v>
      </c>
      <c r="AK19" s="36">
        <f>VLOOKUP($A19,[26]HISTOMAI25!$A$6:$BR$51,65,0)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VLOOKUP($A20,[26]HISTOMAI25!$A$6:$BA$51,48,0)</f>
        <v>0</v>
      </c>
      <c r="F20" s="36">
        <f>VLOOKUP(A20,MVTAVRIL25!A20:AM56,6,0)+MVTAVRIL25!H20-E20+L20</f>
        <v>200000</v>
      </c>
      <c r="G20" s="5">
        <f>IF(MVTMAI25!F20&gt;800000,(MVTAVRIL25!I20-E20+L20),0)</f>
        <v>0</v>
      </c>
      <c r="H20" s="36">
        <f>VLOOKUP(A20,[27]MVTMAI25!$A$6:$AM$42,8,0)</f>
        <v>0</v>
      </c>
      <c r="I20" s="6">
        <f t="shared" ref="I20" si="5">F20+H20</f>
        <v>200000</v>
      </c>
      <c r="J20" s="36">
        <f>VLOOKUP($A20,[26]HISTOMAI25!$A$6:$AQ$51,22,0)</f>
        <v>0</v>
      </c>
      <c r="K20" s="36">
        <f>VLOOKUP($A20,[26]HISTOMAI25!$A$6:$AU$51,45,0)</f>
        <v>0</v>
      </c>
      <c r="L20" s="36">
        <f>IF(K20=0,0,K20-(M20+N20+O20))</f>
        <v>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VLOOKUP($A20,[26]HISTOMAI25!$A$6:$AU$51,8,0)</f>
        <v>0</v>
      </c>
      <c r="Q20" s="36">
        <f>VLOOKUP($A20,[26]HISTOMAI25!$A$6:$AU$51,23,0)</f>
        <v>0</v>
      </c>
      <c r="R20" s="36">
        <f>VLOOKUP($A20,[26]HISTOMAI25!$A$6:$AU$51,46,0)</f>
        <v>0</v>
      </c>
      <c r="S20" s="36">
        <f>VLOOKUP($A20,[26]HISTOMAI25!$A$6:$AU$51,26,0)</f>
        <v>0</v>
      </c>
      <c r="T20" s="36">
        <f>VLOOKUP($A20,[26]HISTOMAI25!$A$6:$BG$51,58,0)</f>
        <v>0</v>
      </c>
      <c r="U20" s="36">
        <f>VLOOKUP($A20,[26]HISTOMAI25!$A$6:$AU$51,28,0)</f>
        <v>0</v>
      </c>
      <c r="V20" s="36">
        <f>VLOOKUP($A20,[26]HISTOMAI25!$A$6:$AU$51,19,0)</f>
        <v>0</v>
      </c>
      <c r="W20" s="36">
        <f>VLOOKUP($A20,[26]HISTOMAI25!$A$6:$AU$51,20,0)</f>
        <v>0</v>
      </c>
      <c r="X20" s="36">
        <f>VLOOKUP($A20,[26]HISTOMAI25!$A$6:$AU$51,27,0)</f>
        <v>0</v>
      </c>
      <c r="Y20" s="36">
        <f>VLOOKUP($A20,[26]HISTOMAI25!$A$6:$BM$51,33,0)</f>
        <v>0</v>
      </c>
      <c r="Z20" s="36">
        <f>VLOOKUP($A20,[26]HISTOMAI25!$A$6:$BM$51,64,0)</f>
        <v>0</v>
      </c>
      <c r="AA20" s="36"/>
      <c r="AB20" s="36">
        <f>VLOOKUP($A20,[26]HISTOMAI25!$A$6:$AU$51,44,0)</f>
        <v>0</v>
      </c>
      <c r="AC20" s="36">
        <f>VLOOKUP($A20,[26]HISTOMAI25!$A$6:$AU$51,43,0)</f>
        <v>0</v>
      </c>
      <c r="AD20" s="36">
        <f>VLOOKUP($A20,[26]HISTOMAI25!$A$6:$BR$51,47,0)</f>
        <v>0</v>
      </c>
      <c r="AE20" s="36">
        <f>VLOOKUP(A20,[26]HISTOMAI25!$A$6:$BR$51,54,0)</f>
        <v>0</v>
      </c>
      <c r="AF20" s="36">
        <f>VLOOKUP($A20,[26]HISTOMAI25!$A$6:$BR$51,60,0)</f>
        <v>0</v>
      </c>
      <c r="AG20" s="36">
        <f>VLOOKUP($A20,[26]HISTOMAI25!$A$6:$CB$51,61,0)</f>
        <v>0</v>
      </c>
      <c r="AH20" s="36">
        <f>VLOOKUP($A20,[26]HISTOMAI25!$A$6:$CB$51,62,0)</f>
        <v>0</v>
      </c>
      <c r="AI20" s="36">
        <f>VLOOKUP($A20,[26]HISTOMAI25!$A$6:$CB$51,63,0)</f>
        <v>0</v>
      </c>
      <c r="AJ20" s="36">
        <f>VLOOKUP($A20,[26]HISTOMAI25!$A$6:$BR$51,64,0)</f>
        <v>0</v>
      </c>
      <c r="AK20" s="36">
        <f>VLOOKUP($A20,[26]HISTOMAI25!$A$6:$BR$51,65,0)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VLOOKUP($A21,[26]HISTOMAI25!$A$6:$BA$51,48,0)</f>
        <v>0</v>
      </c>
      <c r="F21" s="36">
        <f>VLOOKUP(A21,MVTAVRIL25!A21:AM56,6,0)+MVTAVRIL25!H21-E21+L21</f>
        <v>1116501.8152135806</v>
      </c>
      <c r="G21" s="5">
        <f>IF(MVTMAI25!F21&gt;800000,(MVTAVRIL25!I21-E21+L21),0)</f>
        <v>1116501.8152135806</v>
      </c>
      <c r="H21" s="36">
        <f>VLOOKUP(A21,[27]MVTMAI25!$A$6:$AM$42,8,0)</f>
        <v>0</v>
      </c>
      <c r="I21" s="6">
        <f t="shared" si="1"/>
        <v>1116501.8152135806</v>
      </c>
      <c r="J21" s="36">
        <f>VLOOKUP($A21,[26]HISTOMAI25!$A$6:$AQ$51,22,0)</f>
        <v>0</v>
      </c>
      <c r="K21" s="36">
        <f>VLOOKUP($A21,[26]HISTOMAI25!$A$6:$AU$51,45,0)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VLOOKUP($A21,[26]HISTOMAI25!$A$6:$AU$51,8,0)</f>
        <v>0</v>
      </c>
      <c r="Q21" s="36">
        <f>VLOOKUP($A21,[26]HISTOMAI25!$A$6:$AU$51,23,0)</f>
        <v>0</v>
      </c>
      <c r="R21" s="36">
        <f>VLOOKUP($A21,[26]HISTOMAI25!$A$6:$AU$51,46,0)</f>
        <v>0</v>
      </c>
      <c r="S21" s="36">
        <f>VLOOKUP($A21,[26]HISTOMAI25!$A$6:$AU$51,26,0)</f>
        <v>0</v>
      </c>
      <c r="T21" s="36">
        <f>VLOOKUP($A21,[26]HISTOMAI25!$A$6:$BG$51,58,0)</f>
        <v>0</v>
      </c>
      <c r="U21" s="36">
        <f>VLOOKUP($A21,[26]HISTOMAI25!$A$6:$AU$51,28,0)</f>
        <v>0</v>
      </c>
      <c r="V21" s="36">
        <f>VLOOKUP($A21,[26]HISTOMAI25!$A$6:$AU$51,19,0)</f>
        <v>0</v>
      </c>
      <c r="W21" s="36">
        <f>VLOOKUP($A21,[26]HISTOMAI25!$A$6:$AU$51,20,0)</f>
        <v>0</v>
      </c>
      <c r="X21" s="36">
        <f>VLOOKUP($A21,[26]HISTOMAI25!$A$6:$AU$51,27,0)</f>
        <v>0</v>
      </c>
      <c r="Y21" s="36">
        <f>VLOOKUP($A21,[26]HISTOMAI25!$A$6:$BM$51,33,0)</f>
        <v>0</v>
      </c>
      <c r="Z21" s="36">
        <f>VLOOKUP($A21,[26]HISTOMAI25!$A$6:$BM$51,64,0)</f>
        <v>0</v>
      </c>
      <c r="AA21" s="36"/>
      <c r="AB21" s="36">
        <f>VLOOKUP($A21,[26]HISTOMAI25!$A$6:$AU$51,44,0)</f>
        <v>0</v>
      </c>
      <c r="AC21" s="36">
        <f>VLOOKUP($A21,[26]HISTOMAI25!$A$6:$AU$51,43,0)</f>
        <v>0</v>
      </c>
      <c r="AD21" s="36">
        <f>VLOOKUP($A21,[26]HISTOMAI25!$A$6:$BR$51,47,0)</f>
        <v>0</v>
      </c>
      <c r="AE21" s="36">
        <f>VLOOKUP(A21,[26]HISTOMAI25!$A$6:$BR$51,54,0)</f>
        <v>0</v>
      </c>
      <c r="AF21" s="36">
        <f>VLOOKUP($A21,[26]HISTOMAI25!$A$6:$BR$51,60,0)</f>
        <v>0</v>
      </c>
      <c r="AG21" s="36">
        <f>VLOOKUP($A21,[26]HISTOMAI25!$A$6:$CB$51,61,0)</f>
        <v>0</v>
      </c>
      <c r="AH21" s="36">
        <f>VLOOKUP($A21,[26]HISTOMAI25!$A$6:$CB$51,62,0)</f>
        <v>0</v>
      </c>
      <c r="AI21" s="36">
        <f>VLOOKUP($A21,[26]HISTOMAI25!$A$6:$CB$51,63,0)</f>
        <v>0</v>
      </c>
      <c r="AJ21" s="36">
        <f>VLOOKUP($A21,[26]HISTOMAI25!$A$6:$BR$51,64,0)</f>
        <v>0</v>
      </c>
      <c r="AK21" s="36">
        <f>VLOOKUP($A21,[26]HISTOMAI25!$A$6:$BR$51,65,0)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VLOOKUP($A22,[26]HISTOMAI25!$A$6:$BA$51,48,0)</f>
        <v>0</v>
      </c>
      <c r="F22" s="36">
        <f>VLOOKUP(A22,MVTAVRIL25!A22:AM57,6,0)+MVTAVRIL25!H22-E22+L22</f>
        <v>963129.9808177395</v>
      </c>
      <c r="G22" s="5">
        <f>IF(MVTMAI25!F22&gt;800000,(MVTAVRIL25!I22-E22+L22),0)</f>
        <v>963129.9808177395</v>
      </c>
      <c r="H22" s="36">
        <f>VLOOKUP(A22,[27]MVTMAI25!$A$6:$AM$42,8,0)</f>
        <v>0</v>
      </c>
      <c r="I22" s="6">
        <f t="shared" si="1"/>
        <v>963129.9808177395</v>
      </c>
      <c r="J22" s="36">
        <f>VLOOKUP($A22,[26]HISTOMAI25!$A$6:$AQ$51,22,0)</f>
        <v>0</v>
      </c>
      <c r="K22" s="36">
        <f>VLOOKUP($A22,[26]HISTOMAI25!$A$6:$AU$51,45,0)</f>
        <v>25000</v>
      </c>
      <c r="L22" s="36">
        <f t="shared" si="2"/>
        <v>19000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VLOOKUP($A22,[26]HISTOMAI25!$A$6:$AU$51,8,0)</f>
        <v>0</v>
      </c>
      <c r="Q22" s="36">
        <f>VLOOKUP($A22,[26]HISTOMAI25!$A$6:$AU$51,23,0)</f>
        <v>0</v>
      </c>
      <c r="R22" s="36">
        <f>VLOOKUP($A22,[26]HISTOMAI25!$A$6:$AU$51,46,0)</f>
        <v>0</v>
      </c>
      <c r="S22" s="36">
        <f>VLOOKUP($A22,[26]HISTOMAI25!$A$6:$AU$51,26,0)</f>
        <v>0</v>
      </c>
      <c r="T22" s="36">
        <f>VLOOKUP($A22,[26]HISTOMAI25!$A$6:$BG$51,58,0)</f>
        <v>0</v>
      </c>
      <c r="U22" s="36">
        <f>VLOOKUP($A22,[26]HISTOMAI25!$A$6:$AU$51,28,0)</f>
        <v>0</v>
      </c>
      <c r="V22" s="36">
        <f>VLOOKUP($A22,[26]HISTOMAI25!$A$6:$AU$51,19,0)</f>
        <v>0</v>
      </c>
      <c r="W22" s="36">
        <f>VLOOKUP($A22,[26]HISTOMAI25!$A$6:$AU$51,20,0)</f>
        <v>0</v>
      </c>
      <c r="X22" s="36">
        <f>VLOOKUP($A22,[26]HISTOMAI25!$A$6:$AU$51,27,0)</f>
        <v>0</v>
      </c>
      <c r="Y22" s="36">
        <f>VLOOKUP($A22,[26]HISTOMAI25!$A$6:$BM$51,33,0)</f>
        <v>0</v>
      </c>
      <c r="Z22" s="36">
        <f>VLOOKUP($A22,[26]HISTOMAI25!$A$6:$BM$51,64,0)</f>
        <v>0</v>
      </c>
      <c r="AA22" s="36"/>
      <c r="AB22" s="36">
        <f>VLOOKUP($A22,[26]HISTOMAI25!$A$6:$AU$51,44,0)</f>
        <v>0</v>
      </c>
      <c r="AC22" s="36">
        <f>VLOOKUP($A22,[26]HISTOMAI25!$A$6:$AU$51,43,0)</f>
        <v>0</v>
      </c>
      <c r="AD22" s="36">
        <f>VLOOKUP($A22,[26]HISTOMAI25!$A$6:$BR$51,47,0)</f>
        <v>0</v>
      </c>
      <c r="AE22" s="36">
        <f>VLOOKUP(A22,[26]HISTOMAI25!$A$6:$BR$51,54,0)</f>
        <v>0</v>
      </c>
      <c r="AF22" s="36">
        <f>VLOOKUP($A22,[26]HISTOMAI25!$A$6:$BR$51,60,0)</f>
        <v>0</v>
      </c>
      <c r="AG22" s="36">
        <f>VLOOKUP($A22,[26]HISTOMAI25!$A$6:$CB$51,61,0)</f>
        <v>0</v>
      </c>
      <c r="AH22" s="36">
        <f>VLOOKUP($A22,[26]HISTOMAI25!$A$6:$CB$51,62,0)</f>
        <v>0</v>
      </c>
      <c r="AI22" s="36">
        <f>VLOOKUP($A22,[26]HISTOMAI25!$A$6:$CB$51,63,0)</f>
        <v>0</v>
      </c>
      <c r="AJ22" s="36">
        <f>VLOOKUP($A22,[26]HISTOMAI25!$A$6:$BR$51,64,0)</f>
        <v>0</v>
      </c>
      <c r="AK22" s="36">
        <f>VLOOKUP($A22,[26]HISTOMAI25!$A$6:$BR$51,65,0)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VLOOKUP($A23,[26]HISTOMAI25!$A$6:$BA$51,48,0)</f>
        <v>0</v>
      </c>
      <c r="F23" s="36">
        <f>VLOOKUP(A23,MVTAVRIL25!A23:AM58,6,0)+MVTAVRIL25!H23-E23+L23</f>
        <v>962398.55143487593</v>
      </c>
      <c r="G23" s="5">
        <f>IF(MVTMAI25!F23&gt;800000,(MVTAVRIL25!I23-E23+L23),0)</f>
        <v>962398.55143487593</v>
      </c>
      <c r="H23" s="36">
        <f>VLOOKUP(A23,[27]MVTMAI25!$A$6:$AM$42,8,0)</f>
        <v>0</v>
      </c>
      <c r="I23" s="6">
        <f t="shared" si="1"/>
        <v>962398.55143487593</v>
      </c>
      <c r="J23" s="36">
        <f>VLOOKUP($A23,[26]HISTOMAI25!$A$6:$AQ$51,22,0)</f>
        <v>0</v>
      </c>
      <c r="K23" s="36">
        <f>VLOOKUP($A23,[26]HISTOMAI25!$A$6:$AU$51,45,0)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VLOOKUP($A23,[26]HISTOMAI25!$A$6:$AU$51,8,0)</f>
        <v>3000</v>
      </c>
      <c r="Q23" s="36">
        <f>VLOOKUP($A23,[26]HISTOMAI25!$A$6:$AU$51,23,0)</f>
        <v>0</v>
      </c>
      <c r="R23" s="36">
        <f>VLOOKUP($A23,[26]HISTOMAI25!$A$6:$AU$51,46,0)</f>
        <v>0</v>
      </c>
      <c r="S23" s="36">
        <f>VLOOKUP($A23,[26]HISTOMAI25!$A$6:$AU$51,26,0)</f>
        <v>0</v>
      </c>
      <c r="T23" s="36">
        <f>VLOOKUP($A23,[26]HISTOMAI25!$A$6:$BG$51,58,0)</f>
        <v>0</v>
      </c>
      <c r="U23" s="36">
        <f>VLOOKUP($A23,[26]HISTOMAI25!$A$6:$AU$51,28,0)</f>
        <v>0</v>
      </c>
      <c r="V23" s="36">
        <f>VLOOKUP($A23,[26]HISTOMAI25!$A$6:$AU$51,19,0)</f>
        <v>0</v>
      </c>
      <c r="W23" s="36">
        <f>VLOOKUP($A23,[26]HISTOMAI25!$A$6:$AU$51,20,0)</f>
        <v>0</v>
      </c>
      <c r="X23" s="36">
        <f>VLOOKUP($A23,[26]HISTOMAI25!$A$6:$AU$51,27,0)</f>
        <v>0</v>
      </c>
      <c r="Y23" s="36">
        <f>VLOOKUP($A23,[26]HISTOMAI25!$A$6:$BM$51,33,0)</f>
        <v>0</v>
      </c>
      <c r="Z23" s="36">
        <f>VLOOKUP($A23,[26]HISTOMAI25!$A$6:$BM$51,64,0)</f>
        <v>0</v>
      </c>
      <c r="AA23" s="36"/>
      <c r="AB23" s="36">
        <f>VLOOKUP($A23,[26]HISTOMAI25!$A$6:$AU$51,44,0)</f>
        <v>0</v>
      </c>
      <c r="AC23" s="36">
        <f>VLOOKUP($A23,[26]HISTOMAI25!$A$6:$AU$51,43,0)</f>
        <v>0</v>
      </c>
      <c r="AD23" s="36">
        <f>VLOOKUP($A23,[26]HISTOMAI25!$A$6:$BR$51,47,0)</f>
        <v>0</v>
      </c>
      <c r="AE23" s="36">
        <f>VLOOKUP(A23,[26]HISTOMAI25!$A$6:$BR$51,54,0)</f>
        <v>0</v>
      </c>
      <c r="AF23" s="36">
        <f>VLOOKUP($A23,[26]HISTOMAI25!$A$6:$BR$51,60,0)</f>
        <v>0</v>
      </c>
      <c r="AG23" s="36">
        <f>VLOOKUP($A23,[26]HISTOMAI25!$A$6:$CB$51,61,0)</f>
        <v>0</v>
      </c>
      <c r="AH23" s="36">
        <f>VLOOKUP($A23,[26]HISTOMAI25!$A$6:$CB$51,62,0)</f>
        <v>0</v>
      </c>
      <c r="AI23" s="36">
        <f>VLOOKUP($A23,[26]HISTOMAI25!$A$6:$CB$51,63,0)</f>
        <v>0</v>
      </c>
      <c r="AJ23" s="36">
        <f>VLOOKUP($A23,[26]HISTOMAI25!$A$6:$BR$51,64,0)</f>
        <v>0</v>
      </c>
      <c r="AK23" s="36">
        <f>VLOOKUP($A23,[26]HISTOMAI25!$A$6:$BR$51,65,0)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VLOOKUP($A24,[26]HISTOMAI25!$A$6:$BA$51,48,0)</f>
        <v>0</v>
      </c>
      <c r="F24" s="36">
        <f>VLOOKUP(A24,MVTAVRIL25!A24:AM59,6,0)+MVTAVRIL25!H24-E24+L24</f>
        <v>909512.06699672434</v>
      </c>
      <c r="G24" s="5">
        <f>IF(MVTMAI25!F24&gt;800000,(MVTAVRIL25!I24-E24+L24),0)</f>
        <v>909512.06699672434</v>
      </c>
      <c r="H24" s="36">
        <f>VLOOKUP(A24,[27]MVTMAI25!$A$6:$AM$42,8,0)</f>
        <v>0</v>
      </c>
      <c r="I24" s="6">
        <f t="shared" si="1"/>
        <v>909512.06699672434</v>
      </c>
      <c r="J24" s="36">
        <f>VLOOKUP($A24,[26]HISTOMAI25!$A$6:$AQ$51,22,0)</f>
        <v>0</v>
      </c>
      <c r="K24" s="36">
        <f>VLOOKUP($A24,[26]HISTOMAI25!$A$6:$AU$51,45,0)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VLOOKUP($A24,[26]HISTOMAI25!$A$6:$AU$51,8,0)</f>
        <v>0</v>
      </c>
      <c r="Q24" s="36">
        <f>VLOOKUP($A24,[26]HISTOMAI25!$A$6:$AU$51,23,0)</f>
        <v>0</v>
      </c>
      <c r="R24" s="36">
        <f>VLOOKUP($A24,[26]HISTOMAI25!$A$6:$AU$51,46,0)</f>
        <v>0</v>
      </c>
      <c r="S24" s="36">
        <f>VLOOKUP($A24,[26]HISTOMAI25!$A$6:$AU$51,26,0)</f>
        <v>0</v>
      </c>
      <c r="T24" s="36">
        <f>VLOOKUP($A24,[26]HISTOMAI25!$A$6:$BG$51,58,0)</f>
        <v>0</v>
      </c>
      <c r="U24" s="36">
        <f>VLOOKUP($A24,[26]HISTOMAI25!$A$6:$AU$51,28,0)</f>
        <v>0</v>
      </c>
      <c r="V24" s="36">
        <f>VLOOKUP($A24,[26]HISTOMAI25!$A$6:$AU$51,19,0)</f>
        <v>0</v>
      </c>
      <c r="W24" s="36">
        <f>VLOOKUP($A24,[26]HISTOMAI25!$A$6:$AU$51,20,0)</f>
        <v>0</v>
      </c>
      <c r="X24" s="36">
        <f>VLOOKUP($A24,[26]HISTOMAI25!$A$6:$AU$51,27,0)</f>
        <v>0</v>
      </c>
      <c r="Y24" s="36">
        <f>VLOOKUP($A24,[26]HISTOMAI25!$A$6:$BM$51,33,0)</f>
        <v>0</v>
      </c>
      <c r="Z24" s="36">
        <f>VLOOKUP($A24,[26]HISTOMAI25!$A$6:$BM$51,64,0)</f>
        <v>0</v>
      </c>
      <c r="AA24" s="36"/>
      <c r="AB24" s="36">
        <f>VLOOKUP($A24,[26]HISTOMAI25!$A$6:$AU$51,44,0)</f>
        <v>0</v>
      </c>
      <c r="AC24" s="36">
        <f>VLOOKUP($A24,[26]HISTOMAI25!$A$6:$AU$51,43,0)</f>
        <v>0</v>
      </c>
      <c r="AD24" s="36">
        <f>VLOOKUP($A24,[26]HISTOMAI25!$A$6:$BR$51,47,0)</f>
        <v>0</v>
      </c>
      <c r="AE24" s="36">
        <f>VLOOKUP(A24,[26]HISTOMAI25!$A$6:$BR$51,54,0)</f>
        <v>0</v>
      </c>
      <c r="AF24" s="36">
        <f>VLOOKUP($A24,[26]HISTOMAI25!$A$6:$BR$51,60,0)</f>
        <v>0</v>
      </c>
      <c r="AG24" s="36">
        <f>VLOOKUP($A24,[26]HISTOMAI25!$A$6:$CB$51,61,0)</f>
        <v>0</v>
      </c>
      <c r="AH24" s="36">
        <f>VLOOKUP($A24,[26]HISTOMAI25!$A$6:$CB$51,62,0)</f>
        <v>0</v>
      </c>
      <c r="AI24" s="36">
        <f>VLOOKUP($A24,[26]HISTOMAI25!$A$6:$CB$51,63,0)</f>
        <v>0</v>
      </c>
      <c r="AJ24" s="36">
        <f>VLOOKUP($A24,[26]HISTOMAI25!$A$6:$BR$51,64,0)</f>
        <v>0</v>
      </c>
      <c r="AK24" s="36">
        <f>VLOOKUP($A24,[26]HISTOMAI25!$A$6:$BR$51,65,0)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VLOOKUP($A25,[26]HISTOMAI25!$A$6:$BA$51,48,0)</f>
        <v>0</v>
      </c>
      <c r="F25" s="36">
        <f>VLOOKUP(A25,MVTAVRIL25!A25:AM60,6,0)+MVTAVRIL25!H25-E25+L25</f>
        <v>1279279.1644260087</v>
      </c>
      <c r="G25" s="5">
        <f>IF(MVTMAI25!F25&gt;800000,(MVTAVRIL25!I25-E25+L25),0)</f>
        <v>1279279.1644260087</v>
      </c>
      <c r="H25" s="36">
        <f>VLOOKUP(A25,[27]MVTMAI25!$A$6:$AM$42,8,0)</f>
        <v>0</v>
      </c>
      <c r="I25" s="6">
        <f t="shared" si="1"/>
        <v>1279279.1644260087</v>
      </c>
      <c r="J25" s="36">
        <f>VLOOKUP($A25,[26]HISTOMAI25!$A$6:$AQ$51,22,0)</f>
        <v>0</v>
      </c>
      <c r="K25" s="36">
        <f>VLOOKUP($A25,[26]HISTOMAI25!$A$6:$AU$51,45,0)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VLOOKUP($A25,[26]HISTOMAI25!$A$6:$AU$51,8,0)</f>
        <v>0</v>
      </c>
      <c r="Q25" s="36">
        <f>VLOOKUP($A25,[26]HISTOMAI25!$A$6:$AU$51,23,0)</f>
        <v>0</v>
      </c>
      <c r="R25" s="36">
        <f>VLOOKUP($A25,[26]HISTOMAI25!$A$6:$AU$51,46,0)</f>
        <v>0</v>
      </c>
      <c r="S25" s="36">
        <f>VLOOKUP($A25,[26]HISTOMAI25!$A$6:$AU$51,26,0)</f>
        <v>0</v>
      </c>
      <c r="T25" s="36">
        <f>VLOOKUP($A25,[26]HISTOMAI25!$A$6:$BG$51,58,0)</f>
        <v>0</v>
      </c>
      <c r="U25" s="36">
        <f>VLOOKUP($A25,[26]HISTOMAI25!$A$6:$AU$51,28,0)</f>
        <v>0</v>
      </c>
      <c r="V25" s="36">
        <f>VLOOKUP($A25,[26]HISTOMAI25!$A$6:$AU$51,19,0)</f>
        <v>0</v>
      </c>
      <c r="W25" s="36">
        <f>VLOOKUP($A25,[26]HISTOMAI25!$A$6:$AU$51,20,0)</f>
        <v>0</v>
      </c>
      <c r="X25" s="36">
        <f>VLOOKUP($A25,[26]HISTOMAI25!$A$6:$AU$51,27,0)</f>
        <v>0</v>
      </c>
      <c r="Y25" s="36">
        <f>VLOOKUP($A25,[26]HISTOMAI25!$A$6:$BM$51,33,0)</f>
        <v>0</v>
      </c>
      <c r="Z25" s="36">
        <f>VLOOKUP($A25,[26]HISTOMAI25!$A$6:$BM$51,64,0)</f>
        <v>0</v>
      </c>
      <c r="AA25" s="36"/>
      <c r="AB25" s="36">
        <f>VLOOKUP($A25,[26]HISTOMAI25!$A$6:$AU$51,44,0)</f>
        <v>0</v>
      </c>
      <c r="AC25" s="36">
        <f>VLOOKUP($A25,[26]HISTOMAI25!$A$6:$AU$51,43,0)</f>
        <v>0</v>
      </c>
      <c r="AD25" s="36">
        <f>VLOOKUP($A25,[26]HISTOMAI25!$A$6:$BR$51,47,0)</f>
        <v>0</v>
      </c>
      <c r="AE25" s="36">
        <f>VLOOKUP(A25,[26]HISTOMAI25!$A$6:$BR$51,54,0)</f>
        <v>0</v>
      </c>
      <c r="AF25" s="36">
        <f>VLOOKUP($A25,[26]HISTOMAI25!$A$6:$BR$51,60,0)</f>
        <v>0</v>
      </c>
      <c r="AG25" s="36">
        <f>VLOOKUP($A25,[26]HISTOMAI25!$A$6:$CB$51,61,0)</f>
        <v>0</v>
      </c>
      <c r="AH25" s="36">
        <f>VLOOKUP($A25,[26]HISTOMAI25!$A$6:$CB$51,62,0)</f>
        <v>0</v>
      </c>
      <c r="AI25" s="36">
        <f>VLOOKUP($A25,[26]HISTOMAI25!$A$6:$CB$51,63,0)</f>
        <v>0</v>
      </c>
      <c r="AJ25" s="36">
        <f>VLOOKUP($A25,[26]HISTOMAI25!$A$6:$BR$51,64,0)</f>
        <v>0</v>
      </c>
      <c r="AK25" s="36">
        <f>VLOOKUP($A25,[26]HISTOMAI25!$A$6:$BR$51,65,0)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VLOOKUP($A26,[26]HISTOMAI25!$A$6:$BA$51,48,0)</f>
        <v>0</v>
      </c>
      <c r="F26" s="36">
        <f>VLOOKUP(A26,MVTAVRIL25!A26:AM61,6,0)+MVTAVRIL25!H26-E26+L26</f>
        <v>1408793.154792679</v>
      </c>
      <c r="G26" s="5">
        <f>IF(MVTMAI25!F26&gt;800000,(MVTAVRIL25!I26-E26+L26),0)</f>
        <v>1408793.154792679</v>
      </c>
      <c r="H26" s="36">
        <f>VLOOKUP(A26,[27]MVTMAI25!$A$6:$AM$42,8,0)</f>
        <v>0</v>
      </c>
      <c r="I26" s="6">
        <f t="shared" si="1"/>
        <v>1408793.154792679</v>
      </c>
      <c r="J26" s="36">
        <f>VLOOKUP($A26,[26]HISTOMAI25!$A$6:$AQ$51,22,0)</f>
        <v>0</v>
      </c>
      <c r="K26" s="36">
        <f>VLOOKUP($A26,[26]HISTOMAI25!$A$6:$AU$51,45,0)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VLOOKUP($A26,[26]HISTOMAI25!$A$6:$AU$51,8,0)</f>
        <v>0</v>
      </c>
      <c r="Q26" s="36">
        <f>VLOOKUP($A26,[26]HISTOMAI25!$A$6:$AU$51,23,0)</f>
        <v>0</v>
      </c>
      <c r="R26" s="36">
        <f>VLOOKUP($A26,[26]HISTOMAI25!$A$6:$AU$51,46,0)</f>
        <v>0</v>
      </c>
      <c r="S26" s="36">
        <f>VLOOKUP($A26,[26]HISTOMAI25!$A$6:$AU$51,26,0)</f>
        <v>0</v>
      </c>
      <c r="T26" s="36">
        <f>VLOOKUP($A26,[26]HISTOMAI25!$A$6:$BG$51,58,0)</f>
        <v>0</v>
      </c>
      <c r="U26" s="36">
        <f>VLOOKUP($A26,[26]HISTOMAI25!$A$6:$AU$51,28,0)</f>
        <v>0</v>
      </c>
      <c r="V26" s="36">
        <f>VLOOKUP($A26,[26]HISTOMAI25!$A$6:$AU$51,19,0)</f>
        <v>0</v>
      </c>
      <c r="W26" s="36">
        <f>VLOOKUP($A26,[26]HISTOMAI25!$A$6:$AU$51,20,0)</f>
        <v>0</v>
      </c>
      <c r="X26" s="36">
        <f>VLOOKUP($A26,[26]HISTOMAI25!$A$6:$AU$51,27,0)</f>
        <v>0</v>
      </c>
      <c r="Y26" s="36">
        <f>VLOOKUP($A26,[26]HISTOMAI25!$A$6:$BM$51,33,0)</f>
        <v>0</v>
      </c>
      <c r="Z26" s="36">
        <f>VLOOKUP($A26,[26]HISTOMAI25!$A$6:$BM$51,64,0)</f>
        <v>0</v>
      </c>
      <c r="AA26" s="36"/>
      <c r="AB26" s="36">
        <f>VLOOKUP($A26,[26]HISTOMAI25!$A$6:$AU$51,44,0)</f>
        <v>0</v>
      </c>
      <c r="AC26" s="36">
        <f>VLOOKUP($A26,[26]HISTOMAI25!$A$6:$AU$51,43,0)</f>
        <v>0</v>
      </c>
      <c r="AD26" s="36">
        <f>VLOOKUP($A26,[26]HISTOMAI25!$A$6:$BR$51,47,0)</f>
        <v>0</v>
      </c>
      <c r="AE26" s="36">
        <f>VLOOKUP(A26,[26]HISTOMAI25!$A$6:$BR$51,54,0)</f>
        <v>0</v>
      </c>
      <c r="AF26" s="36">
        <f>VLOOKUP($A26,[26]HISTOMAI25!$A$6:$BR$51,60,0)</f>
        <v>0</v>
      </c>
      <c r="AG26" s="36">
        <f>VLOOKUP($A26,[26]HISTOMAI25!$A$6:$CB$51,61,0)</f>
        <v>0</v>
      </c>
      <c r="AH26" s="36">
        <f>VLOOKUP($A26,[26]HISTOMAI25!$A$6:$CB$51,62,0)</f>
        <v>0</v>
      </c>
      <c r="AI26" s="36">
        <f>VLOOKUP($A26,[26]HISTOMAI25!$A$6:$CB$51,63,0)</f>
        <v>0</v>
      </c>
      <c r="AJ26" s="36">
        <f>VLOOKUP($A26,[26]HISTOMAI25!$A$6:$BR$51,64,0)</f>
        <v>0</v>
      </c>
      <c r="AK26" s="36">
        <f>VLOOKUP($A26,[26]HISTOMAI25!$A$6:$BR$51,65,0)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VLOOKUP($A27,[26]HISTOMAI25!$A$6:$BA$51,48,0)</f>
        <v>0</v>
      </c>
      <c r="F27" s="36">
        <f>VLOOKUP(A27,MVTAVRIL25!A27:AM62,6,0)+MVTAVRIL25!H27-E27+L27</f>
        <v>957755.99987830815</v>
      </c>
      <c r="G27" s="5">
        <f>IF(MVTMAI25!F27&gt;800000,(MVTAVRIL25!I27-E27+L27),0)</f>
        <v>957755.99987830815</v>
      </c>
      <c r="H27" s="36">
        <f>VLOOKUP(A27,[27]MVTMAI25!$A$6:$AM$42,8,0)</f>
        <v>0</v>
      </c>
      <c r="I27" s="6">
        <f t="shared" si="1"/>
        <v>957755.99987830815</v>
      </c>
      <c r="J27" s="36">
        <f>VLOOKUP($A27,[26]HISTOMAI25!$A$6:$AQ$51,22,0)</f>
        <v>0</v>
      </c>
      <c r="K27" s="36">
        <f>VLOOKUP($A27,[26]HISTOMAI25!$A$6:$AU$51,45,0)</f>
        <v>25000</v>
      </c>
      <c r="L27" s="36">
        <f t="shared" si="2"/>
        <v>19000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VLOOKUP($A27,[26]HISTOMAI25!$A$6:$AU$51,8,0)</f>
        <v>0</v>
      </c>
      <c r="Q27" s="36">
        <f>VLOOKUP($A27,[26]HISTOMAI25!$A$6:$AU$51,23,0)</f>
        <v>0</v>
      </c>
      <c r="R27" s="36">
        <f>VLOOKUP($A27,[26]HISTOMAI25!$A$6:$AU$51,46,0)</f>
        <v>0</v>
      </c>
      <c r="S27" s="36">
        <f>VLOOKUP($A27,[26]HISTOMAI25!$A$6:$AU$51,26,0)</f>
        <v>0</v>
      </c>
      <c r="T27" s="36">
        <f>VLOOKUP($A27,[26]HISTOMAI25!$A$6:$BG$51,58,0)</f>
        <v>0</v>
      </c>
      <c r="U27" s="36">
        <f>VLOOKUP($A27,[26]HISTOMAI25!$A$6:$AU$51,28,0)</f>
        <v>0</v>
      </c>
      <c r="V27" s="36">
        <f>VLOOKUP($A27,[26]HISTOMAI25!$A$6:$AU$51,19,0)</f>
        <v>0</v>
      </c>
      <c r="W27" s="36">
        <f>VLOOKUP($A27,[26]HISTOMAI25!$A$6:$AU$51,20,0)</f>
        <v>0</v>
      </c>
      <c r="X27" s="36">
        <f>VLOOKUP($A27,[26]HISTOMAI25!$A$6:$AU$51,27,0)</f>
        <v>0</v>
      </c>
      <c r="Y27" s="36">
        <f>VLOOKUP($A27,[26]HISTOMAI25!$A$6:$BM$51,33,0)</f>
        <v>0</v>
      </c>
      <c r="Z27" s="36">
        <f>VLOOKUP($A27,[26]HISTOMAI25!$A$6:$BM$51,64,0)</f>
        <v>0</v>
      </c>
      <c r="AA27" s="36"/>
      <c r="AB27" s="36">
        <f>VLOOKUP($A27,[26]HISTOMAI25!$A$6:$AU$51,44,0)</f>
        <v>0</v>
      </c>
      <c r="AC27" s="36">
        <f>VLOOKUP($A27,[26]HISTOMAI25!$A$6:$AU$51,43,0)</f>
        <v>0</v>
      </c>
      <c r="AD27" s="36">
        <f>VLOOKUP($A27,[26]HISTOMAI25!$A$6:$BR$51,47,0)</f>
        <v>0</v>
      </c>
      <c r="AE27" s="36">
        <f>VLOOKUP(A27,[26]HISTOMAI25!$A$6:$BR$51,54,0)</f>
        <v>0</v>
      </c>
      <c r="AF27" s="36">
        <f>VLOOKUP($A27,[26]HISTOMAI25!$A$6:$BR$51,60,0)</f>
        <v>0</v>
      </c>
      <c r="AG27" s="36">
        <f>VLOOKUP($A27,[26]HISTOMAI25!$A$6:$CB$51,61,0)</f>
        <v>0</v>
      </c>
      <c r="AH27" s="36">
        <f>VLOOKUP($A27,[26]HISTOMAI25!$A$6:$CB$51,62,0)</f>
        <v>0</v>
      </c>
      <c r="AI27" s="36">
        <f>VLOOKUP($A27,[26]HISTOMAI25!$A$6:$CB$51,63,0)</f>
        <v>100000</v>
      </c>
      <c r="AJ27" s="36">
        <f>VLOOKUP($A27,[26]HISTOMAI25!$A$6:$BR$51,64,0)</f>
        <v>0</v>
      </c>
      <c r="AK27" s="36">
        <f>VLOOKUP($A27,[26]HISTOMAI25!$A$6:$BR$51,65,0)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VLOOKUP($A28,[26]HISTOMAI25!$A$6:$BA$51,48,0)</f>
        <v>0</v>
      </c>
      <c r="F28" s="36">
        <f>VLOOKUP(A28,MVTAVRIL25!A28:AM63,6,0)+MVTAVRIL25!H28-E28+L28</f>
        <v>973433.62548817939</v>
      </c>
      <c r="G28" s="5">
        <f>IF(MVTMAI25!F28&gt;800000,(MVTAVRIL25!I28-E28+L28),0)</f>
        <v>973433.62548817939</v>
      </c>
      <c r="H28" s="36">
        <f>VLOOKUP(A28,[27]MVTMAI25!$A$6:$AM$42,8,0)</f>
        <v>0</v>
      </c>
      <c r="I28" s="6">
        <f t="shared" si="1"/>
        <v>973433.62548817939</v>
      </c>
      <c r="J28" s="36">
        <f>VLOOKUP($A28,[26]HISTOMAI25!$A$6:$AQ$51,22,0)</f>
        <v>0</v>
      </c>
      <c r="K28" s="36">
        <f>VLOOKUP($A28,[26]HISTOMAI25!$A$6:$AU$51,45,0)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VLOOKUP($A28,[26]HISTOMAI25!$A$6:$AU$51,8,0)</f>
        <v>0</v>
      </c>
      <c r="Q28" s="36">
        <f>VLOOKUP($A28,[26]HISTOMAI25!$A$6:$AU$51,23,0)</f>
        <v>0</v>
      </c>
      <c r="R28" s="36">
        <f>VLOOKUP($A28,[26]HISTOMAI25!$A$6:$AU$51,46,0)</f>
        <v>0</v>
      </c>
      <c r="S28" s="36">
        <f>VLOOKUP($A28,[26]HISTOMAI25!$A$6:$AU$51,26,0)</f>
        <v>0</v>
      </c>
      <c r="T28" s="36">
        <f>VLOOKUP($A28,[26]HISTOMAI25!$A$6:$BG$51,58,0)</f>
        <v>0</v>
      </c>
      <c r="U28" s="36">
        <f>VLOOKUP($A28,[26]HISTOMAI25!$A$6:$AU$51,28,0)</f>
        <v>0</v>
      </c>
      <c r="V28" s="36">
        <f>VLOOKUP($A28,[26]HISTOMAI25!$A$6:$AU$51,19,0)</f>
        <v>0</v>
      </c>
      <c r="W28" s="36">
        <f>VLOOKUP($A28,[26]HISTOMAI25!$A$6:$AU$51,20,0)</f>
        <v>0</v>
      </c>
      <c r="X28" s="36">
        <f>VLOOKUP($A28,[26]HISTOMAI25!$A$6:$AU$51,27,0)</f>
        <v>0</v>
      </c>
      <c r="Y28" s="36">
        <f>VLOOKUP($A28,[26]HISTOMAI25!$A$6:$BM$51,33,0)</f>
        <v>0</v>
      </c>
      <c r="Z28" s="36">
        <f>VLOOKUP($A28,[26]HISTOMAI25!$A$6:$BM$51,64,0)</f>
        <v>0</v>
      </c>
      <c r="AA28" s="36"/>
      <c r="AB28" s="36">
        <f>VLOOKUP($A28,[26]HISTOMAI25!$A$6:$AU$51,44,0)</f>
        <v>0</v>
      </c>
      <c r="AC28" s="36">
        <f>VLOOKUP($A28,[26]HISTOMAI25!$A$6:$AU$51,43,0)</f>
        <v>0</v>
      </c>
      <c r="AD28" s="36">
        <f>VLOOKUP($A28,[26]HISTOMAI25!$A$6:$BR$51,47,0)</f>
        <v>0</v>
      </c>
      <c r="AE28" s="36">
        <f>VLOOKUP(A28,[26]HISTOMAI25!$A$6:$BR$51,54,0)</f>
        <v>0</v>
      </c>
      <c r="AF28" s="36">
        <f>VLOOKUP($A28,[26]HISTOMAI25!$A$6:$BR$51,60,0)</f>
        <v>0</v>
      </c>
      <c r="AG28" s="36">
        <f>VLOOKUP($A28,[26]HISTOMAI25!$A$6:$CB$51,61,0)</f>
        <v>0</v>
      </c>
      <c r="AH28" s="36">
        <f>VLOOKUP($A28,[26]HISTOMAI25!$A$6:$CB$51,62,0)</f>
        <v>0</v>
      </c>
      <c r="AI28" s="36">
        <f>VLOOKUP($A28,[26]HISTOMAI25!$A$6:$CB$51,63,0)</f>
        <v>0</v>
      </c>
      <c r="AJ28" s="36">
        <f>VLOOKUP($A28,[26]HISTOMAI25!$A$6:$BR$51,64,0)</f>
        <v>0</v>
      </c>
      <c r="AK28" s="36">
        <f>VLOOKUP($A28,[26]HISTOMAI25!$A$6:$BR$51,65,0)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VLOOKUP($A29,[26]HISTOMAI25!$A$6:$BA$51,48,0)</f>
        <v>0</v>
      </c>
      <c r="F29" s="36">
        <f>VLOOKUP(A29,MVTAVRIL25!A29:AM64,6,0)+MVTAVRIL25!H29-E29+L29</f>
        <v>935610.21840677003</v>
      </c>
      <c r="G29" s="5">
        <f>IF(MVTMAI25!F29&gt;800000,(MVTAVRIL25!I29-E29+L29),0)</f>
        <v>935610.21840677003</v>
      </c>
      <c r="H29" s="36">
        <f>VLOOKUP(A29,[27]MVTMAI25!$A$6:$AM$42,8,0)</f>
        <v>0</v>
      </c>
      <c r="I29" s="6">
        <f t="shared" si="1"/>
        <v>935610.21840677003</v>
      </c>
      <c r="J29" s="36">
        <f>VLOOKUP($A29,[26]HISTOMAI25!$A$6:$AQ$51,22,0)</f>
        <v>0</v>
      </c>
      <c r="K29" s="36">
        <f>VLOOKUP($A29,[26]HISTOMAI25!$A$6:$AU$51,45,0)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VLOOKUP($A29,[26]HISTOMAI25!$A$6:$AU$51,8,0)</f>
        <v>0</v>
      </c>
      <c r="Q29" s="36">
        <f>VLOOKUP($A29,[26]HISTOMAI25!$A$6:$AU$51,23,0)</f>
        <v>0</v>
      </c>
      <c r="R29" s="36">
        <f>VLOOKUP($A29,[26]HISTOMAI25!$A$6:$AU$51,46,0)</f>
        <v>0</v>
      </c>
      <c r="S29" s="36">
        <f>VLOOKUP($A29,[26]HISTOMAI25!$A$6:$AU$51,26,0)</f>
        <v>0</v>
      </c>
      <c r="T29" s="36">
        <f>VLOOKUP($A29,[26]HISTOMAI25!$A$6:$BG$51,58,0)</f>
        <v>0</v>
      </c>
      <c r="U29" s="36">
        <f>VLOOKUP($A29,[26]HISTOMAI25!$A$6:$AU$51,28,0)</f>
        <v>0</v>
      </c>
      <c r="V29" s="36">
        <f>VLOOKUP($A29,[26]HISTOMAI25!$A$6:$AU$51,19,0)</f>
        <v>0</v>
      </c>
      <c r="W29" s="36">
        <f>VLOOKUP($A29,[26]HISTOMAI25!$A$6:$AU$51,20,0)</f>
        <v>0</v>
      </c>
      <c r="X29" s="36">
        <f>VLOOKUP($A29,[26]HISTOMAI25!$A$6:$AU$51,27,0)</f>
        <v>0</v>
      </c>
      <c r="Y29" s="36">
        <f>VLOOKUP($A29,[26]HISTOMAI25!$A$6:$BM$51,33,0)</f>
        <v>0</v>
      </c>
      <c r="Z29" s="36">
        <f>VLOOKUP($A29,[26]HISTOMAI25!$A$6:$BM$51,64,0)</f>
        <v>0</v>
      </c>
      <c r="AA29" s="36"/>
      <c r="AB29" s="36">
        <f>VLOOKUP($A29,[26]HISTOMAI25!$A$6:$AU$51,44,0)</f>
        <v>0</v>
      </c>
      <c r="AC29" s="36">
        <f>VLOOKUP($A29,[26]HISTOMAI25!$A$6:$AU$51,43,0)</f>
        <v>0</v>
      </c>
      <c r="AD29" s="36">
        <f>VLOOKUP($A29,[26]HISTOMAI25!$A$6:$BR$51,47,0)</f>
        <v>0</v>
      </c>
      <c r="AE29" s="36">
        <f>VLOOKUP(A29,[26]HISTOMAI25!$A$6:$BR$51,54,0)</f>
        <v>0</v>
      </c>
      <c r="AF29" s="36">
        <f>VLOOKUP($A29,[26]HISTOMAI25!$A$6:$BR$51,60,0)</f>
        <v>0</v>
      </c>
      <c r="AG29" s="36">
        <f>VLOOKUP($A29,[26]HISTOMAI25!$A$6:$CB$51,61,0)</f>
        <v>0</v>
      </c>
      <c r="AH29" s="36">
        <f>VLOOKUP($A29,[26]HISTOMAI25!$A$6:$CB$51,62,0)</f>
        <v>0</v>
      </c>
      <c r="AI29" s="36">
        <f>VLOOKUP($A29,[26]HISTOMAI25!$A$6:$CB$51,63,0)</f>
        <v>0</v>
      </c>
      <c r="AJ29" s="36">
        <f>VLOOKUP($A29,[26]HISTOMAI25!$A$6:$BR$51,64,0)</f>
        <v>0</v>
      </c>
      <c r="AK29" s="36">
        <f>VLOOKUP($A29,[26]HISTOMAI25!$A$6:$BR$51,65,0)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VLOOKUP($A30,[26]HISTOMAI25!$A$6:$BA$51,48,0)</f>
        <v>0</v>
      </c>
      <c r="F30" s="36">
        <f>VLOOKUP(A30,MVTAVRIL25!A30:AM65,6,0)+MVTAVRIL25!H30-E30+L30</f>
        <v>1097019.0945803211</v>
      </c>
      <c r="G30" s="5">
        <f>IF(MVTMAI25!F30&gt;800000,(MVTAVRIL25!I30-E30+L30),0)</f>
        <v>1097019.0945803211</v>
      </c>
      <c r="H30" s="36">
        <f>VLOOKUP(A30,[27]MVTMAI25!$A$6:$AM$42,8,0)</f>
        <v>0</v>
      </c>
      <c r="I30" s="6">
        <f t="shared" si="1"/>
        <v>1097019.0945803211</v>
      </c>
      <c r="J30" s="36">
        <f>VLOOKUP($A30,[26]HISTOMAI25!$A$6:$AQ$51,22,0)</f>
        <v>0</v>
      </c>
      <c r="K30" s="36">
        <f>VLOOKUP($A30,[26]HISTOMAI25!$A$6:$AU$51,45,0)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VLOOKUP($A30,[26]HISTOMAI25!$A$6:$AU$51,8,0)</f>
        <v>0</v>
      </c>
      <c r="Q30" s="36">
        <f>VLOOKUP($A30,[26]HISTOMAI25!$A$6:$AU$51,23,0)</f>
        <v>0</v>
      </c>
      <c r="R30" s="36">
        <f>VLOOKUP($A30,[26]HISTOMAI25!$A$6:$AU$51,46,0)</f>
        <v>0</v>
      </c>
      <c r="S30" s="36">
        <f>VLOOKUP($A30,[26]HISTOMAI25!$A$6:$AU$51,26,0)</f>
        <v>0</v>
      </c>
      <c r="T30" s="36">
        <f>VLOOKUP($A30,[26]HISTOMAI25!$A$6:$BG$51,58,0)</f>
        <v>0</v>
      </c>
      <c r="U30" s="36">
        <f>VLOOKUP($A30,[26]HISTOMAI25!$A$6:$AU$51,28,0)</f>
        <v>0</v>
      </c>
      <c r="V30" s="36">
        <f>VLOOKUP($A30,[26]HISTOMAI25!$A$6:$AU$51,19,0)</f>
        <v>0</v>
      </c>
      <c r="W30" s="36">
        <f>VLOOKUP($A30,[26]HISTOMAI25!$A$6:$AU$51,20,0)</f>
        <v>0</v>
      </c>
      <c r="X30" s="36">
        <f>VLOOKUP($A30,[26]HISTOMAI25!$A$6:$AU$51,27,0)</f>
        <v>0</v>
      </c>
      <c r="Y30" s="36">
        <f>VLOOKUP($A30,[26]HISTOMAI25!$A$6:$BM$51,33,0)</f>
        <v>0</v>
      </c>
      <c r="Z30" s="36">
        <f>VLOOKUP($A30,[26]HISTOMAI25!$A$6:$BM$51,64,0)</f>
        <v>0</v>
      </c>
      <c r="AA30" s="36"/>
      <c r="AB30" s="36">
        <f>VLOOKUP($A30,[26]HISTOMAI25!$A$6:$AU$51,44,0)</f>
        <v>0</v>
      </c>
      <c r="AC30" s="36">
        <f>VLOOKUP($A30,[26]HISTOMAI25!$A$6:$AU$51,43,0)</f>
        <v>0</v>
      </c>
      <c r="AD30" s="36">
        <f>VLOOKUP($A30,[26]HISTOMAI25!$A$6:$BR$51,47,0)</f>
        <v>0</v>
      </c>
      <c r="AE30" s="36">
        <f>VLOOKUP(A30,[26]HISTOMAI25!$A$6:$BR$51,54,0)</f>
        <v>0</v>
      </c>
      <c r="AF30" s="36">
        <f>VLOOKUP($A30,[26]HISTOMAI25!$A$6:$BR$51,60,0)</f>
        <v>0</v>
      </c>
      <c r="AG30" s="36">
        <f>VLOOKUP($A30,[26]HISTOMAI25!$A$6:$CB$51,61,0)</f>
        <v>0</v>
      </c>
      <c r="AH30" s="36">
        <f>VLOOKUP($A30,[26]HISTOMAI25!$A$6:$CB$51,62,0)</f>
        <v>0</v>
      </c>
      <c r="AI30" s="36">
        <f>VLOOKUP($A30,[26]HISTOMAI25!$A$6:$CB$51,63,0)</f>
        <v>0</v>
      </c>
      <c r="AJ30" s="36">
        <f>VLOOKUP($A30,[26]HISTOMAI25!$A$6:$BR$51,64,0)</f>
        <v>0</v>
      </c>
      <c r="AK30" s="36">
        <f>VLOOKUP($A30,[26]HISTOMAI25!$A$6:$BR$51,65,0)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VLOOKUP($A31,[26]HISTOMAI25!$A$6:$BA$51,48,0)</f>
        <v>0</v>
      </c>
      <c r="F31" s="36">
        <f>VLOOKUP(A31,MVTAVRIL25!A31:AM66,6,0)+MVTAVRIL25!H31-E31+L31</f>
        <v>943312.74894595868</v>
      </c>
      <c r="G31" s="5">
        <f>IF(MVTMAI25!F31&gt;800000,(MVTAVRIL25!I31-E31+L31),0)</f>
        <v>943312.74894595868</v>
      </c>
      <c r="H31" s="36">
        <f>VLOOKUP(A31,[27]MVTMAI25!$A$6:$AM$42,8,0)</f>
        <v>0</v>
      </c>
      <c r="I31" s="6">
        <f t="shared" si="1"/>
        <v>943312.74894595868</v>
      </c>
      <c r="J31" s="36">
        <f>VLOOKUP($A31,[26]HISTOMAI25!$A$6:$AQ$51,22,0)</f>
        <v>0</v>
      </c>
      <c r="K31" s="36">
        <f>VLOOKUP($A31,[26]HISTOMAI25!$A$6:$AU$51,45,0)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VLOOKUP($A31,[26]HISTOMAI25!$A$6:$AU$51,8,0)</f>
        <v>0</v>
      </c>
      <c r="Q31" s="36">
        <f>VLOOKUP($A31,[26]HISTOMAI25!$A$6:$AU$51,23,0)</f>
        <v>0</v>
      </c>
      <c r="R31" s="36">
        <f>VLOOKUP($A31,[26]HISTOMAI25!$A$6:$AU$51,46,0)</f>
        <v>0</v>
      </c>
      <c r="S31" s="36">
        <f>VLOOKUP($A31,[26]HISTOMAI25!$A$6:$AU$51,26,0)</f>
        <v>0</v>
      </c>
      <c r="T31" s="36">
        <f>VLOOKUP($A31,[26]HISTOMAI25!$A$6:$BG$51,58,0)</f>
        <v>0</v>
      </c>
      <c r="U31" s="36">
        <f>VLOOKUP($A31,[26]HISTOMAI25!$A$6:$AU$51,28,0)</f>
        <v>0</v>
      </c>
      <c r="V31" s="36">
        <f>VLOOKUP($A31,[26]HISTOMAI25!$A$6:$AU$51,19,0)</f>
        <v>0</v>
      </c>
      <c r="W31" s="36">
        <f>VLOOKUP($A31,[26]HISTOMAI25!$A$6:$AU$51,20,0)</f>
        <v>0</v>
      </c>
      <c r="X31" s="36">
        <f>VLOOKUP($A31,[26]HISTOMAI25!$A$6:$AU$51,27,0)</f>
        <v>0</v>
      </c>
      <c r="Y31" s="36">
        <f>VLOOKUP($A31,[26]HISTOMAI25!$A$6:$BM$51,33,0)</f>
        <v>0</v>
      </c>
      <c r="Z31" s="36">
        <f>VLOOKUP($A31,[26]HISTOMAI25!$A$6:$BM$51,64,0)</f>
        <v>0</v>
      </c>
      <c r="AA31" s="36"/>
      <c r="AB31" s="36">
        <f>VLOOKUP($A31,[26]HISTOMAI25!$A$6:$AU$51,44,0)</f>
        <v>0</v>
      </c>
      <c r="AC31" s="36">
        <f>VLOOKUP($A31,[26]HISTOMAI25!$A$6:$AU$51,43,0)</f>
        <v>0</v>
      </c>
      <c r="AD31" s="36">
        <f>VLOOKUP($A31,[26]HISTOMAI25!$A$6:$BR$51,47,0)</f>
        <v>0</v>
      </c>
      <c r="AE31" s="36">
        <f>VLOOKUP(A31,[26]HISTOMAI25!$A$6:$BR$51,54,0)</f>
        <v>0</v>
      </c>
      <c r="AF31" s="36">
        <f>VLOOKUP($A31,[26]HISTOMAI25!$A$6:$BR$51,60,0)</f>
        <v>0</v>
      </c>
      <c r="AG31" s="36">
        <f>VLOOKUP($A31,[26]HISTOMAI25!$A$6:$CB$51,61,0)</f>
        <v>0</v>
      </c>
      <c r="AH31" s="36">
        <f>VLOOKUP($A31,[26]HISTOMAI25!$A$6:$CB$51,62,0)</f>
        <v>0</v>
      </c>
      <c r="AI31" s="36">
        <f>VLOOKUP($A31,[26]HISTOMAI25!$A$6:$CB$51,63,0)</f>
        <v>0</v>
      </c>
      <c r="AJ31" s="36">
        <f>VLOOKUP($A31,[26]HISTOMAI25!$A$6:$BR$51,64,0)</f>
        <v>0</v>
      </c>
      <c r="AK31" s="36">
        <f>VLOOKUP($A31,[26]HISTOMAI25!$A$6:$BR$51,65,0)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VLOOKUP($A32,[26]HISTOMAI25!$A$6:$BA$51,48,0)</f>
        <v>0</v>
      </c>
      <c r="F32" s="36">
        <f>VLOOKUP(A32,MVTAVRIL25!A32:AM67,6,0)+MVTAVRIL25!H32-E32+L32</f>
        <v>1038852.2265319447</v>
      </c>
      <c r="G32" s="5">
        <f>IF(MVTMAI25!F32&gt;800000,(MVTAVRIL25!I32-E32+L32),0)</f>
        <v>1038852.2265319447</v>
      </c>
      <c r="H32" s="36">
        <f>VLOOKUP(A32,[27]MVTMAI25!$A$6:$AM$42,8,0)</f>
        <v>0</v>
      </c>
      <c r="I32" s="6">
        <f t="shared" si="1"/>
        <v>1038852.2265319447</v>
      </c>
      <c r="J32" s="36">
        <f>VLOOKUP($A32,[26]HISTOMAI25!$A$6:$AQ$51,22,0)</f>
        <v>0</v>
      </c>
      <c r="K32" s="36">
        <f>VLOOKUP($A32,[26]HISTOMAI25!$A$6:$AU$51,45,0)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VLOOKUP($A32,[26]HISTOMAI25!$A$6:$AU$51,8,0)</f>
        <v>0</v>
      </c>
      <c r="Q32" s="36">
        <f>VLOOKUP($A32,[26]HISTOMAI25!$A$6:$AU$51,23,0)</f>
        <v>0</v>
      </c>
      <c r="R32" s="36">
        <f>VLOOKUP($A32,[26]HISTOMAI25!$A$6:$AU$51,46,0)</f>
        <v>0</v>
      </c>
      <c r="S32" s="36">
        <f>VLOOKUP($A32,[26]HISTOMAI25!$A$6:$AU$51,26,0)</f>
        <v>0</v>
      </c>
      <c r="T32" s="36">
        <f>VLOOKUP($A32,[26]HISTOMAI25!$A$6:$BG$51,58,0)</f>
        <v>0</v>
      </c>
      <c r="U32" s="36">
        <f>VLOOKUP($A32,[26]HISTOMAI25!$A$6:$AU$51,28,0)</f>
        <v>0</v>
      </c>
      <c r="V32" s="36">
        <f>VLOOKUP($A32,[26]HISTOMAI25!$A$6:$AU$51,19,0)</f>
        <v>0</v>
      </c>
      <c r="W32" s="36">
        <f>VLOOKUP($A32,[26]HISTOMAI25!$A$6:$AU$51,20,0)</f>
        <v>0</v>
      </c>
      <c r="X32" s="36">
        <f>VLOOKUP($A32,[26]HISTOMAI25!$A$6:$AU$51,27,0)</f>
        <v>0</v>
      </c>
      <c r="Y32" s="36">
        <f>VLOOKUP($A32,[26]HISTOMAI25!$A$6:$BM$51,33,0)</f>
        <v>0</v>
      </c>
      <c r="Z32" s="36">
        <f>VLOOKUP($A32,[26]HISTOMAI25!$A$6:$BM$51,64,0)</f>
        <v>0</v>
      </c>
      <c r="AA32" s="36"/>
      <c r="AB32" s="36">
        <f>VLOOKUP($A32,[26]HISTOMAI25!$A$6:$AU$51,44,0)</f>
        <v>0</v>
      </c>
      <c r="AC32" s="36">
        <f>VLOOKUP($A32,[26]HISTOMAI25!$A$6:$AU$51,43,0)</f>
        <v>0</v>
      </c>
      <c r="AD32" s="36">
        <f>VLOOKUP($A32,[26]HISTOMAI25!$A$6:$BR$51,47,0)</f>
        <v>0</v>
      </c>
      <c r="AE32" s="36">
        <f>VLOOKUP(A32,[26]HISTOMAI25!$A$6:$BR$51,54,0)</f>
        <v>0</v>
      </c>
      <c r="AF32" s="36">
        <f>VLOOKUP($A32,[26]HISTOMAI25!$A$6:$BR$51,60,0)</f>
        <v>0</v>
      </c>
      <c r="AG32" s="36">
        <f>VLOOKUP($A32,[26]HISTOMAI25!$A$6:$CB$51,61,0)</f>
        <v>0</v>
      </c>
      <c r="AH32" s="36">
        <f>VLOOKUP($A32,[26]HISTOMAI25!$A$6:$CB$51,62,0)</f>
        <v>0</v>
      </c>
      <c r="AI32" s="36">
        <f>VLOOKUP($A32,[26]HISTOMAI25!$A$6:$CB$51,63,0)</f>
        <v>0</v>
      </c>
      <c r="AJ32" s="36">
        <f>VLOOKUP($A32,[26]HISTOMAI25!$A$6:$BR$51,64,0)</f>
        <v>0</v>
      </c>
      <c r="AK32" s="36">
        <f>VLOOKUP($A32,[26]HISTOMAI25!$A$6:$BR$51,65,0)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VLOOKUP($A33,[26]HISTOMAI25!$A$6:$BA$51,48,0)</f>
        <v>0</v>
      </c>
      <c r="F33" s="36">
        <f>VLOOKUP(A33,MVTAVRIL25!A33:AM68,6,0)+MVTAVRIL25!H33-E33+L33</f>
        <v>92000</v>
      </c>
      <c r="G33" s="5">
        <f>IF(MVTMAI25!F33&gt;800000,(MVTAVRIL25!I33-E33+L33),0)</f>
        <v>0</v>
      </c>
      <c r="H33" s="36">
        <f>VLOOKUP(A33,[27]MVTMAI25!$A$6:$AM$42,8,0)</f>
        <v>0</v>
      </c>
      <c r="I33" s="6">
        <f t="shared" si="1"/>
        <v>92000</v>
      </c>
      <c r="J33" s="36">
        <f>VLOOKUP($A33,[26]HISTOMAI25!$A$6:$AQ$51,22,0)</f>
        <v>0</v>
      </c>
      <c r="K33" s="36">
        <f>VLOOKUP($A33,[26]HISTOMAI25!$A$6:$AU$51,45,0)</f>
        <v>25000</v>
      </c>
      <c r="L33" s="36">
        <f t="shared" si="2"/>
        <v>19000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VLOOKUP($A33,[26]HISTOMAI25!$A$6:$AU$51,8,0)</f>
        <v>3000</v>
      </c>
      <c r="Q33" s="36">
        <f>VLOOKUP($A33,[26]HISTOMAI25!$A$6:$AU$51,23,0)</f>
        <v>0</v>
      </c>
      <c r="R33" s="36">
        <f>VLOOKUP($A33,[26]HISTOMAI25!$A$6:$AU$51,46,0)</f>
        <v>0</v>
      </c>
      <c r="S33" s="36">
        <f>VLOOKUP($A33,[26]HISTOMAI25!$A$6:$AU$51,26,0)</f>
        <v>0</v>
      </c>
      <c r="T33" s="36">
        <f>VLOOKUP($A33,[26]HISTOMAI25!$A$6:$BG$51,58,0)</f>
        <v>0</v>
      </c>
      <c r="U33" s="36">
        <f>VLOOKUP($A33,[26]HISTOMAI25!$A$6:$AU$51,28,0)</f>
        <v>0</v>
      </c>
      <c r="V33" s="36">
        <f>VLOOKUP($A33,[26]HISTOMAI25!$A$6:$AU$51,19,0)</f>
        <v>0</v>
      </c>
      <c r="W33" s="36">
        <f>VLOOKUP($A33,[26]HISTOMAI25!$A$6:$AU$51,20,0)</f>
        <v>0</v>
      </c>
      <c r="X33" s="36">
        <f>VLOOKUP($A33,[26]HISTOMAI25!$A$6:$AU$51,27,0)</f>
        <v>0</v>
      </c>
      <c r="Y33" s="36">
        <f>VLOOKUP($A33,[26]HISTOMAI25!$A$6:$BM$51,33,0)</f>
        <v>0</v>
      </c>
      <c r="Z33" s="36">
        <f>VLOOKUP($A33,[26]HISTOMAI25!$A$6:$BM$51,64,0)</f>
        <v>0</v>
      </c>
      <c r="AA33" s="36"/>
      <c r="AB33" s="36">
        <f>VLOOKUP($A33,[26]HISTOMAI25!$A$6:$AU$51,44,0)</f>
        <v>0</v>
      </c>
      <c r="AC33" s="36">
        <f>VLOOKUP($A33,[26]HISTOMAI25!$A$6:$AU$51,43,0)</f>
        <v>0</v>
      </c>
      <c r="AD33" s="36">
        <f>VLOOKUP($A33,[26]HISTOMAI25!$A$6:$BR$51,47,0)</f>
        <v>0</v>
      </c>
      <c r="AE33" s="36">
        <f>VLOOKUP(A33,[26]HISTOMAI25!$A$6:$BR$51,54,0)</f>
        <v>0</v>
      </c>
      <c r="AF33" s="36">
        <f>VLOOKUP($A33,[26]HISTOMAI25!$A$6:$BR$51,60,0)</f>
        <v>0</v>
      </c>
      <c r="AG33" s="36">
        <f>VLOOKUP($A33,[26]HISTOMAI25!$A$6:$CB$51,61,0)</f>
        <v>0</v>
      </c>
      <c r="AH33" s="36">
        <f>VLOOKUP($A33,[26]HISTOMAI25!$A$6:$CB$51,62,0)</f>
        <v>0</v>
      </c>
      <c r="AI33" s="36">
        <f>VLOOKUP($A33,[26]HISTOMAI25!$A$6:$CB$51,63,0)</f>
        <v>0</v>
      </c>
      <c r="AJ33" s="36">
        <f>VLOOKUP($A33,[26]HISTOMAI25!$A$6:$BR$51,64,0)</f>
        <v>0</v>
      </c>
      <c r="AK33" s="36">
        <f>VLOOKUP($A33,[26]HISTOMAI25!$A$6:$BR$51,65,0)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VLOOKUP($A34,[26]HISTOMAI25!$A$6:$BA$51,48,0)</f>
        <v>0</v>
      </c>
      <c r="F34" s="36">
        <f>VLOOKUP(A34,MVTAVRIL25!A34:AM69,6,0)+MVTAVRIL25!H34-E34+L34</f>
        <v>1004087.8813039019</v>
      </c>
      <c r="G34" s="5">
        <f>IF(MVTMAI25!F34&gt;800000,(MVTAVRIL25!I34-E34+L34),0)</f>
        <v>1004087.8813039019</v>
      </c>
      <c r="H34" s="36">
        <f>VLOOKUP(A34,[27]MVTMAI25!$A$6:$AM$42,8,0)</f>
        <v>0</v>
      </c>
      <c r="I34" s="6">
        <f t="shared" si="1"/>
        <v>1004087.8813039019</v>
      </c>
      <c r="J34" s="36">
        <f>VLOOKUP($A34,[26]HISTOMAI25!$A$6:$AQ$51,22,0)</f>
        <v>0</v>
      </c>
      <c r="K34" s="36">
        <f>VLOOKUP($A34,[26]HISTOMAI25!$A$6:$AU$51,45,0)</f>
        <v>25000</v>
      </c>
      <c r="L34" s="36">
        <f t="shared" si="2"/>
        <v>19000</v>
      </c>
      <c r="M34" s="36">
        <f t="shared" si="3"/>
        <v>1000</v>
      </c>
      <c r="N34" s="36">
        <f t="shared" si="0"/>
        <v>1000</v>
      </c>
      <c r="O34" s="36">
        <f t="shared" si="4"/>
        <v>4000</v>
      </c>
      <c r="P34" s="36">
        <f>VLOOKUP($A34,[26]HISTOMAI25!$A$6:$AU$51,8,0)</f>
        <v>0</v>
      </c>
      <c r="Q34" s="36">
        <f>VLOOKUP($A34,[26]HISTOMAI25!$A$6:$AU$51,23,0)</f>
        <v>0</v>
      </c>
      <c r="R34" s="36">
        <f>VLOOKUP($A34,[26]HISTOMAI25!$A$6:$AU$51,46,0)</f>
        <v>0</v>
      </c>
      <c r="S34" s="36">
        <f>VLOOKUP($A34,[26]HISTOMAI25!$A$6:$AU$51,26,0)</f>
        <v>0</v>
      </c>
      <c r="T34" s="36">
        <f>VLOOKUP($A34,[26]HISTOMAI25!$A$6:$BG$51,58,0)</f>
        <v>0</v>
      </c>
      <c r="U34" s="36">
        <f>VLOOKUP($A34,[26]HISTOMAI25!$A$6:$AU$51,28,0)</f>
        <v>0</v>
      </c>
      <c r="V34" s="36">
        <f>VLOOKUP($A34,[26]HISTOMAI25!$A$6:$AU$51,19,0)</f>
        <v>0</v>
      </c>
      <c r="W34" s="36">
        <f>VLOOKUP($A34,[26]HISTOMAI25!$A$6:$AU$51,20,0)</f>
        <v>0</v>
      </c>
      <c r="X34" s="36">
        <f>VLOOKUP($A34,[26]HISTOMAI25!$A$6:$AU$51,27,0)</f>
        <v>0</v>
      </c>
      <c r="Y34" s="36">
        <f>VLOOKUP($A34,[26]HISTOMAI25!$A$6:$BM$51,33,0)</f>
        <v>0</v>
      </c>
      <c r="Z34" s="36">
        <f>VLOOKUP($A34,[26]HISTOMAI25!$A$6:$BM$51,64,0)</f>
        <v>0</v>
      </c>
      <c r="AA34" s="36"/>
      <c r="AB34" s="36">
        <f>VLOOKUP($A34,[26]HISTOMAI25!$A$6:$AU$51,44,0)</f>
        <v>0</v>
      </c>
      <c r="AC34" s="36">
        <f>VLOOKUP($A34,[26]HISTOMAI25!$A$6:$AU$51,43,0)</f>
        <v>0</v>
      </c>
      <c r="AD34" s="36">
        <f>VLOOKUP($A34,[26]HISTOMAI25!$A$6:$BR$51,47,0)</f>
        <v>0</v>
      </c>
      <c r="AE34" s="36">
        <f>VLOOKUP(A34,[26]HISTOMAI25!$A$6:$BR$51,54,0)</f>
        <v>0</v>
      </c>
      <c r="AF34" s="36">
        <f>VLOOKUP($A34,[26]HISTOMAI25!$A$6:$BR$51,60,0)</f>
        <v>0</v>
      </c>
      <c r="AG34" s="36">
        <f>VLOOKUP($A34,[26]HISTOMAI25!$A$6:$CB$51,61,0)</f>
        <v>0</v>
      </c>
      <c r="AH34" s="36">
        <f>VLOOKUP($A34,[26]HISTOMAI25!$A$6:$CB$51,62,0)</f>
        <v>0</v>
      </c>
      <c r="AI34" s="36">
        <f>VLOOKUP($A34,[26]HISTOMAI25!$A$6:$CB$51,63,0)</f>
        <v>0</v>
      </c>
      <c r="AJ34" s="36">
        <f>VLOOKUP($A34,[26]HISTOMAI25!$A$6:$BR$51,64,0)</f>
        <v>0</v>
      </c>
      <c r="AK34" s="36">
        <f>VLOOKUP($A34,[26]HISTOMAI25!$A$6:$BR$51,65,0)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VLOOKUP($A35,[26]HISTOMAI25!$A$6:$BA$51,48,0)</f>
        <v>0</v>
      </c>
      <c r="F35" s="36">
        <f>VLOOKUP(A35,MVTAVRIL25!A35:AM70,6,0)+MVTAVRIL25!H35-E35+L35</f>
        <v>960501.3394432544</v>
      </c>
      <c r="G35" s="5">
        <f>IF(MVTMAI25!F35&gt;800000,(MVTAVRIL25!I35-E35+L35),0)</f>
        <v>960501.3394432544</v>
      </c>
      <c r="H35" s="36">
        <f>VLOOKUP(A35,[27]MVTMAI25!$A$6:$AM$42,8,0)</f>
        <v>0</v>
      </c>
      <c r="I35" s="6">
        <f t="shared" si="1"/>
        <v>960501.3394432544</v>
      </c>
      <c r="J35" s="36">
        <f>VLOOKUP($A35,[26]HISTOMAI25!$A$6:$AQ$51,22,0)</f>
        <v>0</v>
      </c>
      <c r="K35" s="36">
        <f>VLOOKUP($A35,[26]HISTOMAI25!$A$6:$AU$51,45,0)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VLOOKUP($A35,[26]HISTOMAI25!$A$6:$AU$51,8,0)</f>
        <v>0</v>
      </c>
      <c r="Q35" s="36">
        <f>VLOOKUP($A35,[26]HISTOMAI25!$A$6:$AU$51,23,0)</f>
        <v>0</v>
      </c>
      <c r="R35" s="36">
        <f>VLOOKUP($A35,[26]HISTOMAI25!$A$6:$AU$51,46,0)</f>
        <v>0</v>
      </c>
      <c r="S35" s="36">
        <f>VLOOKUP($A35,[26]HISTOMAI25!$A$6:$AU$51,26,0)</f>
        <v>0</v>
      </c>
      <c r="T35" s="36">
        <f>VLOOKUP($A35,[26]HISTOMAI25!$A$6:$BG$51,58,0)</f>
        <v>0</v>
      </c>
      <c r="U35" s="36">
        <f>VLOOKUP($A35,[26]HISTOMAI25!$A$6:$AU$51,28,0)</f>
        <v>0</v>
      </c>
      <c r="V35" s="36">
        <f>VLOOKUP($A35,[26]HISTOMAI25!$A$6:$AU$51,19,0)</f>
        <v>0</v>
      </c>
      <c r="W35" s="36">
        <f>VLOOKUP($A35,[26]HISTOMAI25!$A$6:$AU$51,20,0)</f>
        <v>0</v>
      </c>
      <c r="X35" s="36">
        <f>VLOOKUP($A35,[26]HISTOMAI25!$A$6:$AU$51,27,0)</f>
        <v>0</v>
      </c>
      <c r="Y35" s="36">
        <f>VLOOKUP($A35,[26]HISTOMAI25!$A$6:$BM$51,33,0)</f>
        <v>0</v>
      </c>
      <c r="Z35" s="36">
        <f>VLOOKUP($A35,[26]HISTOMAI25!$A$6:$BM$51,64,0)</f>
        <v>0</v>
      </c>
      <c r="AA35" s="36"/>
      <c r="AB35" s="36">
        <f>VLOOKUP($A35,[26]HISTOMAI25!$A$6:$AU$51,44,0)</f>
        <v>0</v>
      </c>
      <c r="AC35" s="36">
        <f>VLOOKUP($A35,[26]HISTOMAI25!$A$6:$AU$51,43,0)</f>
        <v>0</v>
      </c>
      <c r="AD35" s="36">
        <f>VLOOKUP($A35,[26]HISTOMAI25!$A$6:$BR$51,47,0)</f>
        <v>0</v>
      </c>
      <c r="AE35" s="36">
        <f>VLOOKUP(A35,[26]HISTOMAI25!$A$6:$BR$51,54,0)</f>
        <v>0</v>
      </c>
      <c r="AF35" s="36">
        <f>VLOOKUP($A35,[26]HISTOMAI25!$A$6:$BR$51,60,0)</f>
        <v>0</v>
      </c>
      <c r="AG35" s="36">
        <f>VLOOKUP($A35,[26]HISTOMAI25!$A$6:$CB$51,61,0)</f>
        <v>0</v>
      </c>
      <c r="AH35" s="36">
        <f>VLOOKUP($A35,[26]HISTOMAI25!$A$6:$CB$51,62,0)</f>
        <v>0</v>
      </c>
      <c r="AI35" s="36">
        <f>VLOOKUP($A35,[26]HISTOMAI25!$A$6:$CB$51,63,0)</f>
        <v>0</v>
      </c>
      <c r="AJ35" s="36">
        <f>VLOOKUP($A35,[26]HISTOMAI25!$A$6:$BR$51,64,0)</f>
        <v>0</v>
      </c>
      <c r="AK35" s="36">
        <f>VLOOKUP($A35,[26]HISTOMAI25!$A$6:$BR$51,65,0)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VLOOKUP($A36,[26]HISTOMAI25!$A$6:$BA$51,48,0)</f>
        <v>0</v>
      </c>
      <c r="F36" s="36">
        <f>VLOOKUP(A36,MVTAVRIL25!A36:AM71,6,0)+MVTAVRIL25!H36-E36+L36</f>
        <v>950375.01065586659</v>
      </c>
      <c r="G36" s="5">
        <f>IF(MVTMAI25!F36&gt;800000,(MVTAVRIL25!I36-E36+L36),0)</f>
        <v>950375.01065586659</v>
      </c>
      <c r="H36" s="36">
        <f>VLOOKUP(A36,[27]MVTMAI25!$A$6:$AM$42,8,0)</f>
        <v>0</v>
      </c>
      <c r="I36" s="6">
        <f t="shared" si="1"/>
        <v>950375.01065586659</v>
      </c>
      <c r="J36" s="36">
        <f>VLOOKUP($A36,[26]HISTOMAI25!$A$6:$AQ$51,22,0)</f>
        <v>0</v>
      </c>
      <c r="K36" s="36">
        <f>VLOOKUP($A36,[26]HISTOMAI25!$A$6:$AU$51,45,0)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VLOOKUP($A36,[26]HISTOMAI25!$A$6:$AU$51,8,0)</f>
        <v>0</v>
      </c>
      <c r="Q36" s="36">
        <f>VLOOKUP($A36,[26]HISTOMAI25!$A$6:$AU$51,23,0)</f>
        <v>0</v>
      </c>
      <c r="R36" s="36">
        <f>VLOOKUP($A36,[26]HISTOMAI25!$A$6:$AU$51,46,0)</f>
        <v>0</v>
      </c>
      <c r="S36" s="36">
        <f>VLOOKUP($A36,[26]HISTOMAI25!$A$6:$AU$51,26,0)</f>
        <v>0</v>
      </c>
      <c r="T36" s="36">
        <f>VLOOKUP($A36,[26]HISTOMAI25!$A$6:$BG$51,58,0)</f>
        <v>0</v>
      </c>
      <c r="U36" s="36">
        <f>VLOOKUP($A36,[26]HISTOMAI25!$A$6:$AU$51,28,0)</f>
        <v>0</v>
      </c>
      <c r="V36" s="36">
        <f>VLOOKUP($A36,[26]HISTOMAI25!$A$6:$AU$51,19,0)</f>
        <v>0</v>
      </c>
      <c r="W36" s="36">
        <f>VLOOKUP($A36,[26]HISTOMAI25!$A$6:$AU$51,20,0)</f>
        <v>0</v>
      </c>
      <c r="X36" s="36">
        <f>VLOOKUP($A36,[26]HISTOMAI25!$A$6:$AU$51,27,0)</f>
        <v>0</v>
      </c>
      <c r="Y36" s="36">
        <f>VLOOKUP($A36,[26]HISTOMAI25!$A$6:$BM$51,33,0)</f>
        <v>0</v>
      </c>
      <c r="Z36" s="36">
        <f>VLOOKUP($A36,[26]HISTOMAI25!$A$6:$BM$51,64,0)</f>
        <v>0</v>
      </c>
      <c r="AA36" s="36"/>
      <c r="AB36" s="36">
        <f>VLOOKUP($A36,[26]HISTOMAI25!$A$6:$AU$51,44,0)</f>
        <v>0</v>
      </c>
      <c r="AC36" s="36">
        <f>VLOOKUP($A36,[26]HISTOMAI25!$A$6:$AU$51,43,0)</f>
        <v>0</v>
      </c>
      <c r="AD36" s="36">
        <f>VLOOKUP($A36,[26]HISTOMAI25!$A$6:$BR$51,47,0)</f>
        <v>0</v>
      </c>
      <c r="AE36" s="36">
        <f>VLOOKUP(A36,[26]HISTOMAI25!$A$6:$BR$51,54,0)</f>
        <v>0</v>
      </c>
      <c r="AF36" s="36">
        <f>VLOOKUP($A36,[26]HISTOMAI25!$A$6:$BR$51,60,0)</f>
        <v>0</v>
      </c>
      <c r="AG36" s="36">
        <f>VLOOKUP($A36,[26]HISTOMAI25!$A$6:$CB$51,61,0)</f>
        <v>0</v>
      </c>
      <c r="AH36" s="36">
        <f>VLOOKUP($A36,[26]HISTOMAI25!$A$6:$CB$51,62,0)</f>
        <v>0</v>
      </c>
      <c r="AI36" s="36">
        <f>VLOOKUP($A36,[26]HISTOMAI25!$A$6:$CB$51,63,0)</f>
        <v>0</v>
      </c>
      <c r="AJ36" s="36">
        <f>VLOOKUP($A36,[26]HISTOMAI25!$A$6:$BR$51,64,0)</f>
        <v>0</v>
      </c>
      <c r="AK36" s="36">
        <f>VLOOKUP($A36,[26]HISTOMAI25!$A$6:$BR$51,65,0)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VLOOKUP($A37,[26]HISTOMAI25!$A$6:$BA$51,48,0)</f>
        <v>0</v>
      </c>
      <c r="F37" s="36">
        <f>VLOOKUP(A37,MVTAVRIL25!A37:AM72,6,0)+MVTAVRIL25!H37-E37+L37</f>
        <v>579750</v>
      </c>
      <c r="G37" s="5">
        <f>IF(MVTMAI25!F37&gt;800000,(MVTAVRIL25!I37-E37+L37),0)</f>
        <v>0</v>
      </c>
      <c r="H37" s="36">
        <f>VLOOKUP(A37,[27]MVTMAI25!$A$6:$AM$42,8,0)</f>
        <v>0</v>
      </c>
      <c r="I37" s="6">
        <f t="shared" si="1"/>
        <v>579750</v>
      </c>
      <c r="J37" s="36">
        <f>VLOOKUP($A37,[26]HISTOMAI25!$A$6:$AQ$51,22,0)</f>
        <v>0</v>
      </c>
      <c r="K37" s="36">
        <f>VLOOKUP($A37,[26]HISTOMAI25!$A$6:$AU$51,45,0)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VLOOKUP($A37,[26]HISTOMAI25!$A$6:$AU$51,8,0)</f>
        <v>0</v>
      </c>
      <c r="Q37" s="36">
        <f>VLOOKUP($A37,[26]HISTOMAI25!$A$6:$AU$51,23,0)</f>
        <v>0</v>
      </c>
      <c r="R37" s="36">
        <f>VLOOKUP($A37,[26]HISTOMAI25!$A$6:$AU$51,46,0)</f>
        <v>0</v>
      </c>
      <c r="S37" s="36">
        <f>VLOOKUP($A37,[26]HISTOMAI25!$A$6:$AU$51,26,0)</f>
        <v>0</v>
      </c>
      <c r="T37" s="36">
        <f>VLOOKUP($A37,[26]HISTOMAI25!$A$6:$BG$51,58,0)</f>
        <v>0</v>
      </c>
      <c r="U37" s="36">
        <f>VLOOKUP($A37,[26]HISTOMAI25!$A$6:$AU$51,28,0)</f>
        <v>0</v>
      </c>
      <c r="V37" s="36">
        <f>VLOOKUP($A37,[26]HISTOMAI25!$A$6:$AU$51,19,0)</f>
        <v>0</v>
      </c>
      <c r="W37" s="36">
        <f>VLOOKUP($A37,[26]HISTOMAI25!$A$6:$AU$51,20,0)</f>
        <v>0</v>
      </c>
      <c r="X37" s="36">
        <f>VLOOKUP($A37,[26]HISTOMAI25!$A$6:$AU$51,27,0)</f>
        <v>0</v>
      </c>
      <c r="Y37" s="36">
        <f>VLOOKUP($A37,[26]HISTOMAI25!$A$6:$BM$51,33,0)</f>
        <v>0</v>
      </c>
      <c r="Z37" s="36">
        <f>VLOOKUP($A37,[26]HISTOMAI25!$A$6:$BM$51,64,0)</f>
        <v>0</v>
      </c>
      <c r="AA37" s="36"/>
      <c r="AB37" s="36">
        <f>VLOOKUP($A37,[26]HISTOMAI25!$A$6:$AU$51,44,0)</f>
        <v>0</v>
      </c>
      <c r="AC37" s="36">
        <f>VLOOKUP($A37,[26]HISTOMAI25!$A$6:$AU$51,43,0)</f>
        <v>0</v>
      </c>
      <c r="AD37" s="36">
        <f>VLOOKUP($A37,[26]HISTOMAI25!$A$6:$BR$51,47,0)</f>
        <v>0</v>
      </c>
      <c r="AE37" s="36">
        <f>VLOOKUP(A37,[26]HISTOMAI25!$A$6:$BR$51,54,0)</f>
        <v>0</v>
      </c>
      <c r="AF37" s="36">
        <f>VLOOKUP($A37,[26]HISTOMAI25!$A$6:$BR$51,60,0)</f>
        <v>0</v>
      </c>
      <c r="AG37" s="36">
        <f>VLOOKUP($A37,[26]HISTOMAI25!$A$6:$CB$51,61,0)</f>
        <v>0</v>
      </c>
      <c r="AH37" s="36">
        <f>VLOOKUP($A37,[26]HISTOMAI25!$A$6:$CB$51,62,0)</f>
        <v>0</v>
      </c>
      <c r="AI37" s="36">
        <f>VLOOKUP($A37,[26]HISTOMAI25!$A$6:$CB$51,63,0)</f>
        <v>0</v>
      </c>
      <c r="AJ37" s="36">
        <f>VLOOKUP($A37,[26]HISTOMAI25!$A$6:$BR$51,64,0)</f>
        <v>0</v>
      </c>
      <c r="AK37" s="36">
        <f>VLOOKUP($A37,[26]HISTOMAI25!$A$6:$BR$51,65,0)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VLOOKUP($A38,[26]HISTOMAI25!$A$6:$BA$51,48,0)</f>
        <v>0</v>
      </c>
      <c r="F38" s="36">
        <f>VLOOKUP(A38,MVTAVRIL25!A38:AM73,6,0)+MVTAVRIL25!H38-E38+L38</f>
        <v>86000</v>
      </c>
      <c r="G38" s="5">
        <f>IF(MVTMAI25!F38&gt;800000,(MVTAVRIL25!I38-E38+L38),0)</f>
        <v>0</v>
      </c>
      <c r="H38" s="36">
        <f>VLOOKUP(A38,[27]MVTMAI25!$A$6:$AM$42,8,0)</f>
        <v>0</v>
      </c>
      <c r="I38" s="6">
        <f t="shared" si="1"/>
        <v>86000</v>
      </c>
      <c r="J38" s="36">
        <f>VLOOKUP($A38,[26]HISTOMAI25!$A$6:$AQ$51,22,0)</f>
        <v>0</v>
      </c>
      <c r="K38" s="36">
        <f>VLOOKUP($A38,[26]HISTOMAI25!$A$6:$AU$51,45,0)</f>
        <v>22000</v>
      </c>
      <c r="L38" s="36">
        <f t="shared" si="2"/>
        <v>16000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VLOOKUP($A38,[26]HISTOMAI25!$A$6:$AU$51,8,0)</f>
        <v>3000</v>
      </c>
      <c r="Q38" s="36">
        <f>VLOOKUP($A38,[26]HISTOMAI25!$A$6:$AU$51,23,0)</f>
        <v>0</v>
      </c>
      <c r="R38" s="36">
        <f>VLOOKUP($A38,[26]HISTOMAI25!$A$6:$AU$51,46,0)</f>
        <v>0</v>
      </c>
      <c r="S38" s="36">
        <f>VLOOKUP($A38,[26]HISTOMAI25!$A$6:$AU$51,26,0)</f>
        <v>0</v>
      </c>
      <c r="T38" s="36">
        <f>VLOOKUP($A38,[26]HISTOMAI25!$A$6:$BG$51,58,0)</f>
        <v>0</v>
      </c>
      <c r="U38" s="36">
        <f>VLOOKUP($A38,[26]HISTOMAI25!$A$6:$AU$51,28,0)</f>
        <v>0</v>
      </c>
      <c r="V38" s="36">
        <f>VLOOKUP($A38,[26]HISTOMAI25!$A$6:$AU$51,19,0)</f>
        <v>0</v>
      </c>
      <c r="W38" s="36">
        <f>VLOOKUP($A38,[26]HISTOMAI25!$A$6:$AU$51,20,0)</f>
        <v>0</v>
      </c>
      <c r="X38" s="36">
        <f>VLOOKUP($A38,[26]HISTOMAI25!$A$6:$AU$51,27,0)</f>
        <v>0</v>
      </c>
      <c r="Y38" s="36">
        <f>VLOOKUP($A38,[26]HISTOMAI25!$A$6:$BM$51,33,0)</f>
        <v>0</v>
      </c>
      <c r="Z38" s="36">
        <f>VLOOKUP($A38,[26]HISTOMAI25!$A$6:$BM$51,64,0)</f>
        <v>0</v>
      </c>
      <c r="AA38" s="36"/>
      <c r="AB38" s="36">
        <f>VLOOKUP($A38,[26]HISTOMAI25!$A$6:$AU$51,44,0)</f>
        <v>0</v>
      </c>
      <c r="AC38" s="36">
        <f>VLOOKUP($A38,[26]HISTOMAI25!$A$6:$AU$51,43,0)</f>
        <v>0</v>
      </c>
      <c r="AD38" s="36">
        <f>VLOOKUP($A38,[26]HISTOMAI25!$A$6:$BR$51,47,0)</f>
        <v>0</v>
      </c>
      <c r="AE38" s="36">
        <f>VLOOKUP(A38,[26]HISTOMAI25!$A$6:$BR$51,54,0)</f>
        <v>0</v>
      </c>
      <c r="AF38" s="36">
        <f>VLOOKUP($A38,[26]HISTOMAI25!$A$6:$BR$51,60,0)</f>
        <v>0</v>
      </c>
      <c r="AG38" s="36">
        <f>VLOOKUP($A38,[26]HISTOMAI25!$A$6:$CB$51,61,0)</f>
        <v>0</v>
      </c>
      <c r="AH38" s="36">
        <f>VLOOKUP($A38,[26]HISTOMAI25!$A$6:$CB$51,62,0)</f>
        <v>0</v>
      </c>
      <c r="AI38" s="36">
        <f>VLOOKUP($A38,[26]HISTOMAI25!$A$6:$CB$51,63,0)</f>
        <v>0</v>
      </c>
      <c r="AJ38" s="36">
        <f>VLOOKUP($A38,[26]HISTOMAI25!$A$6:$BR$51,64,0)</f>
        <v>0</v>
      </c>
      <c r="AK38" s="36">
        <f>VLOOKUP($A38,[26]HISTOMAI25!$A$6:$BR$51,65,0)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VLOOKUP($A39,[26]HISTOMAI25!$A$6:$BA$51,48,0)</f>
        <v>0</v>
      </c>
      <c r="F39" s="36">
        <f>VLOOKUP(A39,MVTAVRIL25!A39:AM74,6,0)+MVTAVRIL25!H39-E39+L39</f>
        <v>924235.14821666293</v>
      </c>
      <c r="G39" s="5">
        <f>IF(MVTMAI25!F39&gt;800000,(MVTAVRIL25!I39-E39+L39),0)</f>
        <v>924235.14821666293</v>
      </c>
      <c r="H39" s="36">
        <f>VLOOKUP(A39,[27]MVTMAI25!$A$6:$AM$42,8,0)</f>
        <v>0</v>
      </c>
      <c r="I39" s="6">
        <f t="shared" si="1"/>
        <v>924235.14821666293</v>
      </c>
      <c r="J39" s="36">
        <f>VLOOKUP($A39,[26]HISTOMAI25!$A$6:$AQ$51,22,0)</f>
        <v>0</v>
      </c>
      <c r="K39" s="36">
        <f>VLOOKUP($A39,[26]HISTOMAI25!$A$6:$AU$51,45,0)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VLOOKUP($A39,[26]HISTOMAI25!$A$6:$AU$51,8,0)</f>
        <v>0</v>
      </c>
      <c r="Q39" s="36">
        <f>VLOOKUP($A39,[26]HISTOMAI25!$A$6:$AU$51,23,0)</f>
        <v>0</v>
      </c>
      <c r="R39" s="36">
        <f>VLOOKUP($A39,[26]HISTOMAI25!$A$6:$AU$51,46,0)</f>
        <v>0</v>
      </c>
      <c r="S39" s="36">
        <f>VLOOKUP($A39,[26]HISTOMAI25!$A$6:$AU$51,26,0)</f>
        <v>0</v>
      </c>
      <c r="T39" s="36">
        <f>VLOOKUP($A39,[26]HISTOMAI25!$A$6:$BG$51,58,0)</f>
        <v>0</v>
      </c>
      <c r="U39" s="36">
        <f>VLOOKUP($A39,[26]HISTOMAI25!$A$6:$AU$51,28,0)</f>
        <v>0</v>
      </c>
      <c r="V39" s="36">
        <f>VLOOKUP($A39,[26]HISTOMAI25!$A$6:$AU$51,19,0)</f>
        <v>0</v>
      </c>
      <c r="W39" s="36">
        <f>VLOOKUP($A39,[26]HISTOMAI25!$A$6:$AU$51,20,0)</f>
        <v>0</v>
      </c>
      <c r="X39" s="36">
        <f>VLOOKUP($A39,[26]HISTOMAI25!$A$6:$AU$51,27,0)</f>
        <v>0</v>
      </c>
      <c r="Y39" s="36">
        <f>VLOOKUP($A39,[26]HISTOMAI25!$A$6:$BM$51,33,0)</f>
        <v>0</v>
      </c>
      <c r="Z39" s="36">
        <f>VLOOKUP($A39,[26]HISTOMAI25!$A$6:$BM$51,64,0)</f>
        <v>0</v>
      </c>
      <c r="AA39" s="36"/>
      <c r="AB39" s="36">
        <f>VLOOKUP($A39,[26]HISTOMAI25!$A$6:$AU$51,44,0)</f>
        <v>0</v>
      </c>
      <c r="AC39" s="36">
        <f>VLOOKUP($A39,[26]HISTOMAI25!$A$6:$AU$51,43,0)</f>
        <v>0</v>
      </c>
      <c r="AD39" s="36">
        <f>VLOOKUP($A39,[26]HISTOMAI25!$A$6:$BR$51,47,0)</f>
        <v>0</v>
      </c>
      <c r="AE39" s="36">
        <f>VLOOKUP(A39,[26]HISTOMAI25!$A$6:$BR$51,54,0)</f>
        <v>0</v>
      </c>
      <c r="AF39" s="36">
        <f>VLOOKUP($A39,[26]HISTOMAI25!$A$6:$BR$51,60,0)</f>
        <v>0</v>
      </c>
      <c r="AG39" s="36">
        <f>VLOOKUP($A39,[26]HISTOMAI25!$A$6:$CB$51,61,0)</f>
        <v>0</v>
      </c>
      <c r="AH39" s="36">
        <f>VLOOKUP($A39,[26]HISTOMAI25!$A$6:$CB$51,62,0)</f>
        <v>0</v>
      </c>
      <c r="AI39" s="36">
        <f>VLOOKUP($A39,[26]HISTOMAI25!$A$6:$CB$51,63,0)</f>
        <v>0</v>
      </c>
      <c r="AJ39" s="36">
        <f>VLOOKUP($A39,[26]HISTOMAI25!$A$6:$BR$51,64,0)</f>
        <v>0</v>
      </c>
      <c r="AK39" s="36">
        <f>VLOOKUP($A39,[26]HISTOMAI25!$A$6:$BR$51,65,0)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VLOOKUP($A40,[26]HISTOMAI25!$A$6:$BA$51,48,0)</f>
        <v>0</v>
      </c>
      <c r="F40" s="36">
        <f>VLOOKUP(A40,MVTAVRIL25!A40:AM75,6,0)+MVTAVRIL25!H40-E40+L40</f>
        <v>1744215.5898191084</v>
      </c>
      <c r="G40" s="5">
        <f>IF(MVTMAI25!F40&gt;800000,(MVTAVRIL25!I40-E40+L40),0)</f>
        <v>1744215.5898191084</v>
      </c>
      <c r="H40" s="36">
        <f>VLOOKUP(A40,[27]MVTMAI25!$A$6:$AM$42,8,0)</f>
        <v>0</v>
      </c>
      <c r="I40" s="6">
        <f t="shared" si="1"/>
        <v>1744215.5898191084</v>
      </c>
      <c r="J40" s="36">
        <f>VLOOKUP($A40,[26]HISTOMAI25!$A$6:$AQ$51,22,0)</f>
        <v>0</v>
      </c>
      <c r="K40" s="36">
        <f>VLOOKUP($A40,[26]HISTOMAI25!$A$6:$AU$51,45,0)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VLOOKUP($A40,[26]HISTOMAI25!$A$6:$AU$51,8,0)</f>
        <v>0</v>
      </c>
      <c r="Q40" s="36">
        <f>VLOOKUP($A40,[26]HISTOMAI25!$A$6:$AU$51,23,0)</f>
        <v>0</v>
      </c>
      <c r="R40" s="36">
        <f>VLOOKUP($A40,[26]HISTOMAI25!$A$6:$AU$51,46,0)</f>
        <v>0</v>
      </c>
      <c r="S40" s="36">
        <f>VLOOKUP($A40,[26]HISTOMAI25!$A$6:$AU$51,26,0)</f>
        <v>0</v>
      </c>
      <c r="T40" s="36">
        <f>VLOOKUP($A40,[26]HISTOMAI25!$A$6:$BG$51,58,0)</f>
        <v>0</v>
      </c>
      <c r="U40" s="36">
        <f>VLOOKUP($A40,[26]HISTOMAI25!$A$6:$AU$51,28,0)</f>
        <v>0</v>
      </c>
      <c r="V40" s="36">
        <f>VLOOKUP($A40,[26]HISTOMAI25!$A$6:$AU$51,19,0)</f>
        <v>0</v>
      </c>
      <c r="W40" s="36">
        <f>VLOOKUP($A40,[26]HISTOMAI25!$A$6:$AU$51,20,0)</f>
        <v>0</v>
      </c>
      <c r="X40" s="36">
        <f>VLOOKUP($A40,[26]HISTOMAI25!$A$6:$AU$51,27,0)</f>
        <v>0</v>
      </c>
      <c r="Y40" s="36">
        <f>VLOOKUP($A40,[26]HISTOMAI25!$A$6:$BM$51,33,0)</f>
        <v>0</v>
      </c>
      <c r="Z40" s="36">
        <f>VLOOKUP($A40,[26]HISTOMAI25!$A$6:$BM$51,64,0)</f>
        <v>0</v>
      </c>
      <c r="AA40" s="36"/>
      <c r="AB40" s="36">
        <f>VLOOKUP($A40,[26]HISTOMAI25!$A$6:$AU$51,44,0)</f>
        <v>0</v>
      </c>
      <c r="AC40" s="36">
        <f>VLOOKUP($A40,[26]HISTOMAI25!$A$6:$AU$51,43,0)</f>
        <v>0</v>
      </c>
      <c r="AD40" s="36">
        <f>VLOOKUP($A40,[26]HISTOMAI25!$A$6:$BR$51,47,0)</f>
        <v>0</v>
      </c>
      <c r="AE40" s="36">
        <f>VLOOKUP(A40,[26]HISTOMAI25!$A$6:$BR$51,54,0)</f>
        <v>0</v>
      </c>
      <c r="AF40" s="36">
        <f>VLOOKUP($A40,[26]HISTOMAI25!$A$6:$BR$51,60,0)</f>
        <v>0</v>
      </c>
      <c r="AG40" s="36">
        <f>VLOOKUP($A40,[26]HISTOMAI25!$A$6:$CB$51,61,0)</f>
        <v>0</v>
      </c>
      <c r="AH40" s="36">
        <f>VLOOKUP($A40,[26]HISTOMAI25!$A$6:$CB$51,62,0)</f>
        <v>0</v>
      </c>
      <c r="AI40" s="36">
        <f>VLOOKUP($A40,[26]HISTOMAI25!$A$6:$CB$51,63,0)</f>
        <v>0</v>
      </c>
      <c r="AJ40" s="36">
        <f>VLOOKUP($A40,[26]HISTOMAI25!$A$6:$BR$51,64,0)</f>
        <v>0</v>
      </c>
      <c r="AK40" s="36">
        <f>VLOOKUP($A40,[26]HISTOMAI25!$A$6:$BR$51,65,0)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VLOOKUP($A41,[26]HISTOMAI25!$A$6:$BA$51,48,0)</f>
        <v>0</v>
      </c>
      <c r="F41" s="36">
        <f>VLOOKUP(A41,MVTAVRIL25!A41:AM76,6,0)+MVTAVRIL25!H41-E41+L41</f>
        <v>954271.31996370177</v>
      </c>
      <c r="G41" s="5">
        <f>IF(MVTMAI25!F41&gt;800000,(MVTAVRIL25!I41-E41+L41),0)</f>
        <v>954271.31996370177</v>
      </c>
      <c r="H41" s="36">
        <f>VLOOKUP(A41,[27]MVTMAI25!$A$6:$AM$42,8,0)</f>
        <v>0</v>
      </c>
      <c r="I41" s="6">
        <f t="shared" si="1"/>
        <v>954271.31996370177</v>
      </c>
      <c r="J41" s="36">
        <f>VLOOKUP($A41,[26]HISTOMAI25!$A$6:$AQ$51,22,0)</f>
        <v>0</v>
      </c>
      <c r="K41" s="36">
        <f>VLOOKUP($A41,[26]HISTOMAI25!$A$6:$AU$51,45,0)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VLOOKUP($A41,[26]HISTOMAI25!$A$6:$AU$51,8,0)</f>
        <v>0</v>
      </c>
      <c r="Q41" s="36">
        <f>VLOOKUP($A41,[26]HISTOMAI25!$A$6:$AU$51,23,0)</f>
        <v>0</v>
      </c>
      <c r="R41" s="36">
        <f>VLOOKUP($A41,[26]HISTOMAI25!$A$6:$AU$51,46,0)</f>
        <v>0</v>
      </c>
      <c r="S41" s="36">
        <f>VLOOKUP($A41,[26]HISTOMAI25!$A$6:$AU$51,26,0)</f>
        <v>0</v>
      </c>
      <c r="T41" s="36">
        <f>VLOOKUP($A41,[26]HISTOMAI25!$A$6:$BG$51,58,0)</f>
        <v>0</v>
      </c>
      <c r="U41" s="36">
        <f>VLOOKUP($A41,[26]HISTOMAI25!$A$6:$AU$51,28,0)</f>
        <v>0</v>
      </c>
      <c r="V41" s="36">
        <f>VLOOKUP($A41,[26]HISTOMAI25!$A$6:$AU$51,19,0)</f>
        <v>0</v>
      </c>
      <c r="W41" s="36">
        <f>VLOOKUP($A41,[26]HISTOMAI25!$A$6:$AU$51,20,0)</f>
        <v>0</v>
      </c>
      <c r="X41" s="36">
        <f>VLOOKUP($A41,[26]HISTOMAI25!$A$6:$AU$51,27,0)</f>
        <v>0</v>
      </c>
      <c r="Y41" s="36">
        <f>VLOOKUP($A41,[26]HISTOMAI25!$A$6:$BM$51,33,0)</f>
        <v>0</v>
      </c>
      <c r="Z41" s="36">
        <f>VLOOKUP($A41,[26]HISTOMAI25!$A$6:$BM$51,64,0)</f>
        <v>0</v>
      </c>
      <c r="AA41" s="36"/>
      <c r="AB41" s="36">
        <f>VLOOKUP($A41,[26]HISTOMAI25!$A$6:$AU$51,44,0)</f>
        <v>0</v>
      </c>
      <c r="AC41" s="36">
        <f>VLOOKUP($A41,[26]HISTOMAI25!$A$6:$AU$51,43,0)</f>
        <v>0</v>
      </c>
      <c r="AD41" s="36">
        <f>VLOOKUP($A41,[26]HISTOMAI25!$A$6:$BR$51,47,0)</f>
        <v>0</v>
      </c>
      <c r="AE41" s="36">
        <f>VLOOKUP(A41,[26]HISTOMAI25!$A$6:$BR$51,54,0)</f>
        <v>0</v>
      </c>
      <c r="AF41" s="36">
        <f>VLOOKUP($A41,[26]HISTOMAI25!$A$6:$BR$51,60,0)</f>
        <v>0</v>
      </c>
      <c r="AG41" s="36">
        <f>VLOOKUP($A41,[26]HISTOMAI25!$A$6:$CB$51,61,0)</f>
        <v>0</v>
      </c>
      <c r="AH41" s="36">
        <f>VLOOKUP($A41,[26]HISTOMAI25!$A$6:$CB$51,62,0)</f>
        <v>0</v>
      </c>
      <c r="AI41" s="36">
        <f>VLOOKUP($A41,[26]HISTOMAI25!$A$6:$CB$51,63,0)</f>
        <v>0</v>
      </c>
      <c r="AJ41" s="36">
        <f>VLOOKUP($A41,[26]HISTOMAI25!$A$6:$BR$51,64,0)</f>
        <v>0</v>
      </c>
      <c r="AK41" s="36">
        <f>VLOOKUP($A41,[26]HISTOMAI25!$A$6:$BR$51,65,0)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VLOOKUP($A42,[26]HISTOMAI25!$A$6:$BA$51,48,0)</f>
        <v>0</v>
      </c>
      <c r="F42" s="36">
        <f>VLOOKUP(A42,MVTAVRIL25!A42:AM77,6,0)+MVTAVRIL25!H42-E42+L42</f>
        <v>2242990.1954813572</v>
      </c>
      <c r="G42" s="5">
        <f>IF(MVTMAI25!F42&gt;800000,(MVTAVRIL25!I42-E42+L42),0)</f>
        <v>2242990.1954813572</v>
      </c>
      <c r="H42" s="36">
        <f>VLOOKUP(A42,[27]MVTMAI25!$A$6:$AM$42,8,0)</f>
        <v>0</v>
      </c>
      <c r="I42" s="6">
        <f t="shared" si="1"/>
        <v>2242990.1954813572</v>
      </c>
      <c r="J42" s="36">
        <f>VLOOKUP($A42,[26]HISTOMAI25!$A$6:$AQ$51,22,0)</f>
        <v>0</v>
      </c>
      <c r="K42" s="36">
        <f>VLOOKUP($A42,[26]HISTOMAI25!$A$6:$AU$51,45,0)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VLOOKUP($A42,[26]HISTOMAI25!$A$6:$AU$51,8,0)</f>
        <v>0</v>
      </c>
      <c r="Q42" s="36">
        <f>VLOOKUP($A42,[26]HISTOMAI25!$A$6:$AU$51,23,0)</f>
        <v>0</v>
      </c>
      <c r="R42" s="36">
        <f>VLOOKUP($A42,[26]HISTOMAI25!$A$6:$AU$51,46,0)</f>
        <v>0</v>
      </c>
      <c r="S42" s="36">
        <f>VLOOKUP($A42,[26]HISTOMAI25!$A$6:$AU$51,26,0)</f>
        <v>0</v>
      </c>
      <c r="T42" s="36">
        <f>VLOOKUP($A42,[26]HISTOMAI25!$A$6:$BG$51,58,0)</f>
        <v>0</v>
      </c>
      <c r="U42" s="36">
        <f>VLOOKUP($A42,[26]HISTOMAI25!$A$6:$AU$51,28,0)</f>
        <v>0</v>
      </c>
      <c r="V42" s="36">
        <f>VLOOKUP($A42,[26]HISTOMAI25!$A$6:$AU$51,19,0)</f>
        <v>0</v>
      </c>
      <c r="W42" s="36">
        <f>VLOOKUP($A42,[26]HISTOMAI25!$A$6:$AU$51,20,0)</f>
        <v>0</v>
      </c>
      <c r="X42" s="36">
        <f>VLOOKUP($A42,[26]HISTOMAI25!$A$6:$AU$51,27,0)</f>
        <v>0</v>
      </c>
      <c r="Y42" s="36">
        <f>VLOOKUP($A42,[26]HISTOMAI25!$A$6:$BM$51,33,0)</f>
        <v>0</v>
      </c>
      <c r="Z42" s="36">
        <f>VLOOKUP($A42,[26]HISTOMAI25!$A$6:$BM$51,64,0)</f>
        <v>0</v>
      </c>
      <c r="AA42" s="36"/>
      <c r="AB42" s="36">
        <f>VLOOKUP($A42,[26]HISTOMAI25!$A$6:$AU$51,44,0)</f>
        <v>0</v>
      </c>
      <c r="AC42" s="36">
        <f>VLOOKUP($A42,[26]HISTOMAI25!$A$6:$AU$51,43,0)</f>
        <v>0</v>
      </c>
      <c r="AD42" s="36">
        <f>VLOOKUP($A42,[26]HISTOMAI25!$A$6:$BR$51,47,0)</f>
        <v>0</v>
      </c>
      <c r="AE42" s="36">
        <f>VLOOKUP(A42,[26]HISTOMAI25!$A$6:$BR$51,54,0)</f>
        <v>0</v>
      </c>
      <c r="AF42" s="36">
        <f>VLOOKUP($A42,[26]HISTOMAI25!$A$6:$BR$51,60,0)</f>
        <v>0</v>
      </c>
      <c r="AG42" s="36">
        <f>VLOOKUP($A42,[26]HISTOMAI25!$A$6:$CB$51,61,0)</f>
        <v>0</v>
      </c>
      <c r="AH42" s="36">
        <f>VLOOKUP($A42,[26]HISTOMAI25!$A$6:$CB$51,62,0)</f>
        <v>0</v>
      </c>
      <c r="AI42" s="36">
        <f>VLOOKUP($A42,[26]HISTOMAI25!$A$6:$CB$51,63,0)</f>
        <v>0</v>
      </c>
      <c r="AJ42" s="36">
        <f>VLOOKUP($A42,[26]HISTOMAI25!$A$6:$BR$51,64,0)</f>
        <v>0</v>
      </c>
      <c r="AK42" s="36">
        <f>VLOOKUP($A42,[26]HISTOMAI25!$A$6:$BR$51,65,0)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1"/>
      <c r="L43" s="181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36838612.000000007</v>
      </c>
      <c r="G44" s="9">
        <f t="shared" si="9"/>
        <v>35785862</v>
      </c>
      <c r="H44" s="36">
        <f t="shared" si="9"/>
        <v>0</v>
      </c>
      <c r="I44" s="9">
        <f t="shared" si="9"/>
        <v>36838612.000000007</v>
      </c>
      <c r="J44" s="9">
        <f t="shared" si="9"/>
        <v>0</v>
      </c>
      <c r="K44" s="9">
        <f t="shared" si="9"/>
        <v>952000</v>
      </c>
      <c r="L44" s="9">
        <f t="shared" si="9"/>
        <v>736000</v>
      </c>
      <c r="M44" s="9">
        <f t="shared" si="9"/>
        <v>36000</v>
      </c>
      <c r="N44" s="9">
        <f t="shared" si="9"/>
        <v>36000</v>
      </c>
      <c r="O44" s="9">
        <f t="shared" si="9"/>
        <v>144000</v>
      </c>
      <c r="P44" s="9">
        <f t="shared" si="9"/>
        <v>14000</v>
      </c>
      <c r="Q44" s="9">
        <f t="shared" si="9"/>
        <v>0</v>
      </c>
      <c r="R44" s="9">
        <f t="shared" si="9"/>
        <v>0</v>
      </c>
      <c r="S44" s="9">
        <f t="shared" si="9"/>
        <v>0</v>
      </c>
      <c r="T44" s="9">
        <f t="shared" si="9"/>
        <v>0</v>
      </c>
      <c r="U44" s="9">
        <f t="shared" si="9"/>
        <v>0</v>
      </c>
      <c r="V44" s="9">
        <f t="shared" si="9"/>
        <v>0</v>
      </c>
      <c r="W44" s="9"/>
      <c r="X44" s="9">
        <f t="shared" si="9"/>
        <v>0</v>
      </c>
      <c r="Y44" s="9">
        <f t="shared" si="9"/>
        <v>0</v>
      </c>
      <c r="Z44" s="9">
        <f t="shared" si="9"/>
        <v>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0</v>
      </c>
      <c r="AF44" s="9">
        <f t="shared" si="9"/>
        <v>6000</v>
      </c>
      <c r="AG44" s="9">
        <f t="shared" si="9"/>
        <v>0</v>
      </c>
      <c r="AH44" s="9">
        <f t="shared" si="9"/>
        <v>0</v>
      </c>
      <c r="AI44" s="9">
        <f t="shared" si="9"/>
        <v>100000</v>
      </c>
      <c r="AJ44" s="9">
        <f t="shared" si="9"/>
        <v>0</v>
      </c>
      <c r="AK44" s="9">
        <f t="shared" si="9"/>
        <v>0</v>
      </c>
      <c r="AL44" s="9">
        <f t="shared" si="9"/>
        <v>0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1"/>
      <c r="L47" s="181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E8FA9-58AF-42DE-B61A-694FA973D2FA}">
  <dimension ref="A1:AM47"/>
  <sheetViews>
    <sheetView workbookViewId="0">
      <pane xSplit="2" ySplit="5" topLeftCell="H12" activePane="bottomRight" state="frozen"/>
      <selection activeCell="F8" sqref="F8"/>
      <selection pane="topRight" activeCell="F8" sqref="F8"/>
      <selection pane="bottomLeft" activeCell="F8" sqref="F8"/>
      <selection pane="bottomRight" activeCell="A15" sqref="A15:XFD1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2">
        <v>45825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VLOOKUP(A6,MVTMAI25!A6:AM42,6,0)+MVTMAI25!H6-E6+L6</f>
        <v>1097287.7862270027</v>
      </c>
      <c r="G6" s="5">
        <f>IF(MVTJUIN25!F6&gt;800000,(MVTMAI25!I6-E6+L6),0)</f>
        <v>1097287.7862270027</v>
      </c>
      <c r="H6" s="36">
        <f>VLOOKUP(A6,[27]MVTJUIN25!$A$6:$AM$42,8,0)</f>
        <v>3161.7039562301043</v>
      </c>
      <c r="I6" s="6">
        <f>F6+H6</f>
        <v>1100449.4901832328</v>
      </c>
      <c r="J6" s="36">
        <f>VLOOKUP($A6,[26]HISTOJUIN25!$A$6:$AQ$51,22,0)</f>
        <v>0</v>
      </c>
      <c r="K6" s="36">
        <f>VLOOKUP($A6,[26]HISTOJUIN25!$A$6:$AU$51,45,0)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VLOOKUP($A6,[26]HISTOJUIN25!$A$6:$AU$51,8,0)</f>
        <v>0</v>
      </c>
      <c r="Q6" s="36">
        <f>VLOOKUP($A6,[26]HISTOJUIN25!$A$6:$AU$51,23,0)</f>
        <v>0</v>
      </c>
      <c r="R6" s="36">
        <f>VLOOKUP($A6,[26]HISTOJUIN25!$A$6:$AU$51,46,0)</f>
        <v>0</v>
      </c>
      <c r="S6" s="36">
        <f>VLOOKUP($A6,[26]HISTOJUIN25!$A$6:$AU$51,26,0)</f>
        <v>0</v>
      </c>
      <c r="T6" s="36">
        <f>VLOOKUP($A6,[26]HISTOJUIN25!$A$6:$BG$51,58,0)</f>
        <v>0</v>
      </c>
      <c r="U6" s="36">
        <f>VLOOKUP($A6,[26]HISTOJUIN25!$A$6:$AU$51,28,0)</f>
        <v>0</v>
      </c>
      <c r="V6" s="36">
        <f>VLOOKUP($A6,[26]HISTOJUIN25!$A$6:$AU$51,19,0)</f>
        <v>0</v>
      </c>
      <c r="W6" s="36">
        <f>VLOOKUP($A6,[26]HISTOJUIN25!$A$6:$AU$51,20,0)</f>
        <v>0</v>
      </c>
      <c r="X6" s="36">
        <f>VLOOKUP($A6,[26]HISTOJUIN25!$A$6:$AU$51,27,0)</f>
        <v>0</v>
      </c>
      <c r="Y6" s="36">
        <f>VLOOKUP($A6,[26]HISTOJUIN25!$A$6:$BM$51,33,0)</f>
        <v>0</v>
      </c>
      <c r="Z6" s="36">
        <f>VLOOKUP($A6,[26]HISTOJUIN25!$A$6:$BM$51,64,0)</f>
        <v>0</v>
      </c>
      <c r="AA6" s="36"/>
      <c r="AB6" s="36">
        <f>VLOOKUP($A6,[26]HISTOJUIN25!$A$6:$AU$51,44,0)</f>
        <v>0</v>
      </c>
      <c r="AC6" s="36">
        <f>VLOOKUP($A6,[26]HISTOJUIN25!$A$6:$AU$51,43,0)</f>
        <v>0</v>
      </c>
      <c r="AD6" s="36">
        <f>VLOOKUP($A6,[26]HISTOJUIN25!$A$6:$BR$51,47,0)</f>
        <v>0</v>
      </c>
      <c r="AE6" s="36">
        <f>VLOOKUP(A6,[26]HISTOJUIN25!$A$6:$BR$51,54,0)</f>
        <v>0</v>
      </c>
      <c r="AF6" s="36">
        <f>VLOOKUP($A6,[26]HISTOJUIN25!$A$6:$BR$51,60,0)</f>
        <v>6000</v>
      </c>
      <c r="AG6" s="36">
        <f>VLOOKUP($A6,[26]HISTOJUIN25!$A$6:$CB$51,61,0)</f>
        <v>0</v>
      </c>
      <c r="AH6" s="36">
        <f>VLOOKUP($A6,[26]HISTOJUIN25!$A$6:$CB$51,62,0)</f>
        <v>0</v>
      </c>
      <c r="AI6" s="36">
        <f>VLOOKUP($A6,[26]HISTOJUIN25!$A$6:$CB$51,63,0)</f>
        <v>0</v>
      </c>
      <c r="AJ6" s="36">
        <f>VLOOKUP($A6,[26]HISTOJUIN25!$A$6:$BR$51,64,0)</f>
        <v>0</v>
      </c>
      <c r="AK6" s="36">
        <f>VLOOKUP($A6,[26]HISTOJUIN25!$A$6:$BR$51,65,0)</f>
        <v>0</v>
      </c>
      <c r="AL6" s="36">
        <f>VLOOKUP($A6,[26]HISTOJUIN25!$A$6:$BR$40,66,0)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VLOOKUP($A7,[26]HISTOJUIN25!$A$6:$BA$51,48,0)</f>
        <v>0</v>
      </c>
      <c r="F7" s="36">
        <f>VLOOKUP(A7,MVTMAI25!A7:AM43,6,0)+MVTMAI25!H7-E7+L7</f>
        <v>987953.91223464545</v>
      </c>
      <c r="G7" s="5">
        <f>IF(MVTJUIN25!F7&gt;800000,(MVTMAI25!I7-E7+L7),0)</f>
        <v>987953.91223464545</v>
      </c>
      <c r="H7" s="36">
        <f>VLOOKUP(A7,[27]MVTJUIN25!$A$6:$AM$42,8,0)</f>
        <v>2846.6714312256872</v>
      </c>
      <c r="I7" s="6">
        <f t="shared" ref="I7:I42" si="1">F7+H7</f>
        <v>990800.58366587118</v>
      </c>
      <c r="J7" s="36">
        <f>VLOOKUP($A7,[26]HISTOJUIN25!$A$6:$AQ$51,22,0)</f>
        <v>0</v>
      </c>
      <c r="K7" s="36">
        <f>VLOOKUP($A7,[26]HISTOJUIN25!$A$6:$AU$51,45,0)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VLOOKUP($A7,[26]HISTOJUIN25!$A$6:$AU$51,8,0)</f>
        <v>0</v>
      </c>
      <c r="Q7" s="36">
        <f>VLOOKUP($A7,[26]HISTOJUIN25!$A$6:$AU$51,23,0)</f>
        <v>0</v>
      </c>
      <c r="R7" s="36">
        <f>VLOOKUP($A7,[26]HISTOJUIN25!$A$6:$AU$51,46,0)</f>
        <v>0</v>
      </c>
      <c r="S7" s="36">
        <f>VLOOKUP($A7,[26]HISTOJUIN25!$A$6:$AU$51,26,0)</f>
        <v>0</v>
      </c>
      <c r="T7" s="36">
        <f>VLOOKUP($A7,[26]HISTOJUIN25!$A$6:$BG$51,58,0)</f>
        <v>0</v>
      </c>
      <c r="U7" s="36">
        <f>VLOOKUP($A7,[26]HISTOJUIN25!$A$6:$AU$51,28,0)</f>
        <v>0</v>
      </c>
      <c r="V7" s="36">
        <f>VLOOKUP($A7,[26]HISTOJUIN25!$A$6:$AU$51,19,0)</f>
        <v>0</v>
      </c>
      <c r="W7" s="36">
        <f>VLOOKUP($A7,[26]HISTOJUIN25!$A$6:$AU$51,20,0)</f>
        <v>0</v>
      </c>
      <c r="X7" s="36">
        <f>VLOOKUP($A7,[26]HISTOJUIN25!$A$6:$AU$51,27,0)</f>
        <v>0</v>
      </c>
      <c r="Y7" s="36">
        <f>VLOOKUP($A7,[26]HISTOJUIN25!$A$6:$BM$51,33,0)</f>
        <v>0</v>
      </c>
      <c r="Z7" s="36">
        <f>VLOOKUP($A7,[26]HISTOJUIN25!$A$6:$BM$51,64,0)</f>
        <v>0</v>
      </c>
      <c r="AA7" s="36"/>
      <c r="AB7" s="36">
        <f>VLOOKUP($A7,[26]HISTOJUIN25!$A$6:$AU$51,44,0)</f>
        <v>0</v>
      </c>
      <c r="AC7" s="36">
        <f>VLOOKUP($A7,[26]HISTOJUIN25!$A$6:$AU$51,43,0)</f>
        <v>0</v>
      </c>
      <c r="AD7" s="36">
        <f>VLOOKUP($A7,[26]HISTOJUIN25!$A$6:$BR$51,47,0)</f>
        <v>0</v>
      </c>
      <c r="AE7" s="36">
        <f>VLOOKUP(A7,[26]HISTOJUIN25!$A$6:$BR$51,54,0)</f>
        <v>0</v>
      </c>
      <c r="AF7" s="36">
        <f>VLOOKUP($A7,[26]HISTOJUIN25!$A$6:$BR$51,60,0)</f>
        <v>0</v>
      </c>
      <c r="AG7" s="36">
        <f>VLOOKUP($A7,[26]HISTOJUIN25!$A$6:$CB$51,61,0)</f>
        <v>0</v>
      </c>
      <c r="AH7" s="36">
        <f>VLOOKUP($A7,[26]HISTOJUIN25!$A$6:$CB$51,62,0)</f>
        <v>0</v>
      </c>
      <c r="AI7" s="36">
        <f>VLOOKUP($A7,[26]HISTOJUIN25!$A$6:$CB$51,63,0)</f>
        <v>0</v>
      </c>
      <c r="AJ7" s="36">
        <f>VLOOKUP($A7,[26]HISTOJUIN25!$A$6:$BR$51,64,0)</f>
        <v>0</v>
      </c>
      <c r="AK7" s="36">
        <f>VLOOKUP($A7,[26]HISTOJUIN25!$A$6:$BR$51,65,0)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VLOOKUP($A8,[26]HISTOJUIN25!$A$6:$BA$51,48,0)</f>
        <v>0</v>
      </c>
      <c r="F8" s="36">
        <f>VLOOKUP(A8,MVTMAI25!A8:AM44,6,0)+MVTMAI25!H8-E8+L8</f>
        <v>1115297.3174913663</v>
      </c>
      <c r="G8" s="5">
        <f>IF(MVTJUIN25!F8&gt;800000,(MVTMAI25!I8-E8+L8),0)</f>
        <v>1115297.3174913663</v>
      </c>
      <c r="H8" s="36">
        <f>VLOOKUP(A8,[27]MVTJUIN25!$A$6:$AM$42,8,0)</f>
        <v>3213.5962737817081</v>
      </c>
      <c r="I8" s="6">
        <f t="shared" si="1"/>
        <v>1118510.913765148</v>
      </c>
      <c r="J8" s="36">
        <f>VLOOKUP($A8,[26]HISTOJUIN25!$A$6:$AQ$51,22,0)</f>
        <v>0</v>
      </c>
      <c r="K8" s="36">
        <f>VLOOKUP($A8,[26]HISTOJUIN25!$A$6:$AU$51,45,0)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VLOOKUP($A8,[26]HISTOJUIN25!$A$6:$AU$51,8,0)</f>
        <v>0</v>
      </c>
      <c r="Q8" s="36">
        <f>VLOOKUP($A8,[26]HISTOJUIN25!$A$6:$AU$51,23,0)</f>
        <v>0</v>
      </c>
      <c r="R8" s="36">
        <f>VLOOKUP($A8,[26]HISTOJUIN25!$A$6:$AU$51,46,0)</f>
        <v>0</v>
      </c>
      <c r="S8" s="36">
        <f>VLOOKUP($A8,[26]HISTOJUIN25!$A$6:$AU$51,26,0)</f>
        <v>500000</v>
      </c>
      <c r="T8" s="36">
        <f>VLOOKUP($A8,[26]HISTOJUIN25!$A$6:$BG$51,58,0)</f>
        <v>15000</v>
      </c>
      <c r="U8" s="36">
        <f>VLOOKUP($A8,[26]HISTOJUIN25!$A$6:$AU$51,28,0)</f>
        <v>0</v>
      </c>
      <c r="V8" s="36">
        <f>VLOOKUP($A8,[26]HISTOJUIN25!$A$6:$AU$51,19,0)</f>
        <v>500000</v>
      </c>
      <c r="W8" s="36" t="str">
        <f>VLOOKUP($A8,[26]HISTOJUIN25!$A$6:$AU$51,20,0)</f>
        <v>BANQUE</v>
      </c>
      <c r="X8" s="36" t="str">
        <f>VLOOKUP($A8,[26]HISTOJUIN25!$A$6:$AU$51,27,0)</f>
        <v>BANQUE</v>
      </c>
      <c r="Y8" s="36">
        <f>VLOOKUP($A8,[26]HISTOJUIN25!$A$6:$BM$51,33,0)</f>
        <v>0</v>
      </c>
      <c r="Z8" s="36">
        <f>VLOOKUP($A8,[26]HISTOJUIN25!$A$6:$BM$51,64,0)</f>
        <v>0</v>
      </c>
      <c r="AA8" s="36"/>
      <c r="AB8" s="36">
        <f>VLOOKUP($A8,[26]HISTOJUIN25!$A$6:$AU$51,44,0)</f>
        <v>0</v>
      </c>
      <c r="AC8" s="36">
        <f>VLOOKUP($A8,[26]HISTOJUIN25!$A$6:$AU$51,43,0)</f>
        <v>0</v>
      </c>
      <c r="AD8" s="36">
        <f>VLOOKUP($A8,[26]HISTOJUIN25!$A$6:$BR$51,47,0)</f>
        <v>0</v>
      </c>
      <c r="AE8" s="36">
        <f>VLOOKUP(A8,[26]HISTOJUIN25!$A$6:$BR$51,54,0)</f>
        <v>0</v>
      </c>
      <c r="AF8" s="36">
        <f>VLOOKUP($A8,[26]HISTOJUIN25!$A$6:$BR$51,60,0)</f>
        <v>0</v>
      </c>
      <c r="AG8" s="36">
        <f>VLOOKUP($A8,[26]HISTOJUIN25!$A$6:$CB$51,61,0)</f>
        <v>0</v>
      </c>
      <c r="AH8" s="36">
        <f>VLOOKUP($A8,[26]HISTOJUIN25!$A$6:$CB$51,62,0)</f>
        <v>0</v>
      </c>
      <c r="AI8" s="36">
        <f>VLOOKUP($A8,[26]HISTOJUIN25!$A$6:$CB$51,63,0)</f>
        <v>0</v>
      </c>
      <c r="AJ8" s="36">
        <f>VLOOKUP($A8,[26]HISTOJUIN25!$A$6:$BR$51,64,0)</f>
        <v>0</v>
      </c>
      <c r="AK8" s="36">
        <f>VLOOKUP($A8,[26]HISTOJUIN25!$A$6:$BR$51,65,0)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VLOOKUP($A9,[26]HISTOJUIN25!$A$6:$BA$51,48,0)</f>
        <v>0</v>
      </c>
      <c r="F9" s="36">
        <f>VLOOKUP(A9,MVTMAI25!A9:AM45,6,0)+MVTMAI25!H9-E9+L9</f>
        <v>980137.3183641315</v>
      </c>
      <c r="G9" s="5">
        <f>IF(MVTJUIN25!F9&gt;800000,(MVTMAI25!I9-E9+L9),0)</f>
        <v>980137.3183641315</v>
      </c>
      <c r="H9" s="36">
        <f>VLOOKUP(A9,[27]MVTJUIN25!$A$6:$AM$42,8,0)</f>
        <v>2824.1488477477233</v>
      </c>
      <c r="I9" s="6">
        <f t="shared" si="1"/>
        <v>982961.46721187921</v>
      </c>
      <c r="J9" s="36">
        <f>VLOOKUP($A9,[26]HISTOJUIN25!$A$6:$AQ$51,22,0)</f>
        <v>0</v>
      </c>
      <c r="K9" s="36">
        <f>VLOOKUP($A9,[26]HISTOJUIN25!$A$6:$AU$51,45,0)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VLOOKUP($A9,[26]HISTOJUIN25!$A$6:$AU$51,8,0)</f>
        <v>0</v>
      </c>
      <c r="Q9" s="36">
        <f>VLOOKUP($A9,[26]HISTOJUIN25!$A$6:$AU$51,23,0)</f>
        <v>0</v>
      </c>
      <c r="R9" s="36">
        <f>VLOOKUP($A9,[26]HISTOJUIN25!$A$6:$AU$51,46,0)</f>
        <v>0</v>
      </c>
      <c r="S9" s="36">
        <f>VLOOKUP($A9,[26]HISTOJUIN25!$A$6:$AU$51,26,0)</f>
        <v>0</v>
      </c>
      <c r="T9" s="36">
        <f>VLOOKUP($A9,[26]HISTOJUIN25!$A$6:$BG$51,58,0)</f>
        <v>0</v>
      </c>
      <c r="U9" s="36">
        <f>VLOOKUP($A9,[26]HISTOJUIN25!$A$6:$AU$51,28,0)</f>
        <v>0</v>
      </c>
      <c r="V9" s="36">
        <f>VLOOKUP($A9,[26]HISTOJUIN25!$A$6:$AU$51,19,0)</f>
        <v>0</v>
      </c>
      <c r="W9" s="36">
        <f>VLOOKUP($A9,[26]HISTOJUIN25!$A$6:$AU$51,20,0)</f>
        <v>0</v>
      </c>
      <c r="X9" s="36">
        <f>VLOOKUP($A9,[26]HISTOJUIN25!$A$6:$AU$51,27,0)</f>
        <v>0</v>
      </c>
      <c r="Y9" s="36">
        <f>VLOOKUP($A9,[26]HISTOJUIN25!$A$6:$BM$51,33,0)</f>
        <v>0</v>
      </c>
      <c r="Z9" s="36">
        <f>VLOOKUP($A9,[26]HISTOJUIN25!$A$6:$BM$51,64,0)</f>
        <v>0</v>
      </c>
      <c r="AA9" s="36"/>
      <c r="AB9" s="36">
        <f>VLOOKUP($A9,[26]HISTOJUIN25!$A$6:$AU$51,44,0)</f>
        <v>0</v>
      </c>
      <c r="AC9" s="36">
        <f>VLOOKUP($A9,[26]HISTOJUIN25!$A$6:$AU$51,43,0)</f>
        <v>0</v>
      </c>
      <c r="AD9" s="36">
        <f>VLOOKUP($A9,[26]HISTOJUIN25!$A$6:$BR$51,47,0)</f>
        <v>0</v>
      </c>
      <c r="AE9" s="36">
        <f>VLOOKUP(A9,[26]HISTOJUIN25!$A$6:$BR$51,54,0)</f>
        <v>0</v>
      </c>
      <c r="AF9" s="36">
        <f>VLOOKUP($A9,[26]HISTOJUIN25!$A$6:$BR$51,60,0)</f>
        <v>0</v>
      </c>
      <c r="AG9" s="36">
        <f>VLOOKUP($A9,[26]HISTOJUIN25!$A$6:$CB$51,61,0)</f>
        <v>0</v>
      </c>
      <c r="AH9" s="36">
        <f>VLOOKUP($A9,[26]HISTOJUIN25!$A$6:$CB$51,62,0)</f>
        <v>0</v>
      </c>
      <c r="AI9" s="36">
        <f>VLOOKUP($A9,[26]HISTOJUIN25!$A$6:$CB$51,63,0)</f>
        <v>100000</v>
      </c>
      <c r="AJ9" s="36">
        <f>VLOOKUP($A9,[26]HISTOJUIN25!$A$6:$BR$51,64,0)</f>
        <v>0</v>
      </c>
      <c r="AK9" s="36">
        <f>VLOOKUP($A9,[26]HISTOJUIN25!$A$6:$BR$51,65,0)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VLOOKUP($A10,[26]HISTOJUIN25!$A$6:$BA$51,48,0)</f>
        <v>0</v>
      </c>
      <c r="F10" s="36">
        <f>VLOOKUP(A10,MVTMAI25!A10:AM46,6,0)+MVTMAI25!H10-E10+L10</f>
        <v>990925.7308667925</v>
      </c>
      <c r="G10" s="5">
        <f>IF(MVTJUIN25!F10&gt;800000,(MVTMAI25!I10-E10+L10),0)</f>
        <v>990925.7308667925</v>
      </c>
      <c r="H10" s="36">
        <f>VLOOKUP(A10,[27]MVTJUIN25!$A$6:$AM$42,8,0)</f>
        <v>2855.2343723650993</v>
      </c>
      <c r="I10" s="6">
        <f t="shared" si="1"/>
        <v>993780.96523915755</v>
      </c>
      <c r="J10" s="36">
        <f>VLOOKUP($A10,[26]HISTOJUIN25!$A$6:$AQ$51,22,0)</f>
        <v>0</v>
      </c>
      <c r="K10" s="36">
        <f>VLOOKUP($A10,[26]HISTOJUIN25!$A$6:$AU$51,45,0)</f>
        <v>25500</v>
      </c>
      <c r="L10" s="36">
        <f t="shared" si="2"/>
        <v>19500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VLOOKUP($A10,[26]HISTOJUIN25!$A$6:$AU$51,8,0)</f>
        <v>0</v>
      </c>
      <c r="Q10" s="36">
        <f>VLOOKUP($A10,[26]HISTOJUIN25!$A$6:$AU$51,23,0)</f>
        <v>0</v>
      </c>
      <c r="R10" s="36">
        <f>VLOOKUP($A10,[26]HISTOJUIN25!$A$6:$AU$51,46,0)</f>
        <v>0</v>
      </c>
      <c r="S10" s="36">
        <f>VLOOKUP($A10,[26]HISTOJUIN25!$A$6:$AU$51,26,0)</f>
        <v>0</v>
      </c>
      <c r="T10" s="36">
        <f>VLOOKUP($A10,[26]HISTOJUIN25!$A$6:$BG$51,58,0)</f>
        <v>0</v>
      </c>
      <c r="U10" s="36">
        <f>VLOOKUP($A10,[26]HISTOJUIN25!$A$6:$AU$51,28,0)</f>
        <v>0</v>
      </c>
      <c r="V10" s="36">
        <f>VLOOKUP($A10,[26]HISTOJUIN25!$A$6:$AU$51,19,0)</f>
        <v>0</v>
      </c>
      <c r="W10" s="36">
        <f>VLOOKUP($A10,[26]HISTOJUIN25!$A$6:$AU$51,20,0)</f>
        <v>0</v>
      </c>
      <c r="X10" s="36">
        <f>VLOOKUP($A10,[26]HISTOJUIN25!$A$6:$AU$51,27,0)</f>
        <v>0</v>
      </c>
      <c r="Y10" s="36">
        <f>VLOOKUP($A10,[26]HISTOJUIN25!$A$6:$BM$51,33,0)</f>
        <v>0</v>
      </c>
      <c r="Z10" s="36">
        <f>VLOOKUP($A10,[26]HISTOJUIN25!$A$6:$BM$51,64,0)</f>
        <v>0</v>
      </c>
      <c r="AA10" s="36"/>
      <c r="AB10" s="36">
        <f>VLOOKUP($A10,[26]HISTOJUIN25!$A$6:$AU$51,44,0)</f>
        <v>0</v>
      </c>
      <c r="AC10" s="36">
        <f>VLOOKUP($A10,[26]HISTOJUIN25!$A$6:$AU$51,43,0)</f>
        <v>0</v>
      </c>
      <c r="AD10" s="36">
        <f>VLOOKUP($A10,[26]HISTOJUIN25!$A$6:$BR$51,47,0)</f>
        <v>0</v>
      </c>
      <c r="AE10" s="36">
        <f>VLOOKUP(A10,[26]HISTOJUIN25!$A$6:$BR$51,54,0)</f>
        <v>0</v>
      </c>
      <c r="AF10" s="36">
        <f>VLOOKUP($A10,[26]HISTOJUIN25!$A$6:$BR$51,60,0)</f>
        <v>0</v>
      </c>
      <c r="AG10" s="36">
        <f>VLOOKUP($A10,[26]HISTOJUIN25!$A$6:$CB$51,61,0)</f>
        <v>0</v>
      </c>
      <c r="AH10" s="36">
        <f>VLOOKUP($A10,[26]HISTOJUIN25!$A$6:$CB$51,62,0)</f>
        <v>0</v>
      </c>
      <c r="AI10" s="36">
        <f>VLOOKUP($A10,[26]HISTOJUIN25!$A$6:$CB$51,63,0)</f>
        <v>0</v>
      </c>
      <c r="AJ10" s="36">
        <f>VLOOKUP($A10,[26]HISTOJUIN25!$A$6:$BR$51,64,0)</f>
        <v>0</v>
      </c>
      <c r="AK10" s="36">
        <f>VLOOKUP($A10,[26]HISTOJUIN25!$A$6:$BR$51,65,0)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VLOOKUP($A11,[26]HISTOJUIN25!$A$6:$BA$51,48,0)</f>
        <v>0</v>
      </c>
      <c r="F11" s="36">
        <f>VLOOKUP(A11,MVTMAI25!A11:AM47,6,0)+MVTMAI25!H11-E11+L11</f>
        <v>979862.96530022437</v>
      </c>
      <c r="G11" s="5">
        <f>IF(MVTJUIN25!F11&gt;800000,(MVTMAI25!I11-E11+L11),0)</f>
        <v>979862.96530022437</v>
      </c>
      <c r="H11" s="36">
        <f>VLOOKUP(A11,[27]MVTJUIN25!$A$6:$AM$42,8,0)</f>
        <v>2823.3583320977295</v>
      </c>
      <c r="I11" s="6">
        <f t="shared" si="1"/>
        <v>982686.32363232214</v>
      </c>
      <c r="J11" s="36">
        <f>VLOOKUP($A11,[26]HISTOJUIN25!$A$6:$AQ$51,22,0)</f>
        <v>0</v>
      </c>
      <c r="K11" s="36">
        <f>VLOOKUP($A11,[26]HISTOJUIN25!$A$6:$AU$51,45,0)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VLOOKUP($A11,[26]HISTOJUIN25!$A$6:$AU$51,8,0)</f>
        <v>0</v>
      </c>
      <c r="Q11" s="36">
        <f>VLOOKUP($A11,[26]HISTOJUIN25!$A$6:$AU$51,23,0)</f>
        <v>0</v>
      </c>
      <c r="R11" s="36">
        <f>VLOOKUP($A11,[26]HISTOJUIN25!$A$6:$AU$51,46,0)</f>
        <v>0</v>
      </c>
      <c r="S11" s="36">
        <f>VLOOKUP($A11,[26]HISTOJUIN25!$A$6:$AU$51,26,0)</f>
        <v>0</v>
      </c>
      <c r="T11" s="36">
        <f>VLOOKUP($A11,[26]HISTOJUIN25!$A$6:$BG$51,58,0)</f>
        <v>0</v>
      </c>
      <c r="U11" s="36">
        <f>VLOOKUP($A11,[26]HISTOJUIN25!$A$6:$AU$51,28,0)</f>
        <v>0</v>
      </c>
      <c r="V11" s="36">
        <f>VLOOKUP($A11,[26]HISTOJUIN25!$A$6:$AU$51,19,0)</f>
        <v>0</v>
      </c>
      <c r="W11" s="36">
        <f>VLOOKUP($A11,[26]HISTOJUIN25!$A$6:$AU$51,20,0)</f>
        <v>0</v>
      </c>
      <c r="X11" s="36">
        <f>VLOOKUP($A11,[26]HISTOJUIN25!$A$6:$AU$51,27,0)</f>
        <v>0</v>
      </c>
      <c r="Y11" s="36">
        <f>VLOOKUP($A11,[26]HISTOJUIN25!$A$6:$BM$51,33,0)</f>
        <v>0</v>
      </c>
      <c r="Z11" s="36">
        <f>VLOOKUP($A11,[26]HISTOJUIN25!$A$6:$BM$51,64,0)</f>
        <v>0</v>
      </c>
      <c r="AA11" s="36"/>
      <c r="AB11" s="36">
        <f>VLOOKUP($A11,[26]HISTOJUIN25!$A$6:$AU$51,44,0)</f>
        <v>0</v>
      </c>
      <c r="AC11" s="36">
        <f>VLOOKUP($A11,[26]HISTOJUIN25!$A$6:$AU$51,43,0)</f>
        <v>0</v>
      </c>
      <c r="AD11" s="36">
        <f>VLOOKUP($A11,[26]HISTOJUIN25!$A$6:$BR$51,47,0)</f>
        <v>0</v>
      </c>
      <c r="AE11" s="36">
        <f>VLOOKUP(A11,[26]HISTOJUIN25!$A$6:$BR$51,54,0)</f>
        <v>0</v>
      </c>
      <c r="AF11" s="36">
        <f>VLOOKUP($A11,[26]HISTOJUIN25!$A$6:$BR$51,60,0)</f>
        <v>0</v>
      </c>
      <c r="AG11" s="36">
        <f>VLOOKUP($A11,[26]HISTOJUIN25!$A$6:$CB$51,61,0)</f>
        <v>0</v>
      </c>
      <c r="AH11" s="36">
        <f>VLOOKUP($A11,[26]HISTOJUIN25!$A$6:$CB$51,62,0)</f>
        <v>0</v>
      </c>
      <c r="AI11" s="36">
        <f>VLOOKUP($A11,[26]HISTOJUIN25!$A$6:$CB$51,63,0)</f>
        <v>0</v>
      </c>
      <c r="AJ11" s="36">
        <f>VLOOKUP($A11,[26]HISTOJUIN25!$A$6:$BR$51,64,0)</f>
        <v>0</v>
      </c>
      <c r="AK11" s="36">
        <f>VLOOKUP($A11,[26]HISTOJUIN25!$A$6:$BR$51,65,0)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VLOOKUP($A12,[26]HISTOJUIN25!$A$6:$BA$51,48,0)</f>
        <v>0</v>
      </c>
      <c r="F12" s="36">
        <f>VLOOKUP(A12,MVTMAI25!A12:AM48,6,0)+MVTMAI25!H12-E12+L12</f>
        <v>1710370.9161111314</v>
      </c>
      <c r="G12" s="5">
        <f>IF(MVTJUIN25!F12&gt;800000,(MVTMAI25!I12-E12+L12),0)</f>
        <v>1710370.9161111314</v>
      </c>
      <c r="H12" s="36">
        <f>VLOOKUP(A12,[27]MVTJUIN25!$A$6:$AM$42,8,0)</f>
        <v>4928.2299137618857</v>
      </c>
      <c r="I12" s="6">
        <f t="shared" si="1"/>
        <v>1715299.1460248933</v>
      </c>
      <c r="J12" s="36">
        <f>VLOOKUP($A12,[26]HISTOJUIN25!$A$6:$AQ$51,22,0)</f>
        <v>0</v>
      </c>
      <c r="K12" s="36">
        <f>VLOOKUP($A12,[26]HISTOJUIN25!$A$6:$AU$51,45,0)</f>
        <v>36000</v>
      </c>
      <c r="L12" s="36">
        <f t="shared" si="2"/>
        <v>30000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VLOOKUP($A12,[26]HISTOJUIN25!$A$6:$AU$51,8,0)</f>
        <v>0</v>
      </c>
      <c r="Q12" s="36">
        <f>VLOOKUP($A12,[26]HISTOJUIN25!$A$6:$AU$51,23,0)</f>
        <v>0</v>
      </c>
      <c r="R12" s="36">
        <f>VLOOKUP($A12,[26]HISTOJUIN25!$A$6:$AU$51,46,0)</f>
        <v>0</v>
      </c>
      <c r="S12" s="36">
        <f>VLOOKUP($A12,[26]HISTOJUIN25!$A$6:$AU$51,26,0)</f>
        <v>0</v>
      </c>
      <c r="T12" s="36">
        <f>VLOOKUP($A12,[26]HISTOJUIN25!$A$6:$BG$51,58,0)</f>
        <v>0</v>
      </c>
      <c r="U12" s="36">
        <f>VLOOKUP($A12,[26]HISTOJUIN25!$A$6:$AU$51,28,0)</f>
        <v>0</v>
      </c>
      <c r="V12" s="36">
        <f>VLOOKUP($A12,[26]HISTOJUIN25!$A$6:$AU$51,19,0)</f>
        <v>0</v>
      </c>
      <c r="W12" s="36">
        <f>VLOOKUP($A12,[26]HISTOJUIN25!$A$6:$AU$51,20,0)</f>
        <v>0</v>
      </c>
      <c r="X12" s="36">
        <f>VLOOKUP($A12,[26]HISTOJUIN25!$A$6:$AU$51,27,0)</f>
        <v>0</v>
      </c>
      <c r="Y12" s="36">
        <f>VLOOKUP($A12,[26]HISTOJUIN25!$A$6:$BM$51,33,0)</f>
        <v>0</v>
      </c>
      <c r="Z12" s="36">
        <f>VLOOKUP($A12,[26]HISTOJUIN25!$A$6:$BM$51,64,0)</f>
        <v>0</v>
      </c>
      <c r="AA12" s="36"/>
      <c r="AB12" s="36">
        <f>VLOOKUP($A12,[26]HISTOJUIN25!$A$6:$AU$51,44,0)</f>
        <v>0</v>
      </c>
      <c r="AC12" s="36">
        <f>VLOOKUP($A12,[26]HISTOJUIN25!$A$6:$AU$51,43,0)</f>
        <v>0</v>
      </c>
      <c r="AD12" s="36">
        <f>VLOOKUP($A12,[26]HISTOJUIN25!$A$6:$BR$51,47,0)</f>
        <v>0</v>
      </c>
      <c r="AE12" s="36">
        <f>VLOOKUP(A12,[26]HISTOJUIN25!$A$6:$BR$51,54,0)</f>
        <v>0</v>
      </c>
      <c r="AF12" s="36">
        <f>VLOOKUP($A12,[26]HISTOJUIN25!$A$6:$BR$51,60,0)</f>
        <v>0</v>
      </c>
      <c r="AG12" s="36">
        <f>VLOOKUP($A12,[26]HISTOJUIN25!$A$6:$CB$51,61,0)</f>
        <v>0</v>
      </c>
      <c r="AH12" s="36">
        <f>VLOOKUP($A12,[26]HISTOJUIN25!$A$6:$CB$51,62,0)</f>
        <v>0</v>
      </c>
      <c r="AI12" s="36">
        <f>VLOOKUP($A12,[26]HISTOJUIN25!$A$6:$CB$51,63,0)</f>
        <v>0</v>
      </c>
      <c r="AJ12" s="36">
        <f>VLOOKUP($A12,[26]HISTOJUIN25!$A$6:$BR$51,64,0)</f>
        <v>0</v>
      </c>
      <c r="AK12" s="36">
        <f>VLOOKUP($A12,[26]HISTOJUIN25!$A$6:$BR$51,65,0)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VLOOKUP($A13,[26]HISTOJUIN25!$A$6:$BA$51,48,0)</f>
        <v>0</v>
      </c>
      <c r="F13" s="36">
        <f>VLOOKUP(A13,MVTMAI25!A13:AM49,6,0)+MVTMAI25!H13-E13+L13</f>
        <v>979839.16973006097</v>
      </c>
      <c r="G13" s="5">
        <f>IF(MVTJUIN25!F13&gt;800000,(MVTMAI25!I13-E13+L13),0)</f>
        <v>979839.16973006097</v>
      </c>
      <c r="H13" s="36">
        <f>VLOOKUP(A13,[27]MVTJUIN25!$A$6:$AM$42,8,0)</f>
        <v>2823.2897679988027</v>
      </c>
      <c r="I13" s="6">
        <f t="shared" si="1"/>
        <v>982662.45949805982</v>
      </c>
      <c r="J13" s="36">
        <f>VLOOKUP($A13,[26]HISTOJUIN25!$A$6:$AQ$51,22,0)</f>
        <v>0</v>
      </c>
      <c r="K13" s="36">
        <f>VLOOKUP($A13,[26]HISTOJUIN25!$A$6:$AU$51,45,0)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VLOOKUP($A13,[26]HISTOJUIN25!$A$6:$AU$51,8,0)</f>
        <v>0</v>
      </c>
      <c r="Q13" s="36">
        <f>VLOOKUP($A13,[26]HISTOJUIN25!$A$6:$AU$51,23,0)</f>
        <v>0</v>
      </c>
      <c r="R13" s="36">
        <f>VLOOKUP($A13,[26]HISTOJUIN25!$A$6:$AU$51,46,0)</f>
        <v>0</v>
      </c>
      <c r="S13" s="36">
        <f>VLOOKUP($A13,[26]HISTOJUIN25!$A$6:$AU$51,26,0)</f>
        <v>0</v>
      </c>
      <c r="T13" s="36">
        <f>VLOOKUP($A13,[26]HISTOJUIN25!$A$6:$BG$51,58,0)</f>
        <v>0</v>
      </c>
      <c r="U13" s="36">
        <f>VLOOKUP($A13,[26]HISTOJUIN25!$A$6:$AU$51,28,0)</f>
        <v>0</v>
      </c>
      <c r="V13" s="36">
        <f>VLOOKUP($A13,[26]HISTOJUIN25!$A$6:$AU$51,19,0)</f>
        <v>0</v>
      </c>
      <c r="W13" s="36">
        <f>VLOOKUP($A13,[26]HISTOJUIN25!$A$6:$AU$51,20,0)</f>
        <v>0</v>
      </c>
      <c r="X13" s="36">
        <f>VLOOKUP($A13,[26]HISTOJUIN25!$A$6:$AU$51,27,0)</f>
        <v>0</v>
      </c>
      <c r="Y13" s="36">
        <f>VLOOKUP($A13,[26]HISTOJUIN25!$A$6:$BM$51,33,0)</f>
        <v>0</v>
      </c>
      <c r="Z13" s="36">
        <f>VLOOKUP($A13,[26]HISTOJUIN25!$A$6:$BM$51,64,0)</f>
        <v>0</v>
      </c>
      <c r="AA13" s="36"/>
      <c r="AB13" s="36">
        <f>VLOOKUP($A13,[26]HISTOJUIN25!$A$6:$AU$51,44,0)</f>
        <v>0</v>
      </c>
      <c r="AC13" s="36">
        <f>VLOOKUP($A13,[26]HISTOJUIN25!$A$6:$AU$51,43,0)</f>
        <v>0</v>
      </c>
      <c r="AD13" s="36">
        <f>VLOOKUP($A13,[26]HISTOJUIN25!$A$6:$BR$51,47,0)</f>
        <v>0</v>
      </c>
      <c r="AE13" s="36">
        <f>VLOOKUP(A13,[26]HISTOJUIN25!$A$6:$BR$51,54,0)</f>
        <v>0</v>
      </c>
      <c r="AF13" s="36">
        <f>VLOOKUP($A13,[26]HISTOJUIN25!$A$6:$BR$51,60,0)</f>
        <v>0</v>
      </c>
      <c r="AG13" s="36">
        <f>VLOOKUP($A13,[26]HISTOJUIN25!$A$6:$CB$51,61,0)</f>
        <v>0</v>
      </c>
      <c r="AH13" s="36">
        <f>VLOOKUP($A13,[26]HISTOJUIN25!$A$6:$CB$51,62,0)</f>
        <v>0</v>
      </c>
      <c r="AI13" s="36">
        <f>VLOOKUP($A13,[26]HISTOJUIN25!$A$6:$CB$51,63,0)</f>
        <v>0</v>
      </c>
      <c r="AJ13" s="36">
        <f>VLOOKUP($A13,[26]HISTOJUIN25!$A$6:$BR$51,64,0)</f>
        <v>0</v>
      </c>
      <c r="AK13" s="36">
        <f>VLOOKUP($A13,[26]HISTOJUIN25!$A$6:$BR$51,65,0)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VLOOKUP($A14,[26]HISTOJUIN25!$A$6:$BA$51,48,0)</f>
        <v>0</v>
      </c>
      <c r="F14" s="36">
        <f>VLOOKUP(A14,MVTMAI25!A14:AM50,6,0)+MVTMAI25!H14-E14+L14</f>
        <v>1726311.1164119579</v>
      </c>
      <c r="G14" s="5">
        <f>IF(MVTJUIN25!F14&gt;800000,(MVTMAI25!I14-E14+L14),0)</f>
        <v>1726311.1164119579</v>
      </c>
      <c r="H14" s="36">
        <f>VLOOKUP(A14,[27]MVTJUIN25!$A$6:$AM$42,8,0)</f>
        <v>4974.1597008121144</v>
      </c>
      <c r="I14" s="6">
        <f t="shared" si="1"/>
        <v>1731285.27611277</v>
      </c>
      <c r="J14" s="36">
        <f>VLOOKUP($A14,[26]HISTOJUIN25!$A$6:$AQ$51,22,0)</f>
        <v>0</v>
      </c>
      <c r="K14" s="36">
        <f>VLOOKUP($A14,[26]HISTOJUIN25!$A$6:$AU$51,45,0)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VLOOKUP($A14,[26]HISTOJUIN25!$A$6:$AU$51,8,0)</f>
        <v>0</v>
      </c>
      <c r="Q14" s="36">
        <f>VLOOKUP($A14,[26]HISTOJUIN25!$A$6:$AU$51,23,0)</f>
        <v>0</v>
      </c>
      <c r="R14" s="36">
        <f>VLOOKUP($A14,[26]HISTOJUIN25!$A$6:$AU$51,46,0)</f>
        <v>0</v>
      </c>
      <c r="S14" s="36">
        <f>VLOOKUP($A14,[26]HISTOJUIN25!$A$6:$AU$51,26,0)</f>
        <v>0</v>
      </c>
      <c r="T14" s="36">
        <f>VLOOKUP($A14,[26]HISTOJUIN25!$A$6:$BG$51,58,0)</f>
        <v>0</v>
      </c>
      <c r="U14" s="36">
        <f>VLOOKUP($A14,[26]HISTOJUIN25!$A$6:$AU$51,28,0)</f>
        <v>0</v>
      </c>
      <c r="V14" s="36">
        <f>VLOOKUP($A14,[26]HISTOJUIN25!$A$6:$AU$51,19,0)</f>
        <v>0</v>
      </c>
      <c r="W14" s="36">
        <f>VLOOKUP($A14,[26]HISTOJUIN25!$A$6:$AU$51,20,0)</f>
        <v>0</v>
      </c>
      <c r="X14" s="36">
        <f>VLOOKUP($A14,[26]HISTOJUIN25!$A$6:$AU$51,27,0)</f>
        <v>0</v>
      </c>
      <c r="Y14" s="36">
        <f>VLOOKUP($A14,[26]HISTOJUIN25!$A$6:$BM$51,33,0)</f>
        <v>0</v>
      </c>
      <c r="Z14" s="36">
        <f>VLOOKUP($A14,[26]HISTOJUIN25!$A$6:$BM$51,64,0)</f>
        <v>0</v>
      </c>
      <c r="AA14" s="36"/>
      <c r="AB14" s="36">
        <f>VLOOKUP($A14,[26]HISTOJUIN25!$A$6:$AU$51,44,0)</f>
        <v>0</v>
      </c>
      <c r="AC14" s="36">
        <f>VLOOKUP($A14,[26]HISTOJUIN25!$A$6:$AU$51,43,0)</f>
        <v>0</v>
      </c>
      <c r="AD14" s="36">
        <f>VLOOKUP($A14,[26]HISTOJUIN25!$A$6:$BR$51,47,0)</f>
        <v>0</v>
      </c>
      <c r="AE14" s="36">
        <f>VLOOKUP(A14,[26]HISTOJUIN25!$A$6:$BR$51,54,0)</f>
        <v>0</v>
      </c>
      <c r="AF14" s="36">
        <f>VLOOKUP($A14,[26]HISTOJUIN25!$A$6:$BR$51,60,0)</f>
        <v>0</v>
      </c>
      <c r="AG14" s="36">
        <f>VLOOKUP($A14,[26]HISTOJUIN25!$A$6:$CB$51,61,0)</f>
        <v>0</v>
      </c>
      <c r="AH14" s="36">
        <f>VLOOKUP($A14,[26]HISTOJUIN25!$A$6:$CB$51,62,0)</f>
        <v>0</v>
      </c>
      <c r="AI14" s="36">
        <f>VLOOKUP($A14,[26]HISTOJUIN25!$A$6:$CB$51,63,0)</f>
        <v>0</v>
      </c>
      <c r="AJ14" s="36">
        <f>VLOOKUP($A14,[26]HISTOJUIN25!$A$6:$BR$51,64,0)</f>
        <v>0</v>
      </c>
      <c r="AK14" s="36">
        <f>VLOOKUP($A14,[26]HISTOJUIN25!$A$6:$BR$51,65,0)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VLOOKUP($A15,[26]HISTOJUIN25!$A$6:$BA$51,48,0)</f>
        <v>0</v>
      </c>
      <c r="F15" s="36">
        <f>VLOOKUP(A15,MVTMAI25!A15:AM51,6,0)+MVTMAI25!H15-E15+L15</f>
        <v>114000</v>
      </c>
      <c r="G15" s="5">
        <f>IF(MVTJUIN25!F15&gt;800000,(MVTMAI25!I15-E15+L15),0)</f>
        <v>0</v>
      </c>
      <c r="H15" s="36">
        <f>VLOOKUP(A15,[27]MVTJUIN25!$A$6:$AM$42,8,0)</f>
        <v>0</v>
      </c>
      <c r="I15" s="6">
        <f t="shared" si="1"/>
        <v>114000</v>
      </c>
      <c r="J15" s="36">
        <f>VLOOKUP($A15,[26]HISTOJUIN25!$A$6:$AQ$51,22,0)</f>
        <v>0</v>
      </c>
      <c r="K15" s="36">
        <f>VLOOKUP($A15,[26]HISTOJUIN25!$A$6:$AU$51,45,0)</f>
        <v>25000</v>
      </c>
      <c r="L15" s="36">
        <f t="shared" si="2"/>
        <v>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VLOOKUP($A15,[26]HISTOJUIN25!$A$6:$AU$51,8,0)</f>
        <v>0</v>
      </c>
      <c r="Q15" s="36">
        <f>VLOOKUP($A15,[26]HISTOJUIN25!$A$6:$AU$51,23,0)</f>
        <v>0</v>
      </c>
      <c r="R15" s="36">
        <f>VLOOKUP($A15,[26]HISTOJUIN25!$A$6:$AU$51,46,0)</f>
        <v>0</v>
      </c>
      <c r="S15" s="36">
        <f>VLOOKUP($A15,[26]HISTOJUIN25!$A$6:$AU$51,26,0)</f>
        <v>0</v>
      </c>
      <c r="T15" s="36">
        <f>VLOOKUP($A15,[26]HISTOJUIN25!$A$6:$BG$51,58,0)</f>
        <v>0</v>
      </c>
      <c r="U15" s="36">
        <f>VLOOKUP($A15,[26]HISTOJUIN25!$A$6:$AU$51,28,0)</f>
        <v>0</v>
      </c>
      <c r="V15" s="36">
        <f>VLOOKUP($A15,[26]HISTOJUIN25!$A$6:$AU$51,19,0)</f>
        <v>0</v>
      </c>
      <c r="W15" s="36">
        <f>VLOOKUP($A15,[26]HISTOJUIN25!$A$6:$AU$51,20,0)</f>
        <v>0</v>
      </c>
      <c r="X15" s="36">
        <f>VLOOKUP($A15,[26]HISTOJUIN25!$A$6:$AU$51,27,0)</f>
        <v>0</v>
      </c>
      <c r="Y15" s="36">
        <f>VLOOKUP($A15,[26]HISTOJUIN25!$A$6:$BM$51,33,0)</f>
        <v>0</v>
      </c>
      <c r="Z15" s="36">
        <f>VLOOKUP($A15,[26]HISTOJUIN25!$A$6:$BM$51,64,0)</f>
        <v>0</v>
      </c>
      <c r="AA15" s="36"/>
      <c r="AB15" s="36">
        <f>VLOOKUP($A15,[26]HISTOJUIN25!$A$6:$AU$51,44,0)</f>
        <v>0</v>
      </c>
      <c r="AC15" s="36">
        <f>VLOOKUP($A15,[26]HISTOJUIN25!$A$6:$AU$51,43,0)</f>
        <v>0</v>
      </c>
      <c r="AD15" s="36">
        <f>VLOOKUP($A15,[26]HISTOJUIN25!$A$6:$BR$51,47,0)</f>
        <v>0</v>
      </c>
      <c r="AE15" s="36">
        <f>VLOOKUP(A15,[26]HISTOJUIN25!$A$6:$BR$51,54,0)</f>
        <v>0</v>
      </c>
      <c r="AF15" s="36">
        <f>VLOOKUP($A15,[26]HISTOJUIN25!$A$6:$BR$51,60,0)</f>
        <v>0</v>
      </c>
      <c r="AG15" s="36">
        <f>VLOOKUP($A15,[26]HISTOJUIN25!$A$6:$CB$51,61,0)</f>
        <v>0</v>
      </c>
      <c r="AH15" s="36">
        <f>VLOOKUP($A15,[26]HISTOJUIN25!$A$6:$CB$51,62,0)</f>
        <v>0</v>
      </c>
      <c r="AI15" s="36">
        <f>VLOOKUP($A15,[26]HISTOJUIN25!$A$6:$CB$51,63,0)</f>
        <v>0</v>
      </c>
      <c r="AJ15" s="36">
        <f>VLOOKUP($A15,[26]HISTOJUIN25!$A$6:$BR$51,64,0)</f>
        <v>0</v>
      </c>
      <c r="AK15" s="36">
        <f>VLOOKUP($A15,[26]HISTOJUIN25!$A$6:$BR$51,65,0)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VLOOKUP($A16,[26]HISTOJUIN25!$A$6:$BA$51,48,0)</f>
        <v>0</v>
      </c>
      <c r="F16" s="36">
        <f>VLOOKUP(A16,MVTMAI25!A16:AM52,6,0)+MVTMAI25!H16-E16+L16</f>
        <v>975672.27536945511</v>
      </c>
      <c r="G16" s="5">
        <f>IF(MVTJUIN25!F16&gt;800000,(MVTMAI25!I16-E16+L16),0)</f>
        <v>975672.27536945511</v>
      </c>
      <c r="H16" s="36">
        <f>VLOOKUP(A16,[27]MVTJUIN25!$A$6:$AM$42,8,0)</f>
        <v>2811.2833586042166</v>
      </c>
      <c r="I16" s="6">
        <f t="shared" si="1"/>
        <v>978483.55872805929</v>
      </c>
      <c r="J16" s="36">
        <f>VLOOKUP($A16,[26]HISTOJUIN25!$A$6:$AQ$51,22,0)</f>
        <v>0</v>
      </c>
      <c r="K16" s="36">
        <f>VLOOKUP($A16,[26]HISTOJUIN25!$A$6:$AU$51,45,0)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VLOOKUP($A16,[26]HISTOJUIN25!$A$6:$AU$51,8,0)</f>
        <v>0</v>
      </c>
      <c r="Q16" s="36">
        <f>VLOOKUP($A16,[26]HISTOJUIN25!$A$6:$AU$51,23,0)</f>
        <v>0</v>
      </c>
      <c r="R16" s="36">
        <f>VLOOKUP($A16,[26]HISTOJUIN25!$A$6:$AU$51,46,0)</f>
        <v>0</v>
      </c>
      <c r="S16" s="36">
        <f>VLOOKUP($A16,[26]HISTOJUIN25!$A$6:$AU$51,26,0)</f>
        <v>0</v>
      </c>
      <c r="T16" s="36">
        <f>VLOOKUP($A16,[26]HISTOJUIN25!$A$6:$BG$51,58,0)</f>
        <v>0</v>
      </c>
      <c r="U16" s="36">
        <f>VLOOKUP($A16,[26]HISTOJUIN25!$A$6:$AU$51,28,0)</f>
        <v>0</v>
      </c>
      <c r="V16" s="36">
        <f>VLOOKUP($A16,[26]HISTOJUIN25!$A$6:$AU$51,19,0)</f>
        <v>0</v>
      </c>
      <c r="W16" s="36">
        <f>VLOOKUP($A16,[26]HISTOJUIN25!$A$6:$AU$51,20,0)</f>
        <v>0</v>
      </c>
      <c r="X16" s="36">
        <f>VLOOKUP($A16,[26]HISTOJUIN25!$A$6:$AU$51,27,0)</f>
        <v>0</v>
      </c>
      <c r="Y16" s="36">
        <f>VLOOKUP($A16,[26]HISTOJUIN25!$A$6:$BM$51,33,0)</f>
        <v>0</v>
      </c>
      <c r="Z16" s="36">
        <f>VLOOKUP($A16,[26]HISTOJUIN25!$A$6:$BM$51,64,0)</f>
        <v>0</v>
      </c>
      <c r="AA16" s="36"/>
      <c r="AB16" s="36">
        <f>VLOOKUP($A16,[26]HISTOJUIN25!$A$6:$AU$51,44,0)</f>
        <v>0</v>
      </c>
      <c r="AC16" s="36">
        <f>VLOOKUP($A16,[26]HISTOJUIN25!$A$6:$AU$51,43,0)</f>
        <v>0</v>
      </c>
      <c r="AD16" s="36">
        <f>VLOOKUP($A16,[26]HISTOJUIN25!$A$6:$BR$51,47,0)</f>
        <v>0</v>
      </c>
      <c r="AE16" s="36">
        <f>VLOOKUP(A16,[26]HISTOJUIN25!$A$6:$BR$51,54,0)</f>
        <v>0</v>
      </c>
      <c r="AF16" s="36">
        <f>VLOOKUP($A16,[26]HISTOJUIN25!$A$6:$BR$51,60,0)</f>
        <v>0</v>
      </c>
      <c r="AG16" s="36">
        <f>VLOOKUP($A16,[26]HISTOJUIN25!$A$6:$CB$51,61,0)</f>
        <v>0</v>
      </c>
      <c r="AH16" s="36">
        <f>VLOOKUP($A16,[26]HISTOJUIN25!$A$6:$CB$51,62,0)</f>
        <v>0</v>
      </c>
      <c r="AI16" s="36">
        <f>VLOOKUP($A16,[26]HISTOJUIN25!$A$6:$CB$51,63,0)</f>
        <v>0</v>
      </c>
      <c r="AJ16" s="36">
        <f>VLOOKUP($A16,[26]HISTOJUIN25!$A$6:$BR$51,64,0)</f>
        <v>0</v>
      </c>
      <c r="AK16" s="36">
        <f>VLOOKUP($A16,[26]HISTOJUIN25!$A$6:$BR$51,65,0)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VLOOKUP($A17,[26]HISTOJUIN25!$A$6:$BA$51,48,0)</f>
        <v>0</v>
      </c>
      <c r="F17" s="36">
        <f>VLOOKUP(A17,MVTMAI25!A17:AM53,6,0)+MVTMAI25!H17-E17+L17</f>
        <v>1136859.9095470994</v>
      </c>
      <c r="G17" s="5">
        <f>IF(MVTJUIN25!F17&gt;800000,(MVTMAI25!I17-E17+L17),0)</f>
        <v>1136859.9095470994</v>
      </c>
      <c r="H17" s="36">
        <f>VLOOKUP(A17,[27]MVTJUIN25!$A$6:$AM$42,8,0)</f>
        <v>3275.726312468827</v>
      </c>
      <c r="I17" s="6">
        <f t="shared" si="1"/>
        <v>1140135.6358595681</v>
      </c>
      <c r="J17" s="36">
        <f>VLOOKUP($A17,[26]HISTOJUIN25!$A$6:$AQ$51,22,0)</f>
        <v>0</v>
      </c>
      <c r="K17" s="36">
        <f>VLOOKUP($A17,[26]HISTOJUIN25!$A$6:$AU$51,45,0)</f>
        <v>50000</v>
      </c>
      <c r="L17" s="36">
        <f t="shared" si="2"/>
        <v>44000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VLOOKUP($A17,[26]HISTOJUIN25!$A$6:$AU$51,8,0)</f>
        <v>0</v>
      </c>
      <c r="Q17" s="36">
        <f>VLOOKUP($A17,[26]HISTOJUIN25!$A$6:$AU$51,23,0)</f>
        <v>0</v>
      </c>
      <c r="R17" s="36">
        <f>VLOOKUP($A17,[26]HISTOJUIN25!$A$6:$AU$51,46,0)</f>
        <v>0</v>
      </c>
      <c r="S17" s="36">
        <f>VLOOKUP($A17,[26]HISTOJUIN25!$A$6:$AU$51,26,0)</f>
        <v>0</v>
      </c>
      <c r="T17" s="36">
        <f>VLOOKUP($A17,[26]HISTOJUIN25!$A$6:$BG$51,58,0)</f>
        <v>0</v>
      </c>
      <c r="U17" s="36">
        <f>VLOOKUP($A17,[26]HISTOJUIN25!$A$6:$AU$51,28,0)</f>
        <v>0</v>
      </c>
      <c r="V17" s="36">
        <f>VLOOKUP($A17,[26]HISTOJUIN25!$A$6:$AU$51,19,0)</f>
        <v>0</v>
      </c>
      <c r="W17" s="36">
        <f>VLOOKUP($A17,[26]HISTOJUIN25!$A$6:$AU$51,20,0)</f>
        <v>0</v>
      </c>
      <c r="X17" s="36">
        <f>VLOOKUP($A17,[26]HISTOJUIN25!$A$6:$AU$51,27,0)</f>
        <v>0</v>
      </c>
      <c r="Y17" s="36">
        <f>VLOOKUP($A17,[26]HISTOJUIN25!$A$6:$BM$51,33,0)</f>
        <v>0</v>
      </c>
      <c r="Z17" s="36">
        <f>VLOOKUP($A17,[26]HISTOJUIN25!$A$6:$BM$51,64,0)</f>
        <v>0</v>
      </c>
      <c r="AA17" s="36"/>
      <c r="AB17" s="36">
        <f>VLOOKUP($A17,[26]HISTOJUIN25!$A$6:$AU$51,44,0)</f>
        <v>0</v>
      </c>
      <c r="AC17" s="36">
        <f>VLOOKUP($A17,[26]HISTOJUIN25!$A$6:$AU$51,43,0)</f>
        <v>0</v>
      </c>
      <c r="AD17" s="36">
        <f>VLOOKUP($A17,[26]HISTOJUIN25!$A$6:$BR$51,47,0)</f>
        <v>0</v>
      </c>
      <c r="AE17" s="36">
        <f>VLOOKUP(A17,[26]HISTOJUIN25!$A$6:$BR$51,54,0)</f>
        <v>0</v>
      </c>
      <c r="AF17" s="36">
        <f>VLOOKUP($A17,[26]HISTOJUIN25!$A$6:$BR$51,60,0)</f>
        <v>0</v>
      </c>
      <c r="AG17" s="36">
        <f>VLOOKUP($A17,[26]HISTOJUIN25!$A$6:$CB$51,61,0)</f>
        <v>0</v>
      </c>
      <c r="AH17" s="36">
        <f>VLOOKUP($A17,[26]HISTOJUIN25!$A$6:$CB$51,62,0)</f>
        <v>0</v>
      </c>
      <c r="AI17" s="36">
        <f>VLOOKUP($A17,[26]HISTOJUIN25!$A$6:$CB$51,63,0)</f>
        <v>0</v>
      </c>
      <c r="AJ17" s="36">
        <f>VLOOKUP($A17,[26]HISTOJUIN25!$A$6:$BR$51,64,0)</f>
        <v>0</v>
      </c>
      <c r="AK17" s="36">
        <f>VLOOKUP($A17,[26]HISTOJUIN25!$A$6:$BR$51,65,0)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VLOOKUP($A18,[26]HISTOJUIN25!$A$6:$BA$51,48,0)</f>
        <v>0</v>
      </c>
      <c r="F18" s="36">
        <f>VLOOKUP(A18,MVTMAI25!A18:AM54,6,0)+MVTMAI25!H18-E18+L18</f>
        <v>979826.30000484944</v>
      </c>
      <c r="G18" s="5">
        <f>IF(MVTJUIN25!F18&gt;800000,(MVTMAI25!I18-E18+L18),0)</f>
        <v>979826.30000484944</v>
      </c>
      <c r="H18" s="36">
        <f>VLOOKUP(A18,[27]MVTJUIN25!$A$6:$AM$42,8,0)</f>
        <v>2823.2526854197131</v>
      </c>
      <c r="I18" s="6">
        <f t="shared" si="1"/>
        <v>982649.55269026919</v>
      </c>
      <c r="J18" s="36">
        <f>VLOOKUP($A18,[26]HISTOJUIN25!$A$6:$AQ$51,22,0)</f>
        <v>0</v>
      </c>
      <c r="K18" s="36">
        <f>VLOOKUP($A18,[26]HISTOJUIN25!$A$6:$AU$51,45,0)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VLOOKUP($A18,[26]HISTOJUIN25!$A$6:$AU$51,8,0)</f>
        <v>0</v>
      </c>
      <c r="Q18" s="36">
        <f>VLOOKUP($A18,[26]HISTOJUIN25!$A$6:$AU$51,23,0)</f>
        <v>0</v>
      </c>
      <c r="R18" s="36">
        <f>VLOOKUP($A18,[26]HISTOJUIN25!$A$6:$AU$51,46,0)</f>
        <v>0</v>
      </c>
      <c r="S18" s="36">
        <f>VLOOKUP($A18,[26]HISTOJUIN25!$A$6:$AU$51,26,0)</f>
        <v>0</v>
      </c>
      <c r="T18" s="36">
        <f>VLOOKUP($A18,[26]HISTOJUIN25!$A$6:$BG$51,58,0)</f>
        <v>0</v>
      </c>
      <c r="U18" s="36">
        <f>VLOOKUP($A18,[26]HISTOJUIN25!$A$6:$AU$51,28,0)</f>
        <v>0</v>
      </c>
      <c r="V18" s="36">
        <f>VLOOKUP($A18,[26]HISTOJUIN25!$A$6:$AU$51,19,0)</f>
        <v>0</v>
      </c>
      <c r="W18" s="36">
        <f>VLOOKUP($A18,[26]HISTOJUIN25!$A$6:$AU$51,20,0)</f>
        <v>0</v>
      </c>
      <c r="X18" s="36">
        <f>VLOOKUP($A18,[26]HISTOJUIN25!$A$6:$AU$51,27,0)</f>
        <v>0</v>
      </c>
      <c r="Y18" s="36">
        <f>VLOOKUP($A18,[26]HISTOJUIN25!$A$6:$BM$51,33,0)</f>
        <v>0</v>
      </c>
      <c r="Z18" s="36">
        <f>VLOOKUP($A18,[26]HISTOJUIN25!$A$6:$BM$51,64,0)</f>
        <v>0</v>
      </c>
      <c r="AA18" s="36"/>
      <c r="AB18" s="36">
        <f>VLOOKUP($A18,[26]HISTOJUIN25!$A$6:$AU$51,44,0)</f>
        <v>0</v>
      </c>
      <c r="AC18" s="36">
        <f>VLOOKUP($A18,[26]HISTOJUIN25!$A$6:$AU$51,43,0)</f>
        <v>0</v>
      </c>
      <c r="AD18" s="36">
        <f>VLOOKUP($A18,[26]HISTOJUIN25!$A$6:$BR$51,47,0)</f>
        <v>0</v>
      </c>
      <c r="AE18" s="36">
        <f>VLOOKUP(A18,[26]HISTOJUIN25!$A$6:$BR$51,54,0)</f>
        <v>0</v>
      </c>
      <c r="AF18" s="36">
        <f>VLOOKUP($A18,[26]HISTOJUIN25!$A$6:$BR$51,60,0)</f>
        <v>0</v>
      </c>
      <c r="AG18" s="36">
        <f>VLOOKUP($A18,[26]HISTOJUIN25!$A$6:$CB$51,61,0)</f>
        <v>0</v>
      </c>
      <c r="AH18" s="36">
        <f>VLOOKUP($A18,[26]HISTOJUIN25!$A$6:$CB$51,62,0)</f>
        <v>0</v>
      </c>
      <c r="AI18" s="36">
        <f>VLOOKUP($A18,[26]HISTOJUIN25!$A$6:$CB$51,63,0)</f>
        <v>0</v>
      </c>
      <c r="AJ18" s="36">
        <f>VLOOKUP($A18,[26]HISTOJUIN25!$A$6:$BR$51,64,0)</f>
        <v>0</v>
      </c>
      <c r="AK18" s="36">
        <f>VLOOKUP($A18,[26]HISTOJUIN25!$A$6:$BR$51,65,0)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VLOOKUP($A19,[26]HISTOJUIN25!$A$6:$BA$51,48,0)</f>
        <v>0</v>
      </c>
      <c r="F19" s="36">
        <f>VLOOKUP(A19,MVTMAI25!A19:AM55,6,0)+MVTMAI25!H19-E19+L19</f>
        <v>1033742.1499443398</v>
      </c>
      <c r="G19" s="5">
        <f>IF(MVTJUIN25!F19&gt;800000,(MVTMAI25!I19-E19+L19),0)</f>
        <v>1033742.1499443398</v>
      </c>
      <c r="H19" s="36">
        <f>VLOOKUP(A19,[27]MVTJUIN25!$A$6:$AM$42,8,0)</f>
        <v>2978.604780099759</v>
      </c>
      <c r="I19" s="6">
        <f t="shared" si="1"/>
        <v>1036720.7547244395</v>
      </c>
      <c r="J19" s="36">
        <f>VLOOKUP($A19,[26]HISTOJUIN25!$A$6:$AQ$51,22,0)</f>
        <v>0</v>
      </c>
      <c r="K19" s="36">
        <f>VLOOKUP($A19,[26]HISTOJUIN25!$A$6:$AU$51,45,0)</f>
        <v>35000</v>
      </c>
      <c r="L19" s="36">
        <f t="shared" si="2"/>
        <v>29000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VLOOKUP($A19,[26]HISTOJUIN25!$A$6:$AU$51,8,0)</f>
        <v>0</v>
      </c>
      <c r="Q19" s="36">
        <f>VLOOKUP($A19,[26]HISTOJUIN25!$A$6:$AU$51,23,0)</f>
        <v>0</v>
      </c>
      <c r="R19" s="36">
        <f>VLOOKUP($A19,[26]HISTOJUIN25!$A$6:$AU$51,46,0)</f>
        <v>0</v>
      </c>
      <c r="S19" s="36">
        <f>VLOOKUP($A19,[26]HISTOJUIN25!$A$6:$AU$51,26,0)</f>
        <v>0</v>
      </c>
      <c r="T19" s="36">
        <f>VLOOKUP($A19,[26]HISTOJUIN25!$A$6:$BG$51,58,0)</f>
        <v>0</v>
      </c>
      <c r="U19" s="36">
        <f>VLOOKUP($A19,[26]HISTOJUIN25!$A$6:$AU$51,28,0)</f>
        <v>0</v>
      </c>
      <c r="V19" s="36">
        <f>VLOOKUP($A19,[26]HISTOJUIN25!$A$6:$AU$51,19,0)</f>
        <v>0</v>
      </c>
      <c r="W19" s="36">
        <f>VLOOKUP($A19,[26]HISTOJUIN25!$A$6:$AU$51,20,0)</f>
        <v>0</v>
      </c>
      <c r="X19" s="36">
        <f>VLOOKUP($A19,[26]HISTOJUIN25!$A$6:$AU$51,27,0)</f>
        <v>0</v>
      </c>
      <c r="Y19" s="36">
        <f>VLOOKUP($A19,[26]HISTOJUIN25!$A$6:$BM$51,33,0)</f>
        <v>0</v>
      </c>
      <c r="Z19" s="36">
        <f>VLOOKUP($A19,[26]HISTOJUIN25!$A$6:$BM$51,64,0)</f>
        <v>0</v>
      </c>
      <c r="AA19" s="36"/>
      <c r="AB19" s="36">
        <f>VLOOKUP($A19,[26]HISTOJUIN25!$A$6:$AU$51,44,0)</f>
        <v>0</v>
      </c>
      <c r="AC19" s="36">
        <f>VLOOKUP($A19,[26]HISTOJUIN25!$A$6:$AU$51,43,0)</f>
        <v>0</v>
      </c>
      <c r="AD19" s="36">
        <f>VLOOKUP($A19,[26]HISTOJUIN25!$A$6:$BR$51,47,0)</f>
        <v>0</v>
      </c>
      <c r="AE19" s="36">
        <f>VLOOKUP(A19,[26]HISTOJUIN25!$A$6:$BR$51,54,0)</f>
        <v>0</v>
      </c>
      <c r="AF19" s="36">
        <f>VLOOKUP($A19,[26]HISTOJUIN25!$A$6:$BR$51,60,0)</f>
        <v>0</v>
      </c>
      <c r="AG19" s="36">
        <f>VLOOKUP($A19,[26]HISTOJUIN25!$A$6:$CB$51,61,0)</f>
        <v>0</v>
      </c>
      <c r="AH19" s="36">
        <f>VLOOKUP($A19,[26]HISTOJUIN25!$A$6:$CB$51,62,0)</f>
        <v>0</v>
      </c>
      <c r="AI19" s="36">
        <f>VLOOKUP($A19,[26]HISTOJUIN25!$A$6:$CB$51,63,0)</f>
        <v>0</v>
      </c>
      <c r="AJ19" s="36">
        <f>VLOOKUP($A19,[26]HISTOJUIN25!$A$6:$BR$51,64,0)</f>
        <v>0</v>
      </c>
      <c r="AK19" s="36">
        <f>VLOOKUP($A19,[26]HISTOJUIN25!$A$6:$BR$51,65,0)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VLOOKUP($A20,[26]HISTOJUIN25!$A$6:$BA$51,48,0)</f>
        <v>0</v>
      </c>
      <c r="F20" s="36">
        <f>VLOOKUP(A20,MVTMAI25!A20:AM56,6,0)+MVTMAI25!H20-E20+L20</f>
        <v>300000</v>
      </c>
      <c r="G20" s="5">
        <f>IF(MVTJUIN25!F20&gt;800000,(MVTMAI25!I20-E20+L20),0)</f>
        <v>0</v>
      </c>
      <c r="H20" s="36">
        <f>VLOOKUP(A20,[27]MVTJUIN25!$A$6:$AM$42,8,0)</f>
        <v>0</v>
      </c>
      <c r="I20" s="6">
        <f t="shared" ref="I20" si="5">F20+H20</f>
        <v>300000</v>
      </c>
      <c r="J20" s="36">
        <f>VLOOKUP($A20,[26]HISTOJUIN25!$A$6:$AQ$51,22,0)</f>
        <v>0</v>
      </c>
      <c r="K20" s="36">
        <f>VLOOKUP($A20,[26]HISTOJUIN25!$A$6:$AU$51,45,0)</f>
        <v>0</v>
      </c>
      <c r="L20" s="36">
        <f>IF(K20=0,0,K20-(M20+N20+O20))+100000</f>
        <v>100000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VLOOKUP($A20,[26]HISTOJUIN25!$A$6:$AU$51,8,0)</f>
        <v>0</v>
      </c>
      <c r="Q20" s="36">
        <f>VLOOKUP($A20,[26]HISTOJUIN25!$A$6:$AU$51,23,0)</f>
        <v>0</v>
      </c>
      <c r="R20" s="36">
        <f>VLOOKUP($A20,[26]HISTOJUIN25!$A$6:$AU$51,46,0)</f>
        <v>0</v>
      </c>
      <c r="S20" s="36">
        <f>VLOOKUP($A20,[26]HISTOJUIN25!$A$6:$AU$51,26,0)</f>
        <v>0</v>
      </c>
      <c r="T20" s="36">
        <f>VLOOKUP($A20,[26]HISTOJUIN25!$A$6:$BG$51,58,0)</f>
        <v>0</v>
      </c>
      <c r="U20" s="36">
        <f>VLOOKUP($A20,[26]HISTOJUIN25!$A$6:$AU$51,28,0)</f>
        <v>0</v>
      </c>
      <c r="V20" s="36">
        <f>VLOOKUP($A20,[26]HISTOJUIN25!$A$6:$AU$51,19,0)</f>
        <v>0</v>
      </c>
      <c r="W20" s="36">
        <f>VLOOKUP($A20,[26]HISTOJUIN25!$A$6:$AU$51,20,0)</f>
        <v>0</v>
      </c>
      <c r="X20" s="36">
        <f>VLOOKUP($A20,[26]HISTOJUIN25!$A$6:$AU$51,27,0)</f>
        <v>0</v>
      </c>
      <c r="Y20" s="36">
        <f>VLOOKUP($A20,[26]HISTOJUIN25!$A$6:$BM$51,33,0)</f>
        <v>0</v>
      </c>
      <c r="Z20" s="36">
        <f>VLOOKUP($A20,[26]HISTOJUIN25!$A$6:$BM$51,64,0)</f>
        <v>0</v>
      </c>
      <c r="AA20" s="36"/>
      <c r="AB20" s="36">
        <f>VLOOKUP($A20,[26]HISTOJUIN25!$A$6:$AU$51,44,0)</f>
        <v>0</v>
      </c>
      <c r="AC20" s="36">
        <f>VLOOKUP($A20,[26]HISTOJUIN25!$A$6:$AU$51,43,0)</f>
        <v>0</v>
      </c>
      <c r="AD20" s="36">
        <f>VLOOKUP($A20,[26]HISTOJUIN25!$A$6:$BR$51,47,0)</f>
        <v>0</v>
      </c>
      <c r="AE20" s="36">
        <f>VLOOKUP(A20,[26]HISTOJUIN25!$A$6:$BR$51,54,0)</f>
        <v>0</v>
      </c>
      <c r="AF20" s="36">
        <f>VLOOKUP($A20,[26]HISTOJUIN25!$A$6:$BR$51,60,0)</f>
        <v>0</v>
      </c>
      <c r="AG20" s="36">
        <f>VLOOKUP($A20,[26]HISTOJUIN25!$A$6:$CB$51,61,0)</f>
        <v>0</v>
      </c>
      <c r="AH20" s="36">
        <f>VLOOKUP($A20,[26]HISTOJUIN25!$A$6:$CB$51,62,0)</f>
        <v>0</v>
      </c>
      <c r="AI20" s="36">
        <f>VLOOKUP($A20,[26]HISTOJUIN25!$A$6:$CB$51,63,0)</f>
        <v>0</v>
      </c>
      <c r="AJ20" s="36">
        <f>VLOOKUP($A20,[26]HISTOJUIN25!$A$6:$BR$51,64,0)</f>
        <v>0</v>
      </c>
      <c r="AK20" s="36">
        <f>VLOOKUP($A20,[26]HISTOJUIN25!$A$6:$BR$51,65,0)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VLOOKUP($A21,[26]HISTOJUIN25!$A$6:$BA$51,48,0)</f>
        <v>0</v>
      </c>
      <c r="F21" s="36">
        <f>VLOOKUP(A21,MVTMAI25!A21:AM56,6,0)+MVTMAI25!H21-E21+L21</f>
        <v>1135501.8152135806</v>
      </c>
      <c r="G21" s="5">
        <f>IF(MVTJUIN25!F21&gt;800000,(MVTMAI25!I21-E21+L21),0)</f>
        <v>1135501.8152135806</v>
      </c>
      <c r="H21" s="36">
        <f>VLOOKUP(A21,[27]MVTJUIN25!$A$6:$AM$42,8,0)</f>
        <v>3271.8131255354483</v>
      </c>
      <c r="I21" s="6">
        <f t="shared" si="1"/>
        <v>1138773.628339116</v>
      </c>
      <c r="J21" s="36">
        <f>VLOOKUP($A21,[26]HISTOJUIN25!$A$6:$AQ$51,22,0)</f>
        <v>0</v>
      </c>
      <c r="K21" s="36">
        <f>VLOOKUP($A21,[26]HISTOJUIN25!$A$6:$AU$51,45,0)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VLOOKUP($A21,[26]HISTOJUIN25!$A$6:$AU$51,8,0)</f>
        <v>0</v>
      </c>
      <c r="Q21" s="36">
        <f>VLOOKUP($A21,[26]HISTOJUIN25!$A$6:$AU$51,23,0)</f>
        <v>0</v>
      </c>
      <c r="R21" s="36">
        <f>VLOOKUP($A21,[26]HISTOJUIN25!$A$6:$AU$51,46,0)</f>
        <v>0</v>
      </c>
      <c r="S21" s="36">
        <f>VLOOKUP($A21,[26]HISTOJUIN25!$A$6:$AU$51,26,0)</f>
        <v>0</v>
      </c>
      <c r="T21" s="36">
        <f>VLOOKUP($A21,[26]HISTOJUIN25!$A$6:$BG$51,58,0)</f>
        <v>0</v>
      </c>
      <c r="U21" s="36">
        <f>VLOOKUP($A21,[26]HISTOJUIN25!$A$6:$AU$51,28,0)</f>
        <v>0</v>
      </c>
      <c r="V21" s="36">
        <f>VLOOKUP($A21,[26]HISTOJUIN25!$A$6:$AU$51,19,0)</f>
        <v>300000</v>
      </c>
      <c r="W21" s="36" t="str">
        <f>VLOOKUP($A21,[26]HISTOJUIN25!$A$6:$AU$51,20,0)</f>
        <v>BANQUE</v>
      </c>
      <c r="X21" s="36">
        <f>VLOOKUP($A21,[26]HISTOJUIN25!$A$6:$AU$51,27,0)</f>
        <v>0</v>
      </c>
      <c r="Y21" s="36">
        <f>VLOOKUP($A21,[26]HISTOJUIN25!$A$6:$BM$51,33,0)</f>
        <v>0</v>
      </c>
      <c r="Z21" s="36">
        <f>VLOOKUP($A21,[26]HISTOJUIN25!$A$6:$BM$51,64,0)</f>
        <v>0</v>
      </c>
      <c r="AA21" s="36"/>
      <c r="AB21" s="36">
        <f>VLOOKUP($A21,[26]HISTOJUIN25!$A$6:$AU$51,44,0)</f>
        <v>0</v>
      </c>
      <c r="AC21" s="36">
        <f>VLOOKUP($A21,[26]HISTOJUIN25!$A$6:$AU$51,43,0)</f>
        <v>0</v>
      </c>
      <c r="AD21" s="36">
        <f>VLOOKUP($A21,[26]HISTOJUIN25!$A$6:$BR$51,47,0)</f>
        <v>0</v>
      </c>
      <c r="AE21" s="36">
        <f>VLOOKUP(A21,[26]HISTOJUIN25!$A$6:$BR$51,54,0)</f>
        <v>0</v>
      </c>
      <c r="AF21" s="36">
        <f>VLOOKUP($A21,[26]HISTOJUIN25!$A$6:$BR$51,60,0)</f>
        <v>0</v>
      </c>
      <c r="AG21" s="36">
        <f>VLOOKUP($A21,[26]HISTOJUIN25!$A$6:$CB$51,61,0)</f>
        <v>0</v>
      </c>
      <c r="AH21" s="36">
        <f>VLOOKUP($A21,[26]HISTOJUIN25!$A$6:$CB$51,62,0)</f>
        <v>0</v>
      </c>
      <c r="AI21" s="36">
        <f>VLOOKUP($A21,[26]HISTOJUIN25!$A$6:$CB$51,63,0)</f>
        <v>0</v>
      </c>
      <c r="AJ21" s="36">
        <f>VLOOKUP($A21,[26]HISTOJUIN25!$A$6:$BR$51,64,0)</f>
        <v>0</v>
      </c>
      <c r="AK21" s="36">
        <f>VLOOKUP($A21,[26]HISTOJUIN25!$A$6:$BR$51,65,0)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VLOOKUP($A22,[26]HISTOJUIN25!$A$6:$BA$51,48,0)</f>
        <v>0</v>
      </c>
      <c r="F22" s="36">
        <f>VLOOKUP(A22,MVTMAI25!A22:AM57,6,0)+MVTMAI25!H22-E22+L22</f>
        <v>981129.9808177395</v>
      </c>
      <c r="G22" s="5">
        <f>IF(MVTJUIN25!F22&gt;800000,(MVTMAI25!I22-E22+L22),0)</f>
        <v>981129.9808177395</v>
      </c>
      <c r="H22" s="36">
        <f>VLOOKUP(A22,[27]MVTJUIN25!$A$6:$AM$42,8,0)</f>
        <v>2827.0090862796446</v>
      </c>
      <c r="I22" s="6">
        <f t="shared" si="1"/>
        <v>983956.98990401917</v>
      </c>
      <c r="J22" s="36">
        <f>VLOOKUP($A22,[26]HISTOJUIN25!$A$6:$AQ$51,22,0)</f>
        <v>0</v>
      </c>
      <c r="K22" s="36">
        <f>VLOOKUP($A22,[26]HISTOJUIN25!$A$6:$AU$51,45,0)</f>
        <v>24000</v>
      </c>
      <c r="L22" s="36">
        <f t="shared" si="2"/>
        <v>18000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VLOOKUP($A22,[26]HISTOJUIN25!$A$6:$AU$51,8,0)</f>
        <v>0</v>
      </c>
      <c r="Q22" s="36">
        <f>VLOOKUP($A22,[26]HISTOJUIN25!$A$6:$AU$51,23,0)</f>
        <v>0</v>
      </c>
      <c r="R22" s="36">
        <f>VLOOKUP($A22,[26]HISTOJUIN25!$A$6:$AU$51,46,0)</f>
        <v>0</v>
      </c>
      <c r="S22" s="36">
        <f>VLOOKUP($A22,[26]HISTOJUIN25!$A$6:$AU$51,26,0)</f>
        <v>1000000</v>
      </c>
      <c r="T22" s="36">
        <f>VLOOKUP($A22,[26]HISTOJUIN25!$A$6:$BG$51,58,0)</f>
        <v>30000</v>
      </c>
      <c r="U22" s="36">
        <f>VLOOKUP($A22,[26]HISTOJUIN25!$A$6:$AU$51,28,0)</f>
        <v>0</v>
      </c>
      <c r="V22" s="36">
        <f>VLOOKUP($A22,[26]HISTOJUIN25!$A$6:$AU$51,19,0)</f>
        <v>1000000</v>
      </c>
      <c r="W22" s="36" t="str">
        <f>VLOOKUP($A22,[26]HISTOJUIN25!$A$6:$AU$51,20,0)</f>
        <v>BANQUE</v>
      </c>
      <c r="X22" s="36" t="str">
        <f>VLOOKUP($A22,[26]HISTOJUIN25!$A$6:$AU$51,27,0)</f>
        <v>BANQUE</v>
      </c>
      <c r="Y22" s="36">
        <f>VLOOKUP($A22,[26]HISTOJUIN25!$A$6:$BM$51,33,0)</f>
        <v>0</v>
      </c>
      <c r="Z22" s="36">
        <f>VLOOKUP($A22,[26]HISTOJUIN25!$A$6:$BM$51,64,0)</f>
        <v>0</v>
      </c>
      <c r="AA22" s="36"/>
      <c r="AB22" s="36">
        <f>VLOOKUP($A22,[26]HISTOJUIN25!$A$6:$AU$51,44,0)</f>
        <v>0</v>
      </c>
      <c r="AC22" s="36">
        <f>VLOOKUP($A22,[26]HISTOJUIN25!$A$6:$AU$51,43,0)</f>
        <v>0</v>
      </c>
      <c r="AD22" s="36">
        <f>VLOOKUP($A22,[26]HISTOJUIN25!$A$6:$BR$51,47,0)</f>
        <v>0</v>
      </c>
      <c r="AE22" s="36">
        <f>VLOOKUP(A22,[26]HISTOJUIN25!$A$6:$BR$51,54,0)</f>
        <v>0</v>
      </c>
      <c r="AF22" s="36">
        <f>VLOOKUP($A22,[26]HISTOJUIN25!$A$6:$BR$51,60,0)</f>
        <v>0</v>
      </c>
      <c r="AG22" s="36">
        <f>VLOOKUP($A22,[26]HISTOJUIN25!$A$6:$CB$51,61,0)</f>
        <v>0</v>
      </c>
      <c r="AH22" s="36">
        <f>VLOOKUP($A22,[26]HISTOJUIN25!$A$6:$CB$51,62,0)</f>
        <v>0</v>
      </c>
      <c r="AI22" s="36">
        <f>VLOOKUP($A22,[26]HISTOJUIN25!$A$6:$CB$51,63,0)</f>
        <v>0</v>
      </c>
      <c r="AJ22" s="36">
        <f>VLOOKUP($A22,[26]HISTOJUIN25!$A$6:$BR$51,64,0)</f>
        <v>0</v>
      </c>
      <c r="AK22" s="36">
        <f>VLOOKUP($A22,[26]HISTOJUIN25!$A$6:$BR$51,65,0)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VLOOKUP($A23,[26]HISTOJUIN25!$A$6:$BA$51,48,0)</f>
        <v>0</v>
      </c>
      <c r="F23" s="36">
        <f>VLOOKUP(A23,MVTMAI25!A23:AM58,6,0)+MVTMAI25!H23-E23+L23</f>
        <v>981398.55143487593</v>
      </c>
      <c r="G23" s="5">
        <f>IF(MVTJUIN25!F23&gt;800000,(MVTMAI25!I23-E23+L23),0)</f>
        <v>981398.55143487593</v>
      </c>
      <c r="H23" s="36">
        <f>VLOOKUP(A23,[27]MVTJUIN25!$A$6:$AM$42,8,0)</f>
        <v>2827.7829404985523</v>
      </c>
      <c r="I23" s="6">
        <f t="shared" si="1"/>
        <v>984226.33437537448</v>
      </c>
      <c r="J23" s="36">
        <f>VLOOKUP($A23,[26]HISTOJUIN25!$A$6:$AQ$51,22,0)</f>
        <v>0</v>
      </c>
      <c r="K23" s="36">
        <f>VLOOKUP($A23,[26]HISTOJUIN25!$A$6:$AU$51,45,0)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VLOOKUP($A23,[26]HISTOJUIN25!$A$6:$AU$51,8,0)</f>
        <v>0</v>
      </c>
      <c r="Q23" s="36">
        <f>VLOOKUP($A23,[26]HISTOJUIN25!$A$6:$AU$51,23,0)</f>
        <v>0</v>
      </c>
      <c r="R23" s="36">
        <f>VLOOKUP($A23,[26]HISTOJUIN25!$A$6:$AU$51,46,0)</f>
        <v>0</v>
      </c>
      <c r="S23" s="36">
        <f>VLOOKUP($A23,[26]HISTOJUIN25!$A$6:$AU$51,26,0)</f>
        <v>0</v>
      </c>
      <c r="T23" s="36">
        <f>VLOOKUP($A23,[26]HISTOJUIN25!$A$6:$BG$51,58,0)</f>
        <v>0</v>
      </c>
      <c r="U23" s="36">
        <f>VLOOKUP($A23,[26]HISTOJUIN25!$A$6:$AU$51,28,0)</f>
        <v>0</v>
      </c>
      <c r="V23" s="36">
        <f>VLOOKUP($A23,[26]HISTOJUIN25!$A$6:$AU$51,19,0)</f>
        <v>0</v>
      </c>
      <c r="W23" s="36">
        <f>VLOOKUP($A23,[26]HISTOJUIN25!$A$6:$AU$51,20,0)</f>
        <v>0</v>
      </c>
      <c r="X23" s="36">
        <f>VLOOKUP($A23,[26]HISTOJUIN25!$A$6:$AU$51,27,0)</f>
        <v>0</v>
      </c>
      <c r="Y23" s="36">
        <f>VLOOKUP($A23,[26]HISTOJUIN25!$A$6:$BM$51,33,0)</f>
        <v>0</v>
      </c>
      <c r="Z23" s="36">
        <f>VLOOKUP($A23,[26]HISTOJUIN25!$A$6:$BM$51,64,0)</f>
        <v>0</v>
      </c>
      <c r="AA23" s="36"/>
      <c r="AB23" s="36">
        <f>VLOOKUP($A23,[26]HISTOJUIN25!$A$6:$AU$51,44,0)</f>
        <v>0</v>
      </c>
      <c r="AC23" s="36">
        <f>VLOOKUP($A23,[26]HISTOJUIN25!$A$6:$AU$51,43,0)</f>
        <v>0</v>
      </c>
      <c r="AD23" s="36">
        <f>VLOOKUP($A23,[26]HISTOJUIN25!$A$6:$BR$51,47,0)</f>
        <v>0</v>
      </c>
      <c r="AE23" s="36">
        <f>VLOOKUP(A23,[26]HISTOJUIN25!$A$6:$BR$51,54,0)</f>
        <v>0</v>
      </c>
      <c r="AF23" s="36">
        <f>VLOOKUP($A23,[26]HISTOJUIN25!$A$6:$BR$51,60,0)</f>
        <v>0</v>
      </c>
      <c r="AG23" s="36">
        <f>VLOOKUP($A23,[26]HISTOJUIN25!$A$6:$CB$51,61,0)</f>
        <v>0</v>
      </c>
      <c r="AH23" s="36">
        <f>VLOOKUP($A23,[26]HISTOJUIN25!$A$6:$CB$51,62,0)</f>
        <v>0</v>
      </c>
      <c r="AI23" s="36">
        <f>VLOOKUP($A23,[26]HISTOJUIN25!$A$6:$CB$51,63,0)</f>
        <v>0</v>
      </c>
      <c r="AJ23" s="36">
        <f>VLOOKUP($A23,[26]HISTOJUIN25!$A$6:$BR$51,64,0)</f>
        <v>0</v>
      </c>
      <c r="AK23" s="36">
        <f>VLOOKUP($A23,[26]HISTOJUIN25!$A$6:$BR$51,65,0)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VLOOKUP($A24,[26]HISTOJUIN25!$A$6:$BA$51,48,0)</f>
        <v>0</v>
      </c>
      <c r="F24" s="36">
        <f>VLOOKUP(A24,MVTMAI25!A24:AM59,6,0)+MVTMAI25!H24-E24+L24</f>
        <v>928512.06699672434</v>
      </c>
      <c r="G24" s="5">
        <f>IF(MVTJUIN25!F24&gt;800000,(MVTMAI25!I24-E24+L24),0)</f>
        <v>928512.06699672434</v>
      </c>
      <c r="H24" s="36">
        <f>VLOOKUP(A24,[27]MVTJUIN25!$A$6:$AM$42,8,0)</f>
        <v>2675.396839807358</v>
      </c>
      <c r="I24" s="6">
        <f t="shared" si="1"/>
        <v>931187.46383653174</v>
      </c>
      <c r="J24" s="36">
        <f>VLOOKUP($A24,[26]HISTOJUIN25!$A$6:$AQ$51,22,0)</f>
        <v>0</v>
      </c>
      <c r="K24" s="36">
        <f>VLOOKUP($A24,[26]HISTOJUIN25!$A$6:$AU$51,45,0)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VLOOKUP($A24,[26]HISTOJUIN25!$A$6:$AU$51,8,0)</f>
        <v>0</v>
      </c>
      <c r="Q24" s="36">
        <f>VLOOKUP($A24,[26]HISTOJUIN25!$A$6:$AU$51,23,0)</f>
        <v>0</v>
      </c>
      <c r="R24" s="36">
        <f>VLOOKUP($A24,[26]HISTOJUIN25!$A$6:$AU$51,46,0)</f>
        <v>0</v>
      </c>
      <c r="S24" s="36">
        <f>VLOOKUP($A24,[26]HISTOJUIN25!$A$6:$AU$51,26,0)</f>
        <v>0</v>
      </c>
      <c r="T24" s="36">
        <f>VLOOKUP($A24,[26]HISTOJUIN25!$A$6:$BG$51,58,0)</f>
        <v>0</v>
      </c>
      <c r="U24" s="36">
        <f>VLOOKUP($A24,[26]HISTOJUIN25!$A$6:$AU$51,28,0)</f>
        <v>0</v>
      </c>
      <c r="V24" s="36">
        <f>VLOOKUP($A24,[26]HISTOJUIN25!$A$6:$AU$51,19,0)</f>
        <v>0</v>
      </c>
      <c r="W24" s="36">
        <f>VLOOKUP($A24,[26]HISTOJUIN25!$A$6:$AU$51,20,0)</f>
        <v>0</v>
      </c>
      <c r="X24" s="36">
        <f>VLOOKUP($A24,[26]HISTOJUIN25!$A$6:$AU$51,27,0)</f>
        <v>0</v>
      </c>
      <c r="Y24" s="36">
        <f>VLOOKUP($A24,[26]HISTOJUIN25!$A$6:$BM$51,33,0)</f>
        <v>0</v>
      </c>
      <c r="Z24" s="36">
        <f>VLOOKUP($A24,[26]HISTOJUIN25!$A$6:$BM$51,64,0)</f>
        <v>0</v>
      </c>
      <c r="AA24" s="36"/>
      <c r="AB24" s="36">
        <f>VLOOKUP($A24,[26]HISTOJUIN25!$A$6:$AU$51,44,0)</f>
        <v>0</v>
      </c>
      <c r="AC24" s="36">
        <f>VLOOKUP($A24,[26]HISTOJUIN25!$A$6:$AU$51,43,0)</f>
        <v>0</v>
      </c>
      <c r="AD24" s="36">
        <f>VLOOKUP($A24,[26]HISTOJUIN25!$A$6:$BR$51,47,0)</f>
        <v>0</v>
      </c>
      <c r="AE24" s="36">
        <f>VLOOKUP(A24,[26]HISTOJUIN25!$A$6:$BR$51,54,0)</f>
        <v>0</v>
      </c>
      <c r="AF24" s="36">
        <f>VLOOKUP($A24,[26]HISTOJUIN25!$A$6:$BR$51,60,0)</f>
        <v>0</v>
      </c>
      <c r="AG24" s="36">
        <f>VLOOKUP($A24,[26]HISTOJUIN25!$A$6:$CB$51,61,0)</f>
        <v>0</v>
      </c>
      <c r="AH24" s="36">
        <f>VLOOKUP($A24,[26]HISTOJUIN25!$A$6:$CB$51,62,0)</f>
        <v>0</v>
      </c>
      <c r="AI24" s="36">
        <f>VLOOKUP($A24,[26]HISTOJUIN25!$A$6:$CB$51,63,0)</f>
        <v>0</v>
      </c>
      <c r="AJ24" s="36">
        <f>VLOOKUP($A24,[26]HISTOJUIN25!$A$6:$BR$51,64,0)</f>
        <v>0</v>
      </c>
      <c r="AK24" s="36">
        <f>VLOOKUP($A24,[26]HISTOJUIN25!$A$6:$BR$51,65,0)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VLOOKUP($A25,[26]HISTOJUIN25!$A$6:$BA$51,48,0)</f>
        <v>0</v>
      </c>
      <c r="F25" s="36">
        <f>VLOOKUP(A25,MVTMAI25!A25:AM60,6,0)+MVTMAI25!H25-E25+L25</f>
        <v>1308279.1644260087</v>
      </c>
      <c r="G25" s="5">
        <f>IF(MVTJUIN25!F25&gt;800000,(MVTMAI25!I25-E25+L25),0)</f>
        <v>1308279.1644260087</v>
      </c>
      <c r="H25" s="36">
        <f>VLOOKUP(A25,[27]MVTJUIN25!$A$6:$AM$42,8,0)</f>
        <v>3769.6504617462365</v>
      </c>
      <c r="I25" s="6">
        <f t="shared" si="1"/>
        <v>1312048.8148877549</v>
      </c>
      <c r="J25" s="36">
        <f>VLOOKUP($A25,[26]HISTOJUIN25!$A$6:$AQ$51,22,0)</f>
        <v>0</v>
      </c>
      <c r="K25" s="36">
        <f>VLOOKUP($A25,[26]HISTOJUIN25!$A$6:$AU$51,45,0)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VLOOKUP($A25,[26]HISTOJUIN25!$A$6:$AU$51,8,0)</f>
        <v>0</v>
      </c>
      <c r="Q25" s="36">
        <f>VLOOKUP($A25,[26]HISTOJUIN25!$A$6:$AU$51,23,0)</f>
        <v>0</v>
      </c>
      <c r="R25" s="36">
        <f>VLOOKUP($A25,[26]HISTOJUIN25!$A$6:$AU$51,46,0)</f>
        <v>0</v>
      </c>
      <c r="S25" s="36">
        <f>VLOOKUP($A25,[26]HISTOJUIN25!$A$6:$AU$51,26,0)</f>
        <v>0</v>
      </c>
      <c r="T25" s="36">
        <f>VLOOKUP($A25,[26]HISTOJUIN25!$A$6:$BG$51,58,0)</f>
        <v>0</v>
      </c>
      <c r="U25" s="36">
        <f>VLOOKUP($A25,[26]HISTOJUIN25!$A$6:$AU$51,28,0)</f>
        <v>0</v>
      </c>
      <c r="V25" s="36">
        <f>VLOOKUP($A25,[26]HISTOJUIN25!$A$6:$AU$51,19,0)</f>
        <v>0</v>
      </c>
      <c r="W25" s="36">
        <f>VLOOKUP($A25,[26]HISTOJUIN25!$A$6:$AU$51,20,0)</f>
        <v>0</v>
      </c>
      <c r="X25" s="36">
        <f>VLOOKUP($A25,[26]HISTOJUIN25!$A$6:$AU$51,27,0)</f>
        <v>0</v>
      </c>
      <c r="Y25" s="36">
        <f>VLOOKUP($A25,[26]HISTOJUIN25!$A$6:$BM$51,33,0)</f>
        <v>0</v>
      </c>
      <c r="Z25" s="36">
        <f>VLOOKUP($A25,[26]HISTOJUIN25!$A$6:$BM$51,64,0)</f>
        <v>0</v>
      </c>
      <c r="AA25" s="36"/>
      <c r="AB25" s="36">
        <f>VLOOKUP($A25,[26]HISTOJUIN25!$A$6:$AU$51,44,0)</f>
        <v>0</v>
      </c>
      <c r="AC25" s="36">
        <f>VLOOKUP($A25,[26]HISTOJUIN25!$A$6:$AU$51,43,0)</f>
        <v>0</v>
      </c>
      <c r="AD25" s="36">
        <f>VLOOKUP($A25,[26]HISTOJUIN25!$A$6:$BR$51,47,0)</f>
        <v>0</v>
      </c>
      <c r="AE25" s="36">
        <f>VLOOKUP(A25,[26]HISTOJUIN25!$A$6:$BR$51,54,0)</f>
        <v>0</v>
      </c>
      <c r="AF25" s="36">
        <f>VLOOKUP($A25,[26]HISTOJUIN25!$A$6:$BR$51,60,0)</f>
        <v>0</v>
      </c>
      <c r="AG25" s="36">
        <f>VLOOKUP($A25,[26]HISTOJUIN25!$A$6:$CB$51,61,0)</f>
        <v>0</v>
      </c>
      <c r="AH25" s="36">
        <f>VLOOKUP($A25,[26]HISTOJUIN25!$A$6:$CB$51,62,0)</f>
        <v>0</v>
      </c>
      <c r="AI25" s="36">
        <f>VLOOKUP($A25,[26]HISTOJUIN25!$A$6:$CB$51,63,0)</f>
        <v>0</v>
      </c>
      <c r="AJ25" s="36">
        <f>VLOOKUP($A25,[26]HISTOJUIN25!$A$6:$BR$51,64,0)</f>
        <v>0</v>
      </c>
      <c r="AK25" s="36">
        <f>VLOOKUP($A25,[26]HISTOJUIN25!$A$6:$BR$51,65,0)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VLOOKUP($A26,[26]HISTOJUIN25!$A$6:$BA$51,48,0)</f>
        <v>0</v>
      </c>
      <c r="F26" s="36">
        <f>VLOOKUP(A26,MVTMAI25!A26:AM61,6,0)+MVTMAI25!H26-E26+L26</f>
        <v>1442793.154792679</v>
      </c>
      <c r="G26" s="5">
        <f>IF(MVTJUIN25!F26&gt;800000,(MVTMAI25!I26-E26+L26),0)</f>
        <v>1442793.154792679</v>
      </c>
      <c r="H26" s="36">
        <f>VLOOKUP(A26,[27]MVTJUIN25!$A$6:$AM$42,8,0)</f>
        <v>4157.2364905427121</v>
      </c>
      <c r="I26" s="6">
        <f t="shared" si="1"/>
        <v>1446950.3912832218</v>
      </c>
      <c r="J26" s="36">
        <f>VLOOKUP($A26,[26]HISTOJUIN25!$A$6:$AQ$51,22,0)</f>
        <v>0</v>
      </c>
      <c r="K26" s="36">
        <f>VLOOKUP($A26,[26]HISTOJUIN25!$A$6:$AU$51,45,0)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VLOOKUP($A26,[26]HISTOJUIN25!$A$6:$AU$51,8,0)</f>
        <v>0</v>
      </c>
      <c r="Q26" s="36">
        <f>VLOOKUP($A26,[26]HISTOJUIN25!$A$6:$AU$51,23,0)</f>
        <v>0</v>
      </c>
      <c r="R26" s="36">
        <f>VLOOKUP($A26,[26]HISTOJUIN25!$A$6:$AU$51,46,0)</f>
        <v>0</v>
      </c>
      <c r="S26" s="36">
        <f>VLOOKUP($A26,[26]HISTOJUIN25!$A$6:$AU$51,26,0)</f>
        <v>0</v>
      </c>
      <c r="T26" s="36">
        <f>VLOOKUP($A26,[26]HISTOJUIN25!$A$6:$BG$51,58,0)</f>
        <v>0</v>
      </c>
      <c r="U26" s="36">
        <f>VLOOKUP($A26,[26]HISTOJUIN25!$A$6:$AU$51,28,0)</f>
        <v>0</v>
      </c>
      <c r="V26" s="36">
        <f>VLOOKUP($A26,[26]HISTOJUIN25!$A$6:$AU$51,19,0)</f>
        <v>0</v>
      </c>
      <c r="W26" s="36">
        <f>VLOOKUP($A26,[26]HISTOJUIN25!$A$6:$AU$51,20,0)</f>
        <v>0</v>
      </c>
      <c r="X26" s="36">
        <f>VLOOKUP($A26,[26]HISTOJUIN25!$A$6:$AU$51,27,0)</f>
        <v>0</v>
      </c>
      <c r="Y26" s="36">
        <f>VLOOKUP($A26,[26]HISTOJUIN25!$A$6:$BM$51,33,0)</f>
        <v>0</v>
      </c>
      <c r="Z26" s="36">
        <f>VLOOKUP($A26,[26]HISTOJUIN25!$A$6:$BM$51,64,0)</f>
        <v>0</v>
      </c>
      <c r="AA26" s="36"/>
      <c r="AB26" s="36">
        <f>VLOOKUP($A26,[26]HISTOJUIN25!$A$6:$AU$51,44,0)</f>
        <v>0</v>
      </c>
      <c r="AC26" s="36">
        <f>VLOOKUP($A26,[26]HISTOJUIN25!$A$6:$AU$51,43,0)</f>
        <v>0</v>
      </c>
      <c r="AD26" s="36">
        <f>VLOOKUP($A26,[26]HISTOJUIN25!$A$6:$BR$51,47,0)</f>
        <v>0</v>
      </c>
      <c r="AE26" s="36">
        <f>VLOOKUP(A26,[26]HISTOJUIN25!$A$6:$BR$51,54,0)</f>
        <v>0</v>
      </c>
      <c r="AF26" s="36">
        <f>VLOOKUP($A26,[26]HISTOJUIN25!$A$6:$BR$51,60,0)</f>
        <v>0</v>
      </c>
      <c r="AG26" s="36">
        <f>VLOOKUP($A26,[26]HISTOJUIN25!$A$6:$CB$51,61,0)</f>
        <v>0</v>
      </c>
      <c r="AH26" s="36">
        <f>VLOOKUP($A26,[26]HISTOJUIN25!$A$6:$CB$51,62,0)</f>
        <v>0</v>
      </c>
      <c r="AI26" s="36">
        <f>VLOOKUP($A26,[26]HISTOJUIN25!$A$6:$CB$51,63,0)</f>
        <v>0</v>
      </c>
      <c r="AJ26" s="36">
        <f>VLOOKUP($A26,[26]HISTOJUIN25!$A$6:$BR$51,64,0)</f>
        <v>0</v>
      </c>
      <c r="AK26" s="36">
        <f>VLOOKUP($A26,[26]HISTOJUIN25!$A$6:$BR$51,65,0)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VLOOKUP($A27,[26]HISTOJUIN25!$A$6:$BA$51,48,0)</f>
        <v>0</v>
      </c>
      <c r="F27" s="36">
        <f>VLOOKUP(A27,MVTMAI25!A27:AM62,6,0)+MVTMAI25!H27-E27+L27</f>
        <v>974755.99987830815</v>
      </c>
      <c r="G27" s="5">
        <f>IF(MVTJUIN25!F27&gt;800000,(MVTMAI25!I27-E27+L27),0)</f>
        <v>974755.99987830815</v>
      </c>
      <c r="H27" s="36">
        <f>VLOOKUP(A27,[27]MVTJUIN25!$A$6:$AM$42,8,0)</f>
        <v>2808.6432199990863</v>
      </c>
      <c r="I27" s="6">
        <f t="shared" si="1"/>
        <v>977564.64309830719</v>
      </c>
      <c r="J27" s="36">
        <f>VLOOKUP($A27,[26]HISTOJUIN25!$A$6:$AQ$51,22,0)</f>
        <v>0</v>
      </c>
      <c r="K27" s="36">
        <f>VLOOKUP($A27,[26]HISTOJUIN25!$A$6:$AU$51,45,0)</f>
        <v>23000</v>
      </c>
      <c r="L27" s="36">
        <f t="shared" si="2"/>
        <v>17000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VLOOKUP($A27,[26]HISTOJUIN25!$A$6:$AU$51,8,0)</f>
        <v>0</v>
      </c>
      <c r="Q27" s="36">
        <f>VLOOKUP($A27,[26]HISTOJUIN25!$A$6:$AU$51,23,0)</f>
        <v>0</v>
      </c>
      <c r="R27" s="36">
        <f>VLOOKUP($A27,[26]HISTOJUIN25!$A$6:$AU$51,46,0)</f>
        <v>0</v>
      </c>
      <c r="S27" s="36">
        <f>VLOOKUP($A27,[26]HISTOJUIN25!$A$6:$AU$51,26,0)</f>
        <v>0</v>
      </c>
      <c r="T27" s="36">
        <f>VLOOKUP($A27,[26]HISTOJUIN25!$A$6:$BG$51,58,0)</f>
        <v>0</v>
      </c>
      <c r="U27" s="36">
        <f>VLOOKUP($A27,[26]HISTOJUIN25!$A$6:$AU$51,28,0)</f>
        <v>0</v>
      </c>
      <c r="V27" s="36">
        <f>VLOOKUP($A27,[26]HISTOJUIN25!$A$6:$AU$51,19,0)</f>
        <v>0</v>
      </c>
      <c r="W27" s="36">
        <f>VLOOKUP($A27,[26]HISTOJUIN25!$A$6:$AU$51,20,0)</f>
        <v>0</v>
      </c>
      <c r="X27" s="36">
        <f>VLOOKUP($A27,[26]HISTOJUIN25!$A$6:$AU$51,27,0)</f>
        <v>0</v>
      </c>
      <c r="Y27" s="36">
        <f>VLOOKUP($A27,[26]HISTOJUIN25!$A$6:$BM$51,33,0)</f>
        <v>0</v>
      </c>
      <c r="Z27" s="36">
        <f>VLOOKUP($A27,[26]HISTOJUIN25!$A$6:$BM$51,64,0)</f>
        <v>0</v>
      </c>
      <c r="AA27" s="36"/>
      <c r="AB27" s="36">
        <f>VLOOKUP($A27,[26]HISTOJUIN25!$A$6:$AU$51,44,0)</f>
        <v>0</v>
      </c>
      <c r="AC27" s="36">
        <f>VLOOKUP($A27,[26]HISTOJUIN25!$A$6:$AU$51,43,0)</f>
        <v>0</v>
      </c>
      <c r="AD27" s="36">
        <f>VLOOKUP($A27,[26]HISTOJUIN25!$A$6:$BR$51,47,0)</f>
        <v>0</v>
      </c>
      <c r="AE27" s="36">
        <f>VLOOKUP(A27,[26]HISTOJUIN25!$A$6:$BR$51,54,0)</f>
        <v>0</v>
      </c>
      <c r="AF27" s="36">
        <f>VLOOKUP($A27,[26]HISTOJUIN25!$A$6:$BR$51,60,0)</f>
        <v>0</v>
      </c>
      <c r="AG27" s="36">
        <f>VLOOKUP($A27,[26]HISTOJUIN25!$A$6:$CB$51,61,0)</f>
        <v>0</v>
      </c>
      <c r="AH27" s="36">
        <f>VLOOKUP($A27,[26]HISTOJUIN25!$A$6:$CB$51,62,0)</f>
        <v>0</v>
      </c>
      <c r="AI27" s="36">
        <f>VLOOKUP($A27,[26]HISTOJUIN25!$A$6:$CB$51,63,0)</f>
        <v>0</v>
      </c>
      <c r="AJ27" s="36">
        <f>VLOOKUP($A27,[26]HISTOJUIN25!$A$6:$BR$51,64,0)</f>
        <v>0</v>
      </c>
      <c r="AK27" s="36">
        <f>VLOOKUP($A27,[26]HISTOJUIN25!$A$6:$BR$51,65,0)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VLOOKUP($A28,[26]HISTOJUIN25!$A$6:$BA$51,48,0)</f>
        <v>0</v>
      </c>
      <c r="F28" s="36">
        <f>VLOOKUP(A28,MVTMAI25!A28:AM63,6,0)+MVTMAI25!H28-E28+L28</f>
        <v>992433.62548817939</v>
      </c>
      <c r="G28" s="5">
        <f>IF(MVTJUIN25!F28&gt;800000,(MVTMAI25!I28-E28+L28),0)</f>
        <v>992433.62548817939</v>
      </c>
      <c r="H28" s="36">
        <f>VLOOKUP(A28,[27]MVTJUIN25!$A$6:$AM$42,8,0)</f>
        <v>2859.5791909713557</v>
      </c>
      <c r="I28" s="6">
        <f t="shared" si="1"/>
        <v>995293.20467915072</v>
      </c>
      <c r="J28" s="36">
        <f>VLOOKUP($A28,[26]HISTOJUIN25!$A$6:$AQ$51,22,0)</f>
        <v>0</v>
      </c>
      <c r="K28" s="36">
        <f>VLOOKUP($A28,[26]HISTOJUIN25!$A$6:$AU$51,45,0)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VLOOKUP($A28,[26]HISTOJUIN25!$A$6:$AU$51,8,0)</f>
        <v>3000</v>
      </c>
      <c r="Q28" s="36">
        <f>VLOOKUP($A28,[26]HISTOJUIN25!$A$6:$AU$51,23,0)</f>
        <v>0</v>
      </c>
      <c r="R28" s="36">
        <f>VLOOKUP($A28,[26]HISTOJUIN25!$A$6:$AU$51,46,0)</f>
        <v>0</v>
      </c>
      <c r="S28" s="36">
        <f>VLOOKUP($A28,[26]HISTOJUIN25!$A$6:$AU$51,26,0)</f>
        <v>1000000</v>
      </c>
      <c r="T28" s="36">
        <f>VLOOKUP($A28,[26]HISTOJUIN25!$A$6:$BG$51,58,0)</f>
        <v>30000</v>
      </c>
      <c r="U28" s="36">
        <f>VLOOKUP($A28,[26]HISTOJUIN25!$A$6:$AU$51,28,0)</f>
        <v>0</v>
      </c>
      <c r="V28" s="36">
        <f>VLOOKUP($A28,[26]HISTOJUIN25!$A$6:$AU$51,19,0)</f>
        <v>1000000</v>
      </c>
      <c r="W28" s="36" t="str">
        <f>VLOOKUP($A28,[26]HISTOJUIN25!$A$6:$AU$51,20,0)</f>
        <v>BANQUE</v>
      </c>
      <c r="X28" s="36" t="str">
        <f>VLOOKUP($A28,[26]HISTOJUIN25!$A$6:$AU$51,27,0)</f>
        <v>BANQUE</v>
      </c>
      <c r="Y28" s="36">
        <f>VLOOKUP($A28,[26]HISTOJUIN25!$A$6:$BM$51,33,0)</f>
        <v>0</v>
      </c>
      <c r="Z28" s="36">
        <f>VLOOKUP($A28,[26]HISTOJUIN25!$A$6:$BM$51,64,0)</f>
        <v>0</v>
      </c>
      <c r="AA28" s="36"/>
      <c r="AB28" s="36">
        <f>VLOOKUP($A28,[26]HISTOJUIN25!$A$6:$AU$51,44,0)</f>
        <v>0</v>
      </c>
      <c r="AC28" s="36">
        <f>VLOOKUP($A28,[26]HISTOJUIN25!$A$6:$AU$51,43,0)</f>
        <v>0</v>
      </c>
      <c r="AD28" s="36">
        <f>VLOOKUP($A28,[26]HISTOJUIN25!$A$6:$BR$51,47,0)</f>
        <v>0</v>
      </c>
      <c r="AE28" s="36">
        <f>VLOOKUP(A28,[26]HISTOJUIN25!$A$6:$BR$51,54,0)</f>
        <v>0</v>
      </c>
      <c r="AF28" s="36">
        <f>VLOOKUP($A28,[26]HISTOJUIN25!$A$6:$BR$51,60,0)</f>
        <v>0</v>
      </c>
      <c r="AG28" s="36">
        <f>VLOOKUP($A28,[26]HISTOJUIN25!$A$6:$CB$51,61,0)</f>
        <v>0</v>
      </c>
      <c r="AH28" s="36">
        <f>VLOOKUP($A28,[26]HISTOJUIN25!$A$6:$CB$51,62,0)</f>
        <v>0</v>
      </c>
      <c r="AI28" s="36">
        <f>VLOOKUP($A28,[26]HISTOJUIN25!$A$6:$CB$51,63,0)</f>
        <v>0</v>
      </c>
      <c r="AJ28" s="36">
        <f>VLOOKUP($A28,[26]HISTOJUIN25!$A$6:$BR$51,64,0)</f>
        <v>0</v>
      </c>
      <c r="AK28" s="36">
        <f>VLOOKUP($A28,[26]HISTOJUIN25!$A$6:$BR$51,65,0)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VLOOKUP($A29,[26]HISTOJUIN25!$A$6:$BA$51,48,0)</f>
        <v>0</v>
      </c>
      <c r="F29" s="36">
        <f>VLOOKUP(A29,MVTMAI25!A29:AM64,6,0)+MVTMAI25!H29-E29+L29</f>
        <v>954610.21840677003</v>
      </c>
      <c r="G29" s="5">
        <f>IF(MVTJUIN25!F29&gt;800000,(MVTMAI25!I29-E29+L29),0)</f>
        <v>954610.21840677003</v>
      </c>
      <c r="H29" s="36">
        <f>VLOOKUP(A29,[27]MVTJUIN25!$A$6:$AM$42,8,0)</f>
        <v>2750.5955521225274</v>
      </c>
      <c r="I29" s="6">
        <f t="shared" si="1"/>
        <v>957360.8139588926</v>
      </c>
      <c r="J29" s="36">
        <f>VLOOKUP($A29,[26]HISTOJUIN25!$A$6:$AQ$51,22,0)</f>
        <v>0</v>
      </c>
      <c r="K29" s="36">
        <f>VLOOKUP($A29,[26]HISTOJUIN25!$A$6:$AU$51,45,0)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VLOOKUP($A29,[26]HISTOJUIN25!$A$6:$AU$51,8,0)</f>
        <v>0</v>
      </c>
      <c r="Q29" s="36">
        <f>VLOOKUP($A29,[26]HISTOJUIN25!$A$6:$AU$51,23,0)</f>
        <v>0</v>
      </c>
      <c r="R29" s="36">
        <f>VLOOKUP($A29,[26]HISTOJUIN25!$A$6:$AU$51,46,0)</f>
        <v>0</v>
      </c>
      <c r="S29" s="36">
        <f>VLOOKUP($A29,[26]HISTOJUIN25!$A$6:$AU$51,26,0)</f>
        <v>0</v>
      </c>
      <c r="T29" s="36">
        <f>VLOOKUP($A29,[26]HISTOJUIN25!$A$6:$BG$51,58,0)</f>
        <v>0</v>
      </c>
      <c r="U29" s="36">
        <f>VLOOKUP($A29,[26]HISTOJUIN25!$A$6:$AU$51,28,0)</f>
        <v>0</v>
      </c>
      <c r="V29" s="36">
        <f>VLOOKUP($A29,[26]HISTOJUIN25!$A$6:$AU$51,19,0)</f>
        <v>0</v>
      </c>
      <c r="W29" s="36">
        <f>VLOOKUP($A29,[26]HISTOJUIN25!$A$6:$AU$51,20,0)</f>
        <v>0</v>
      </c>
      <c r="X29" s="36">
        <f>VLOOKUP($A29,[26]HISTOJUIN25!$A$6:$AU$51,27,0)</f>
        <v>0</v>
      </c>
      <c r="Y29" s="36">
        <f>VLOOKUP($A29,[26]HISTOJUIN25!$A$6:$BM$51,33,0)</f>
        <v>0</v>
      </c>
      <c r="Z29" s="36">
        <f>VLOOKUP($A29,[26]HISTOJUIN25!$A$6:$BM$51,64,0)</f>
        <v>0</v>
      </c>
      <c r="AA29" s="36"/>
      <c r="AB29" s="36">
        <f>VLOOKUP($A29,[26]HISTOJUIN25!$A$6:$AU$51,44,0)</f>
        <v>0</v>
      </c>
      <c r="AC29" s="36">
        <f>VLOOKUP($A29,[26]HISTOJUIN25!$A$6:$AU$51,43,0)</f>
        <v>0</v>
      </c>
      <c r="AD29" s="36">
        <f>VLOOKUP($A29,[26]HISTOJUIN25!$A$6:$BR$51,47,0)</f>
        <v>0</v>
      </c>
      <c r="AE29" s="36">
        <f>VLOOKUP(A29,[26]HISTOJUIN25!$A$6:$BR$51,54,0)</f>
        <v>0</v>
      </c>
      <c r="AF29" s="36">
        <f>VLOOKUP($A29,[26]HISTOJUIN25!$A$6:$BR$51,60,0)</f>
        <v>0</v>
      </c>
      <c r="AG29" s="36">
        <f>VLOOKUP($A29,[26]HISTOJUIN25!$A$6:$CB$51,61,0)</f>
        <v>0</v>
      </c>
      <c r="AH29" s="36">
        <f>VLOOKUP($A29,[26]HISTOJUIN25!$A$6:$CB$51,62,0)</f>
        <v>0</v>
      </c>
      <c r="AI29" s="36">
        <f>VLOOKUP($A29,[26]HISTOJUIN25!$A$6:$CB$51,63,0)</f>
        <v>0</v>
      </c>
      <c r="AJ29" s="36">
        <f>VLOOKUP($A29,[26]HISTOJUIN25!$A$6:$BR$51,64,0)</f>
        <v>0</v>
      </c>
      <c r="AK29" s="36">
        <f>VLOOKUP($A29,[26]HISTOJUIN25!$A$6:$BR$51,65,0)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VLOOKUP($A30,[26]HISTOJUIN25!$A$6:$BA$51,48,0)</f>
        <v>0</v>
      </c>
      <c r="F30" s="36">
        <f>VLOOKUP(A30,MVTMAI25!A30:AM65,6,0)+MVTMAI25!H30-E30+L30</f>
        <v>1116019.0945803211</v>
      </c>
      <c r="G30" s="5">
        <f>IF(MVTJUIN25!F30&gt;800000,(MVTMAI25!I30-E30+L30),0)</f>
        <v>1116019.0945803211</v>
      </c>
      <c r="H30" s="36">
        <f>VLOOKUP(A30,[27]MVTJUIN25!$A$6:$AM$42,8,0)</f>
        <v>3215.6759884256771</v>
      </c>
      <c r="I30" s="6">
        <f t="shared" si="1"/>
        <v>1119234.7705687468</v>
      </c>
      <c r="J30" s="36">
        <f>VLOOKUP($A30,[26]HISTOJUIN25!$A$6:$AQ$51,22,0)</f>
        <v>0</v>
      </c>
      <c r="K30" s="36">
        <f>VLOOKUP($A30,[26]HISTOJUIN25!$A$6:$AU$51,45,0)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VLOOKUP($A30,[26]HISTOJUIN25!$A$6:$AU$51,8,0)</f>
        <v>0</v>
      </c>
      <c r="Q30" s="36">
        <f>VLOOKUP($A30,[26]HISTOJUIN25!$A$6:$AU$51,23,0)</f>
        <v>0</v>
      </c>
      <c r="R30" s="36">
        <f>VLOOKUP($A30,[26]HISTOJUIN25!$A$6:$AU$51,46,0)</f>
        <v>0</v>
      </c>
      <c r="S30" s="36">
        <f>VLOOKUP($A30,[26]HISTOJUIN25!$A$6:$AU$51,26,0)</f>
        <v>0</v>
      </c>
      <c r="T30" s="36">
        <f>VLOOKUP($A30,[26]HISTOJUIN25!$A$6:$BG$51,58,0)</f>
        <v>0</v>
      </c>
      <c r="U30" s="36">
        <f>VLOOKUP($A30,[26]HISTOJUIN25!$A$6:$AU$51,28,0)</f>
        <v>0</v>
      </c>
      <c r="V30" s="36">
        <f>VLOOKUP($A30,[26]HISTOJUIN25!$A$6:$AU$51,19,0)</f>
        <v>0</v>
      </c>
      <c r="W30" s="36">
        <f>VLOOKUP($A30,[26]HISTOJUIN25!$A$6:$AU$51,20,0)</f>
        <v>0</v>
      </c>
      <c r="X30" s="36">
        <f>VLOOKUP($A30,[26]HISTOJUIN25!$A$6:$AU$51,27,0)</f>
        <v>0</v>
      </c>
      <c r="Y30" s="36">
        <f>VLOOKUP($A30,[26]HISTOJUIN25!$A$6:$BM$51,33,0)</f>
        <v>0</v>
      </c>
      <c r="Z30" s="36">
        <f>VLOOKUP($A30,[26]HISTOJUIN25!$A$6:$BM$51,64,0)</f>
        <v>0</v>
      </c>
      <c r="AA30" s="36"/>
      <c r="AB30" s="36">
        <f>VLOOKUP($A30,[26]HISTOJUIN25!$A$6:$AU$51,44,0)</f>
        <v>0</v>
      </c>
      <c r="AC30" s="36">
        <f>VLOOKUP($A30,[26]HISTOJUIN25!$A$6:$AU$51,43,0)</f>
        <v>0</v>
      </c>
      <c r="AD30" s="36">
        <f>VLOOKUP($A30,[26]HISTOJUIN25!$A$6:$BR$51,47,0)</f>
        <v>0</v>
      </c>
      <c r="AE30" s="36">
        <f>VLOOKUP(A30,[26]HISTOJUIN25!$A$6:$BR$51,54,0)</f>
        <v>0</v>
      </c>
      <c r="AF30" s="36">
        <f>VLOOKUP($A30,[26]HISTOJUIN25!$A$6:$BR$51,60,0)</f>
        <v>0</v>
      </c>
      <c r="AG30" s="36">
        <f>VLOOKUP($A30,[26]HISTOJUIN25!$A$6:$CB$51,61,0)</f>
        <v>0</v>
      </c>
      <c r="AH30" s="36">
        <f>VLOOKUP($A30,[26]HISTOJUIN25!$A$6:$CB$51,62,0)</f>
        <v>0</v>
      </c>
      <c r="AI30" s="36">
        <f>VLOOKUP($A30,[26]HISTOJUIN25!$A$6:$CB$51,63,0)</f>
        <v>0</v>
      </c>
      <c r="AJ30" s="36">
        <f>VLOOKUP($A30,[26]HISTOJUIN25!$A$6:$BR$51,64,0)</f>
        <v>0</v>
      </c>
      <c r="AK30" s="36">
        <f>VLOOKUP($A30,[26]HISTOJUIN25!$A$6:$BR$51,65,0)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VLOOKUP($A31,[26]HISTOJUIN25!$A$6:$BA$51,48,0)</f>
        <v>0</v>
      </c>
      <c r="F31" s="36">
        <f>VLOOKUP(A31,MVTMAI25!A31:AM66,6,0)+MVTMAI25!H31-E31+L31</f>
        <v>962312.74894595868</v>
      </c>
      <c r="G31" s="5">
        <f>IF(MVTJUIN25!F31&gt;800000,(MVTMAI25!I31-E31+L31),0)</f>
        <v>962312.74894595868</v>
      </c>
      <c r="H31" s="36">
        <f>VLOOKUP(A31,[27]MVTJUIN25!$A$6:$AM$42,8,0)</f>
        <v>2772.7894757079466</v>
      </c>
      <c r="I31" s="6">
        <f t="shared" si="1"/>
        <v>965085.5384216666</v>
      </c>
      <c r="J31" s="36">
        <f>VLOOKUP($A31,[26]HISTOJUIN25!$A$6:$AQ$51,22,0)</f>
        <v>0</v>
      </c>
      <c r="K31" s="36">
        <f>VLOOKUP($A31,[26]HISTOJUIN25!$A$6:$AU$51,45,0)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VLOOKUP($A31,[26]HISTOJUIN25!$A$6:$AU$51,8,0)</f>
        <v>0</v>
      </c>
      <c r="Q31" s="36">
        <f>VLOOKUP($A31,[26]HISTOJUIN25!$A$6:$AU$51,23,0)</f>
        <v>0</v>
      </c>
      <c r="R31" s="36">
        <f>VLOOKUP($A31,[26]HISTOJUIN25!$A$6:$AU$51,46,0)</f>
        <v>0</v>
      </c>
      <c r="S31" s="36">
        <f>VLOOKUP($A31,[26]HISTOJUIN25!$A$6:$AU$51,26,0)</f>
        <v>0</v>
      </c>
      <c r="T31" s="36">
        <f>VLOOKUP($A31,[26]HISTOJUIN25!$A$6:$BG$51,58,0)</f>
        <v>0</v>
      </c>
      <c r="U31" s="36">
        <f>VLOOKUP($A31,[26]HISTOJUIN25!$A$6:$AU$51,28,0)</f>
        <v>0</v>
      </c>
      <c r="V31" s="36">
        <f>VLOOKUP($A31,[26]HISTOJUIN25!$A$6:$AU$51,19,0)</f>
        <v>0</v>
      </c>
      <c r="W31" s="36">
        <f>VLOOKUP($A31,[26]HISTOJUIN25!$A$6:$AU$51,20,0)</f>
        <v>0</v>
      </c>
      <c r="X31" s="36">
        <f>VLOOKUP($A31,[26]HISTOJUIN25!$A$6:$AU$51,27,0)</f>
        <v>0</v>
      </c>
      <c r="Y31" s="36">
        <f>VLOOKUP($A31,[26]HISTOJUIN25!$A$6:$BM$51,33,0)</f>
        <v>0</v>
      </c>
      <c r="Z31" s="36">
        <f>VLOOKUP($A31,[26]HISTOJUIN25!$A$6:$BM$51,64,0)</f>
        <v>0</v>
      </c>
      <c r="AA31" s="36"/>
      <c r="AB31" s="36">
        <f>VLOOKUP($A31,[26]HISTOJUIN25!$A$6:$AU$51,44,0)</f>
        <v>0</v>
      </c>
      <c r="AC31" s="36">
        <f>VLOOKUP($A31,[26]HISTOJUIN25!$A$6:$AU$51,43,0)</f>
        <v>0</v>
      </c>
      <c r="AD31" s="36">
        <f>VLOOKUP($A31,[26]HISTOJUIN25!$A$6:$BR$51,47,0)</f>
        <v>0</v>
      </c>
      <c r="AE31" s="36">
        <f>VLOOKUP(A31,[26]HISTOJUIN25!$A$6:$BR$51,54,0)</f>
        <v>0</v>
      </c>
      <c r="AF31" s="36">
        <f>VLOOKUP($A31,[26]HISTOJUIN25!$A$6:$BR$51,60,0)</f>
        <v>0</v>
      </c>
      <c r="AG31" s="36">
        <f>VLOOKUP($A31,[26]HISTOJUIN25!$A$6:$CB$51,61,0)</f>
        <v>0</v>
      </c>
      <c r="AH31" s="36">
        <f>VLOOKUP($A31,[26]HISTOJUIN25!$A$6:$CB$51,62,0)</f>
        <v>0</v>
      </c>
      <c r="AI31" s="36">
        <f>VLOOKUP($A31,[26]HISTOJUIN25!$A$6:$CB$51,63,0)</f>
        <v>0</v>
      </c>
      <c r="AJ31" s="36">
        <f>VLOOKUP($A31,[26]HISTOJUIN25!$A$6:$BR$51,64,0)</f>
        <v>0</v>
      </c>
      <c r="AK31" s="36">
        <f>VLOOKUP($A31,[26]HISTOJUIN25!$A$6:$BR$51,65,0)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VLOOKUP($A32,[26]HISTOJUIN25!$A$6:$BA$51,48,0)</f>
        <v>0</v>
      </c>
      <c r="F32" s="36">
        <f>VLOOKUP(A32,MVTMAI25!A32:AM67,6,0)+MVTMAI25!H32-E32+L32</f>
        <v>1057852.2265319447</v>
      </c>
      <c r="G32" s="5">
        <f>IF(MVTJUIN25!F32&gt;800000,(MVTMAI25!I32-E32+L32),0)</f>
        <v>1057852.2265319447</v>
      </c>
      <c r="H32" s="36">
        <f>VLOOKUP(A32,[27]MVTJUIN25!$A$6:$AM$42,8,0)</f>
        <v>3048.0750917981627</v>
      </c>
      <c r="I32" s="6">
        <f t="shared" si="1"/>
        <v>1060900.3016237428</v>
      </c>
      <c r="J32" s="36">
        <f>VLOOKUP($A32,[26]HISTOJUIN25!$A$6:$AQ$51,22,0)</f>
        <v>0</v>
      </c>
      <c r="K32" s="36">
        <f>VLOOKUP($A32,[26]HISTOJUIN25!$A$6:$AU$51,45,0)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VLOOKUP($A32,[26]HISTOJUIN25!$A$6:$AU$51,8,0)</f>
        <v>0</v>
      </c>
      <c r="Q32" s="36">
        <f>VLOOKUP($A32,[26]HISTOJUIN25!$A$6:$AU$51,23,0)</f>
        <v>0</v>
      </c>
      <c r="R32" s="36">
        <f>VLOOKUP($A32,[26]HISTOJUIN25!$A$6:$AU$51,46,0)</f>
        <v>0</v>
      </c>
      <c r="S32" s="36">
        <f>VLOOKUP($A32,[26]HISTOJUIN25!$A$6:$AU$51,26,0)</f>
        <v>1000000</v>
      </c>
      <c r="T32" s="36">
        <f>VLOOKUP($A32,[26]HISTOJUIN25!$A$6:$BG$51,58,0)</f>
        <v>30000</v>
      </c>
      <c r="U32" s="36">
        <f>VLOOKUP($A32,[26]HISTOJUIN25!$A$6:$AU$51,28,0)</f>
        <v>0</v>
      </c>
      <c r="V32" s="36">
        <f>VLOOKUP($A32,[26]HISTOJUIN25!$A$6:$AU$51,19,0)</f>
        <v>1000000</v>
      </c>
      <c r="W32" s="36" t="str">
        <f>VLOOKUP($A32,[26]HISTOJUIN25!$A$6:$AU$51,20,0)</f>
        <v>BANQUE</v>
      </c>
      <c r="X32" s="36" t="str">
        <f>VLOOKUP($A32,[26]HISTOJUIN25!$A$6:$AU$51,27,0)</f>
        <v>BANQUE</v>
      </c>
      <c r="Y32" s="36">
        <f>VLOOKUP($A32,[26]HISTOJUIN25!$A$6:$BM$51,33,0)</f>
        <v>0</v>
      </c>
      <c r="Z32" s="36">
        <f>VLOOKUP($A32,[26]HISTOJUIN25!$A$6:$BM$51,64,0)</f>
        <v>0</v>
      </c>
      <c r="AA32" s="36"/>
      <c r="AB32" s="36">
        <f>VLOOKUP($A32,[26]HISTOJUIN25!$A$6:$AU$51,44,0)</f>
        <v>0</v>
      </c>
      <c r="AC32" s="36">
        <f>VLOOKUP($A32,[26]HISTOJUIN25!$A$6:$AU$51,43,0)</f>
        <v>0</v>
      </c>
      <c r="AD32" s="36">
        <f>VLOOKUP($A32,[26]HISTOJUIN25!$A$6:$BR$51,47,0)</f>
        <v>0</v>
      </c>
      <c r="AE32" s="36">
        <f>VLOOKUP(A32,[26]HISTOJUIN25!$A$6:$BR$51,54,0)</f>
        <v>0</v>
      </c>
      <c r="AF32" s="36">
        <f>VLOOKUP($A32,[26]HISTOJUIN25!$A$6:$BR$51,60,0)</f>
        <v>0</v>
      </c>
      <c r="AG32" s="36">
        <f>VLOOKUP($A32,[26]HISTOJUIN25!$A$6:$CB$51,61,0)</f>
        <v>0</v>
      </c>
      <c r="AH32" s="36">
        <f>VLOOKUP($A32,[26]HISTOJUIN25!$A$6:$CB$51,62,0)</f>
        <v>0</v>
      </c>
      <c r="AI32" s="36">
        <f>VLOOKUP($A32,[26]HISTOJUIN25!$A$6:$CB$51,63,0)</f>
        <v>0</v>
      </c>
      <c r="AJ32" s="36">
        <f>VLOOKUP($A32,[26]HISTOJUIN25!$A$6:$BR$51,64,0)</f>
        <v>0</v>
      </c>
      <c r="AK32" s="36">
        <f>VLOOKUP($A32,[26]HISTOJUIN25!$A$6:$BR$51,65,0)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VLOOKUP($A33,[26]HISTOJUIN25!$A$6:$BA$51,48,0)</f>
        <v>0</v>
      </c>
      <c r="F33" s="36">
        <f>VLOOKUP(A33,MVTMAI25!A33:AM68,6,0)+MVTMAI25!H33-E33+L33</f>
        <v>108000</v>
      </c>
      <c r="G33" s="5">
        <f>IF(MVTJUIN25!F33&gt;800000,(MVTMAI25!I33-E33+L33),0)</f>
        <v>0</v>
      </c>
      <c r="H33" s="36">
        <f>VLOOKUP(A33,[27]MVTJUIN25!$A$6:$AM$42,8,0)</f>
        <v>0</v>
      </c>
      <c r="I33" s="6">
        <f t="shared" si="1"/>
        <v>108000</v>
      </c>
      <c r="J33" s="36">
        <f>VLOOKUP($A33,[26]HISTOJUIN25!$A$6:$AQ$51,22,0)</f>
        <v>0</v>
      </c>
      <c r="K33" s="36">
        <f>VLOOKUP($A33,[26]HISTOJUIN25!$A$6:$AU$51,45,0)</f>
        <v>22000</v>
      </c>
      <c r="L33" s="36">
        <f t="shared" si="2"/>
        <v>16000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VLOOKUP($A33,[26]HISTOJUIN25!$A$6:$AU$51,8,0)</f>
        <v>3000</v>
      </c>
      <c r="Q33" s="36">
        <f>VLOOKUP($A33,[26]HISTOJUIN25!$A$6:$AU$51,23,0)</f>
        <v>0</v>
      </c>
      <c r="R33" s="36">
        <f>VLOOKUP($A33,[26]HISTOJUIN25!$A$6:$AU$51,46,0)</f>
        <v>0</v>
      </c>
      <c r="S33" s="36">
        <f>VLOOKUP($A33,[26]HISTOJUIN25!$A$6:$AU$51,26,0)</f>
        <v>0</v>
      </c>
      <c r="T33" s="36">
        <f>VLOOKUP($A33,[26]HISTOJUIN25!$A$6:$BG$51,58,0)</f>
        <v>0</v>
      </c>
      <c r="U33" s="36">
        <f>VLOOKUP($A33,[26]HISTOJUIN25!$A$6:$AU$51,28,0)</f>
        <v>0</v>
      </c>
      <c r="V33" s="36">
        <f>VLOOKUP($A33,[26]HISTOJUIN25!$A$6:$AU$51,19,0)</f>
        <v>0</v>
      </c>
      <c r="W33" s="36">
        <f>VLOOKUP($A33,[26]HISTOJUIN25!$A$6:$AU$51,20,0)</f>
        <v>0</v>
      </c>
      <c r="X33" s="36">
        <f>VLOOKUP($A33,[26]HISTOJUIN25!$A$6:$AU$51,27,0)</f>
        <v>0</v>
      </c>
      <c r="Y33" s="36">
        <f>VLOOKUP($A33,[26]HISTOJUIN25!$A$6:$BM$51,33,0)</f>
        <v>0</v>
      </c>
      <c r="Z33" s="36">
        <f>VLOOKUP($A33,[26]HISTOJUIN25!$A$6:$BM$51,64,0)</f>
        <v>0</v>
      </c>
      <c r="AA33" s="36"/>
      <c r="AB33" s="36">
        <f>VLOOKUP($A33,[26]HISTOJUIN25!$A$6:$AU$51,44,0)</f>
        <v>0</v>
      </c>
      <c r="AC33" s="36">
        <f>VLOOKUP($A33,[26]HISTOJUIN25!$A$6:$AU$51,43,0)</f>
        <v>0</v>
      </c>
      <c r="AD33" s="36">
        <f>VLOOKUP($A33,[26]HISTOJUIN25!$A$6:$BR$51,47,0)</f>
        <v>0</v>
      </c>
      <c r="AE33" s="36">
        <f>VLOOKUP(A33,[26]HISTOJUIN25!$A$6:$BR$51,54,0)</f>
        <v>0</v>
      </c>
      <c r="AF33" s="36">
        <f>VLOOKUP($A33,[26]HISTOJUIN25!$A$6:$BR$51,60,0)</f>
        <v>0</v>
      </c>
      <c r="AG33" s="36">
        <f>VLOOKUP($A33,[26]HISTOJUIN25!$A$6:$CB$51,61,0)</f>
        <v>0</v>
      </c>
      <c r="AH33" s="36">
        <f>VLOOKUP($A33,[26]HISTOJUIN25!$A$6:$CB$51,62,0)</f>
        <v>0</v>
      </c>
      <c r="AI33" s="36">
        <f>VLOOKUP($A33,[26]HISTOJUIN25!$A$6:$CB$51,63,0)</f>
        <v>0</v>
      </c>
      <c r="AJ33" s="36">
        <f>VLOOKUP($A33,[26]HISTOJUIN25!$A$6:$BR$51,64,0)</f>
        <v>0</v>
      </c>
      <c r="AK33" s="36">
        <f>VLOOKUP($A33,[26]HISTOJUIN25!$A$6:$BR$51,65,0)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VLOOKUP($A34,[26]HISTOJUIN25!$A$6:$BA$51,48,0)</f>
        <v>0</v>
      </c>
      <c r="F34" s="36">
        <f>VLOOKUP(A34,MVTMAI25!A34:AM69,6,0)+MVTMAI25!H34-E34+L34</f>
        <v>1023587.8813039019</v>
      </c>
      <c r="G34" s="5">
        <f>IF(MVTJUIN25!F34&gt;800000,(MVTMAI25!I34-E34+L34),0)</f>
        <v>1023587.8813039019</v>
      </c>
      <c r="H34" s="36">
        <f>VLOOKUP(A34,[27]MVTJUIN25!$A$6:$AM$42,8,0)</f>
        <v>2949.3464654296508</v>
      </c>
      <c r="I34" s="6">
        <f t="shared" si="1"/>
        <v>1026537.2277693315</v>
      </c>
      <c r="J34" s="36">
        <f>VLOOKUP($A34,[26]HISTOJUIN25!$A$6:$AQ$51,22,0)</f>
        <v>0</v>
      </c>
      <c r="K34" s="36">
        <f>VLOOKUP($A34,[26]HISTOJUIN25!$A$6:$AU$51,45,0)</f>
        <v>25500</v>
      </c>
      <c r="L34" s="36">
        <f t="shared" si="2"/>
        <v>19500</v>
      </c>
      <c r="M34" s="36">
        <f t="shared" si="3"/>
        <v>1000</v>
      </c>
      <c r="N34" s="36">
        <f t="shared" si="0"/>
        <v>1000</v>
      </c>
      <c r="O34" s="36">
        <f t="shared" si="4"/>
        <v>4000</v>
      </c>
      <c r="P34" s="36">
        <f>VLOOKUP($A34,[26]HISTOJUIN25!$A$6:$AU$51,8,0)</f>
        <v>0</v>
      </c>
      <c r="Q34" s="36">
        <f>VLOOKUP($A34,[26]HISTOJUIN25!$A$6:$AU$51,23,0)</f>
        <v>0</v>
      </c>
      <c r="R34" s="36">
        <f>VLOOKUP($A34,[26]HISTOJUIN25!$A$6:$AU$51,46,0)</f>
        <v>0</v>
      </c>
      <c r="S34" s="36">
        <f>VLOOKUP($A34,[26]HISTOJUIN25!$A$6:$AU$51,26,0)</f>
        <v>0</v>
      </c>
      <c r="T34" s="36">
        <f>VLOOKUP($A34,[26]HISTOJUIN25!$A$6:$BG$51,58,0)</f>
        <v>0</v>
      </c>
      <c r="U34" s="36">
        <f>VLOOKUP($A34,[26]HISTOJUIN25!$A$6:$AU$51,28,0)</f>
        <v>0</v>
      </c>
      <c r="V34" s="36">
        <f>VLOOKUP($A34,[26]HISTOJUIN25!$A$6:$AU$51,19,0)</f>
        <v>0</v>
      </c>
      <c r="W34" s="36">
        <f>VLOOKUP($A34,[26]HISTOJUIN25!$A$6:$AU$51,20,0)</f>
        <v>0</v>
      </c>
      <c r="X34" s="36">
        <f>VLOOKUP($A34,[26]HISTOJUIN25!$A$6:$AU$51,27,0)</f>
        <v>0</v>
      </c>
      <c r="Y34" s="36">
        <f>VLOOKUP($A34,[26]HISTOJUIN25!$A$6:$BM$51,33,0)</f>
        <v>0</v>
      </c>
      <c r="Z34" s="36">
        <f>VLOOKUP($A34,[26]HISTOJUIN25!$A$6:$BM$51,64,0)</f>
        <v>0</v>
      </c>
      <c r="AA34" s="36"/>
      <c r="AB34" s="36">
        <f>VLOOKUP($A34,[26]HISTOJUIN25!$A$6:$AU$51,44,0)</f>
        <v>0</v>
      </c>
      <c r="AC34" s="36">
        <f>VLOOKUP($A34,[26]HISTOJUIN25!$A$6:$AU$51,43,0)</f>
        <v>0</v>
      </c>
      <c r="AD34" s="36">
        <f>VLOOKUP($A34,[26]HISTOJUIN25!$A$6:$BR$51,47,0)</f>
        <v>0</v>
      </c>
      <c r="AE34" s="36">
        <f>VLOOKUP(A34,[26]HISTOJUIN25!$A$6:$BR$51,54,0)</f>
        <v>0</v>
      </c>
      <c r="AF34" s="36">
        <f>VLOOKUP($A34,[26]HISTOJUIN25!$A$6:$BR$51,60,0)</f>
        <v>0</v>
      </c>
      <c r="AG34" s="36">
        <f>VLOOKUP($A34,[26]HISTOJUIN25!$A$6:$CB$51,61,0)</f>
        <v>0</v>
      </c>
      <c r="AH34" s="36">
        <f>VLOOKUP($A34,[26]HISTOJUIN25!$A$6:$CB$51,62,0)</f>
        <v>0</v>
      </c>
      <c r="AI34" s="36">
        <f>VLOOKUP($A34,[26]HISTOJUIN25!$A$6:$CB$51,63,0)</f>
        <v>0</v>
      </c>
      <c r="AJ34" s="36">
        <f>VLOOKUP($A34,[26]HISTOJUIN25!$A$6:$BR$51,64,0)</f>
        <v>0</v>
      </c>
      <c r="AK34" s="36">
        <f>VLOOKUP($A34,[26]HISTOJUIN25!$A$6:$BR$51,65,0)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VLOOKUP($A35,[26]HISTOJUIN25!$A$6:$BA$51,48,0)</f>
        <v>0</v>
      </c>
      <c r="F35" s="36">
        <f>VLOOKUP(A35,MVTMAI25!A35:AM70,6,0)+MVTMAI25!H35-E35+L35</f>
        <v>979501.3394432544</v>
      </c>
      <c r="G35" s="5">
        <f>IF(MVTJUIN25!F35&gt;800000,(MVTMAI25!I35-E35+L35),0)</f>
        <v>979501.3394432544</v>
      </c>
      <c r="H35" s="36">
        <f>VLOOKUP(A35,[27]MVTJUIN25!$A$6:$AM$42,8,0)</f>
        <v>2822.3163502976877</v>
      </c>
      <c r="I35" s="6">
        <f t="shared" si="1"/>
        <v>982323.65579355205</v>
      </c>
      <c r="J35" s="36">
        <f>VLOOKUP($A35,[26]HISTOJUIN25!$A$6:$AQ$51,22,0)</f>
        <v>0</v>
      </c>
      <c r="K35" s="36">
        <f>VLOOKUP($A35,[26]HISTOJUIN25!$A$6:$AU$51,45,0)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VLOOKUP($A35,[26]HISTOJUIN25!$A$6:$AU$51,8,0)</f>
        <v>0</v>
      </c>
      <c r="Q35" s="36">
        <f>VLOOKUP($A35,[26]HISTOJUIN25!$A$6:$AU$51,23,0)</f>
        <v>0</v>
      </c>
      <c r="R35" s="36">
        <f>VLOOKUP($A35,[26]HISTOJUIN25!$A$6:$AU$51,46,0)</f>
        <v>0</v>
      </c>
      <c r="S35" s="36">
        <f>VLOOKUP($A35,[26]HISTOJUIN25!$A$6:$AU$51,26,0)</f>
        <v>0</v>
      </c>
      <c r="T35" s="36">
        <f>VLOOKUP($A35,[26]HISTOJUIN25!$A$6:$BG$51,58,0)</f>
        <v>0</v>
      </c>
      <c r="U35" s="36">
        <f>VLOOKUP($A35,[26]HISTOJUIN25!$A$6:$AU$51,28,0)</f>
        <v>0</v>
      </c>
      <c r="V35" s="36">
        <f>VLOOKUP($A35,[26]HISTOJUIN25!$A$6:$AU$51,19,0)</f>
        <v>0</v>
      </c>
      <c r="W35" s="36">
        <f>VLOOKUP($A35,[26]HISTOJUIN25!$A$6:$AU$51,20,0)</f>
        <v>0</v>
      </c>
      <c r="X35" s="36">
        <f>VLOOKUP($A35,[26]HISTOJUIN25!$A$6:$AU$51,27,0)</f>
        <v>0</v>
      </c>
      <c r="Y35" s="36">
        <f>VLOOKUP($A35,[26]HISTOJUIN25!$A$6:$BM$51,33,0)</f>
        <v>0</v>
      </c>
      <c r="Z35" s="36">
        <f>VLOOKUP($A35,[26]HISTOJUIN25!$A$6:$BM$51,64,0)</f>
        <v>0</v>
      </c>
      <c r="AA35" s="36"/>
      <c r="AB35" s="36">
        <f>VLOOKUP($A35,[26]HISTOJUIN25!$A$6:$AU$51,44,0)</f>
        <v>0</v>
      </c>
      <c r="AC35" s="36">
        <f>VLOOKUP($A35,[26]HISTOJUIN25!$A$6:$AU$51,43,0)</f>
        <v>0</v>
      </c>
      <c r="AD35" s="36">
        <f>VLOOKUP($A35,[26]HISTOJUIN25!$A$6:$BR$51,47,0)</f>
        <v>0</v>
      </c>
      <c r="AE35" s="36">
        <f>VLOOKUP(A35,[26]HISTOJUIN25!$A$6:$BR$51,54,0)</f>
        <v>0</v>
      </c>
      <c r="AF35" s="36">
        <f>VLOOKUP($A35,[26]HISTOJUIN25!$A$6:$BR$51,60,0)</f>
        <v>0</v>
      </c>
      <c r="AG35" s="36">
        <f>VLOOKUP($A35,[26]HISTOJUIN25!$A$6:$CB$51,61,0)</f>
        <v>0</v>
      </c>
      <c r="AH35" s="36">
        <f>VLOOKUP($A35,[26]HISTOJUIN25!$A$6:$CB$51,62,0)</f>
        <v>0</v>
      </c>
      <c r="AI35" s="36">
        <f>VLOOKUP($A35,[26]HISTOJUIN25!$A$6:$CB$51,63,0)</f>
        <v>0</v>
      </c>
      <c r="AJ35" s="36">
        <f>VLOOKUP($A35,[26]HISTOJUIN25!$A$6:$BR$51,64,0)</f>
        <v>0</v>
      </c>
      <c r="AK35" s="36">
        <f>VLOOKUP($A35,[26]HISTOJUIN25!$A$6:$BR$51,65,0)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VLOOKUP($A36,[26]HISTOJUIN25!$A$6:$BA$51,48,0)</f>
        <v>0</v>
      </c>
      <c r="F36" s="36">
        <f>VLOOKUP(A36,MVTMAI25!A36:AM71,6,0)+MVTMAI25!H36-E36+L36</f>
        <v>969375.01065586659</v>
      </c>
      <c r="G36" s="5">
        <f>IF(MVTJUIN25!F36&gt;800000,(MVTMAI25!I36-E36+L36),0)</f>
        <v>969375.01065586659</v>
      </c>
      <c r="H36" s="36">
        <f>VLOOKUP(A36,[27]MVTJUIN25!$A$6:$AM$42,8,0)</f>
        <v>2793.1385409836348</v>
      </c>
      <c r="I36" s="6">
        <f t="shared" si="1"/>
        <v>972168.14919685025</v>
      </c>
      <c r="J36" s="36">
        <f>VLOOKUP($A36,[26]HISTOJUIN25!$A$6:$AQ$51,22,0)</f>
        <v>0</v>
      </c>
      <c r="K36" s="36">
        <f>VLOOKUP($A36,[26]HISTOJUIN25!$A$6:$AU$51,45,0)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VLOOKUP($A36,[26]HISTOJUIN25!$A$6:$AU$51,8,0)</f>
        <v>0</v>
      </c>
      <c r="Q36" s="36">
        <f>VLOOKUP($A36,[26]HISTOJUIN25!$A$6:$AU$51,23,0)</f>
        <v>0</v>
      </c>
      <c r="R36" s="36">
        <f>VLOOKUP($A36,[26]HISTOJUIN25!$A$6:$AU$51,46,0)</f>
        <v>0</v>
      </c>
      <c r="S36" s="36">
        <f>VLOOKUP($A36,[26]HISTOJUIN25!$A$6:$AU$51,26,0)</f>
        <v>0</v>
      </c>
      <c r="T36" s="36">
        <f>VLOOKUP($A36,[26]HISTOJUIN25!$A$6:$BG$51,58,0)</f>
        <v>0</v>
      </c>
      <c r="U36" s="36">
        <f>VLOOKUP($A36,[26]HISTOJUIN25!$A$6:$AU$51,28,0)</f>
        <v>0</v>
      </c>
      <c r="V36" s="36">
        <f>VLOOKUP($A36,[26]HISTOJUIN25!$A$6:$AU$51,19,0)</f>
        <v>0</v>
      </c>
      <c r="W36" s="36">
        <f>VLOOKUP($A36,[26]HISTOJUIN25!$A$6:$AU$51,20,0)</f>
        <v>0</v>
      </c>
      <c r="X36" s="36">
        <f>VLOOKUP($A36,[26]HISTOJUIN25!$A$6:$AU$51,27,0)</f>
        <v>0</v>
      </c>
      <c r="Y36" s="36">
        <f>VLOOKUP($A36,[26]HISTOJUIN25!$A$6:$BM$51,33,0)</f>
        <v>0</v>
      </c>
      <c r="Z36" s="36">
        <f>VLOOKUP($A36,[26]HISTOJUIN25!$A$6:$BM$51,64,0)</f>
        <v>0</v>
      </c>
      <c r="AA36" s="36"/>
      <c r="AB36" s="36">
        <f>VLOOKUP($A36,[26]HISTOJUIN25!$A$6:$AU$51,44,0)</f>
        <v>0</v>
      </c>
      <c r="AC36" s="36">
        <f>VLOOKUP($A36,[26]HISTOJUIN25!$A$6:$AU$51,43,0)</f>
        <v>0</v>
      </c>
      <c r="AD36" s="36">
        <f>VLOOKUP($A36,[26]HISTOJUIN25!$A$6:$BR$51,47,0)</f>
        <v>0</v>
      </c>
      <c r="AE36" s="36">
        <f>VLOOKUP(A36,[26]HISTOJUIN25!$A$6:$BR$51,54,0)</f>
        <v>0</v>
      </c>
      <c r="AF36" s="36">
        <f>VLOOKUP($A36,[26]HISTOJUIN25!$A$6:$BR$51,60,0)</f>
        <v>0</v>
      </c>
      <c r="AG36" s="36">
        <f>VLOOKUP($A36,[26]HISTOJUIN25!$A$6:$CB$51,61,0)</f>
        <v>0</v>
      </c>
      <c r="AH36" s="36">
        <f>VLOOKUP($A36,[26]HISTOJUIN25!$A$6:$CB$51,62,0)</f>
        <v>0</v>
      </c>
      <c r="AI36" s="36">
        <f>VLOOKUP($A36,[26]HISTOJUIN25!$A$6:$CB$51,63,0)</f>
        <v>0</v>
      </c>
      <c r="AJ36" s="36">
        <f>VLOOKUP($A36,[26]HISTOJUIN25!$A$6:$BR$51,64,0)</f>
        <v>0</v>
      </c>
      <c r="AK36" s="36">
        <f>VLOOKUP($A36,[26]HISTOJUIN25!$A$6:$BR$51,65,0)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VLOOKUP($A37,[26]HISTOJUIN25!$A$6:$BA$51,48,0)</f>
        <v>0</v>
      </c>
      <c r="F37" s="36">
        <f>VLOOKUP(A37,MVTMAI25!A37:AM72,6,0)+MVTMAI25!H37-E37+L37</f>
        <v>598750</v>
      </c>
      <c r="G37" s="5">
        <f>IF(MVTJUIN25!F37&gt;800000,(MVTMAI25!I37-E37+L37),0)</f>
        <v>0</v>
      </c>
      <c r="H37" s="36">
        <f>VLOOKUP(A37,[27]MVTJUIN25!$A$6:$AM$42,8,0)</f>
        <v>0</v>
      </c>
      <c r="I37" s="6">
        <f t="shared" si="1"/>
        <v>598750</v>
      </c>
      <c r="J37" s="36">
        <f>VLOOKUP($A37,[26]HISTOJUIN25!$A$6:$AQ$51,22,0)</f>
        <v>0</v>
      </c>
      <c r="K37" s="36">
        <f>VLOOKUP($A37,[26]HISTOJUIN25!$A$6:$AU$51,45,0)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VLOOKUP($A37,[26]HISTOJUIN25!$A$6:$AU$51,8,0)</f>
        <v>0</v>
      </c>
      <c r="Q37" s="36">
        <f>VLOOKUP($A37,[26]HISTOJUIN25!$A$6:$AU$51,23,0)</f>
        <v>0</v>
      </c>
      <c r="R37" s="36">
        <f>VLOOKUP($A37,[26]HISTOJUIN25!$A$6:$AU$51,46,0)</f>
        <v>0</v>
      </c>
      <c r="S37" s="36">
        <f>VLOOKUP($A37,[26]HISTOJUIN25!$A$6:$AU$51,26,0)</f>
        <v>0</v>
      </c>
      <c r="T37" s="36">
        <f>VLOOKUP($A37,[26]HISTOJUIN25!$A$6:$BG$51,58,0)</f>
        <v>0</v>
      </c>
      <c r="U37" s="36">
        <f>VLOOKUP($A37,[26]HISTOJUIN25!$A$6:$AU$51,28,0)</f>
        <v>0</v>
      </c>
      <c r="V37" s="36">
        <f>VLOOKUP($A37,[26]HISTOJUIN25!$A$6:$AU$51,19,0)</f>
        <v>0</v>
      </c>
      <c r="W37" s="36">
        <f>VLOOKUP($A37,[26]HISTOJUIN25!$A$6:$AU$51,20,0)</f>
        <v>0</v>
      </c>
      <c r="X37" s="36">
        <f>VLOOKUP($A37,[26]HISTOJUIN25!$A$6:$AU$51,27,0)</f>
        <v>0</v>
      </c>
      <c r="Y37" s="36">
        <f>VLOOKUP($A37,[26]HISTOJUIN25!$A$6:$BM$51,33,0)</f>
        <v>0</v>
      </c>
      <c r="Z37" s="36">
        <f>VLOOKUP($A37,[26]HISTOJUIN25!$A$6:$BM$51,64,0)</f>
        <v>0</v>
      </c>
      <c r="AA37" s="36"/>
      <c r="AB37" s="36">
        <f>VLOOKUP($A37,[26]HISTOJUIN25!$A$6:$AU$51,44,0)</f>
        <v>0</v>
      </c>
      <c r="AC37" s="36">
        <f>VLOOKUP($A37,[26]HISTOJUIN25!$A$6:$AU$51,43,0)</f>
        <v>0</v>
      </c>
      <c r="AD37" s="36">
        <f>VLOOKUP($A37,[26]HISTOJUIN25!$A$6:$BR$51,47,0)</f>
        <v>0</v>
      </c>
      <c r="AE37" s="36">
        <f>VLOOKUP(A37,[26]HISTOJUIN25!$A$6:$BR$51,54,0)</f>
        <v>0</v>
      </c>
      <c r="AF37" s="36">
        <f>VLOOKUP($A37,[26]HISTOJUIN25!$A$6:$BR$51,60,0)</f>
        <v>0</v>
      </c>
      <c r="AG37" s="36">
        <f>VLOOKUP($A37,[26]HISTOJUIN25!$A$6:$CB$51,61,0)</f>
        <v>0</v>
      </c>
      <c r="AH37" s="36">
        <f>VLOOKUP($A37,[26]HISTOJUIN25!$A$6:$CB$51,62,0)</f>
        <v>0</v>
      </c>
      <c r="AI37" s="36">
        <f>VLOOKUP($A37,[26]HISTOJUIN25!$A$6:$CB$51,63,0)</f>
        <v>0</v>
      </c>
      <c r="AJ37" s="36">
        <f>VLOOKUP($A37,[26]HISTOJUIN25!$A$6:$BR$51,64,0)</f>
        <v>0</v>
      </c>
      <c r="AK37" s="36">
        <f>VLOOKUP($A37,[26]HISTOJUIN25!$A$6:$BR$51,65,0)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VLOOKUP($A38,[26]HISTOJUIN25!$A$6:$BA$51,48,0)</f>
        <v>0</v>
      </c>
      <c r="F38" s="36">
        <f>VLOOKUP(A38,MVTMAI25!A38:AM73,6,0)+MVTMAI25!H38-E38+L38</f>
        <v>102000</v>
      </c>
      <c r="G38" s="5">
        <f>IF(MVTJUIN25!F38&gt;800000,(MVTMAI25!I38-E38+L38),0)</f>
        <v>0</v>
      </c>
      <c r="H38" s="36">
        <f>VLOOKUP(A38,[27]MVTJUIN25!$A$6:$AM$42,8,0)</f>
        <v>0</v>
      </c>
      <c r="I38" s="6">
        <f t="shared" si="1"/>
        <v>102000</v>
      </c>
      <c r="J38" s="36">
        <f>VLOOKUP($A38,[26]HISTOJUIN25!$A$6:$AQ$51,22,0)</f>
        <v>0</v>
      </c>
      <c r="K38" s="36">
        <f>VLOOKUP($A38,[26]HISTOJUIN25!$A$6:$AU$51,45,0)</f>
        <v>22000</v>
      </c>
      <c r="L38" s="36">
        <f t="shared" si="2"/>
        <v>16000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VLOOKUP($A38,[26]HISTOJUIN25!$A$6:$AU$51,8,0)</f>
        <v>3000</v>
      </c>
      <c r="Q38" s="36">
        <f>VLOOKUP($A38,[26]HISTOJUIN25!$A$6:$AU$51,23,0)</f>
        <v>0</v>
      </c>
      <c r="R38" s="36">
        <f>VLOOKUP($A38,[26]HISTOJUIN25!$A$6:$AU$51,46,0)</f>
        <v>0</v>
      </c>
      <c r="S38" s="36">
        <f>VLOOKUP($A38,[26]HISTOJUIN25!$A$6:$AU$51,26,0)</f>
        <v>0</v>
      </c>
      <c r="T38" s="36">
        <f>VLOOKUP($A38,[26]HISTOJUIN25!$A$6:$BG$51,58,0)</f>
        <v>0</v>
      </c>
      <c r="U38" s="36">
        <f>VLOOKUP($A38,[26]HISTOJUIN25!$A$6:$AU$51,28,0)</f>
        <v>0</v>
      </c>
      <c r="V38" s="36">
        <f>VLOOKUP($A38,[26]HISTOJUIN25!$A$6:$AU$51,19,0)</f>
        <v>0</v>
      </c>
      <c r="W38" s="36">
        <f>VLOOKUP($A38,[26]HISTOJUIN25!$A$6:$AU$51,20,0)</f>
        <v>0</v>
      </c>
      <c r="X38" s="36">
        <f>VLOOKUP($A38,[26]HISTOJUIN25!$A$6:$AU$51,27,0)</f>
        <v>0</v>
      </c>
      <c r="Y38" s="36">
        <f>VLOOKUP($A38,[26]HISTOJUIN25!$A$6:$BM$51,33,0)</f>
        <v>0</v>
      </c>
      <c r="Z38" s="36">
        <f>VLOOKUP($A38,[26]HISTOJUIN25!$A$6:$BM$51,64,0)</f>
        <v>0</v>
      </c>
      <c r="AA38" s="36"/>
      <c r="AB38" s="36">
        <f>VLOOKUP($A38,[26]HISTOJUIN25!$A$6:$AU$51,44,0)</f>
        <v>0</v>
      </c>
      <c r="AC38" s="36">
        <f>VLOOKUP($A38,[26]HISTOJUIN25!$A$6:$AU$51,43,0)</f>
        <v>0</v>
      </c>
      <c r="AD38" s="36">
        <f>VLOOKUP($A38,[26]HISTOJUIN25!$A$6:$BR$51,47,0)</f>
        <v>0</v>
      </c>
      <c r="AE38" s="36">
        <f>VLOOKUP(A38,[26]HISTOJUIN25!$A$6:$BR$51,54,0)</f>
        <v>0</v>
      </c>
      <c r="AF38" s="36">
        <f>VLOOKUP($A38,[26]HISTOJUIN25!$A$6:$BR$51,60,0)</f>
        <v>0</v>
      </c>
      <c r="AG38" s="36">
        <f>VLOOKUP($A38,[26]HISTOJUIN25!$A$6:$CB$51,61,0)</f>
        <v>0</v>
      </c>
      <c r="AH38" s="36">
        <f>VLOOKUP($A38,[26]HISTOJUIN25!$A$6:$CB$51,62,0)</f>
        <v>0</v>
      </c>
      <c r="AI38" s="36">
        <f>VLOOKUP($A38,[26]HISTOJUIN25!$A$6:$CB$51,63,0)</f>
        <v>0</v>
      </c>
      <c r="AJ38" s="36">
        <f>VLOOKUP($A38,[26]HISTOJUIN25!$A$6:$BR$51,64,0)</f>
        <v>0</v>
      </c>
      <c r="AK38" s="36">
        <f>VLOOKUP($A38,[26]HISTOJUIN25!$A$6:$BR$51,65,0)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VLOOKUP($A39,[26]HISTOJUIN25!$A$6:$BA$51,48,0)</f>
        <v>0</v>
      </c>
      <c r="F39" s="36">
        <f>VLOOKUP(A39,MVTMAI25!A39:AM74,6,0)+MVTMAI25!H39-E39+L39</f>
        <v>943235.14821666293</v>
      </c>
      <c r="G39" s="5">
        <f>IF(MVTJUIN25!F39&gt;800000,(MVTMAI25!I39-E39+L39),0)</f>
        <v>943235.14821666293</v>
      </c>
      <c r="H39" s="36">
        <f>VLOOKUP(A39,[27]MVTJUIN25!$A$6:$AM$42,8,0)</f>
        <v>2717.8196433100179</v>
      </c>
      <c r="I39" s="6">
        <f t="shared" si="1"/>
        <v>945952.96785997297</v>
      </c>
      <c r="J39" s="36">
        <f>VLOOKUP($A39,[26]HISTOJUIN25!$A$6:$AQ$51,22,0)</f>
        <v>0</v>
      </c>
      <c r="K39" s="36">
        <f>VLOOKUP($A39,[26]HISTOJUIN25!$A$6:$AU$51,45,0)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VLOOKUP($A39,[26]HISTOJUIN25!$A$6:$AU$51,8,0)</f>
        <v>0</v>
      </c>
      <c r="Q39" s="36">
        <f>VLOOKUP($A39,[26]HISTOJUIN25!$A$6:$AU$51,23,0)</f>
        <v>0</v>
      </c>
      <c r="R39" s="36">
        <f>VLOOKUP($A39,[26]HISTOJUIN25!$A$6:$AU$51,46,0)</f>
        <v>0</v>
      </c>
      <c r="S39" s="36">
        <f>VLOOKUP($A39,[26]HISTOJUIN25!$A$6:$AU$51,26,0)</f>
        <v>0</v>
      </c>
      <c r="T39" s="36">
        <f>VLOOKUP($A39,[26]HISTOJUIN25!$A$6:$BG$51,58,0)</f>
        <v>0</v>
      </c>
      <c r="U39" s="36">
        <f>VLOOKUP($A39,[26]HISTOJUIN25!$A$6:$AU$51,28,0)</f>
        <v>0</v>
      </c>
      <c r="V39" s="36">
        <f>VLOOKUP($A39,[26]HISTOJUIN25!$A$6:$AU$51,19,0)</f>
        <v>0</v>
      </c>
      <c r="W39" s="36">
        <f>VLOOKUP($A39,[26]HISTOJUIN25!$A$6:$AU$51,20,0)</f>
        <v>0</v>
      </c>
      <c r="X39" s="36">
        <f>VLOOKUP($A39,[26]HISTOJUIN25!$A$6:$AU$51,27,0)</f>
        <v>0</v>
      </c>
      <c r="Y39" s="36">
        <f>VLOOKUP($A39,[26]HISTOJUIN25!$A$6:$BM$51,33,0)</f>
        <v>0</v>
      </c>
      <c r="Z39" s="36">
        <f>VLOOKUP($A39,[26]HISTOJUIN25!$A$6:$BM$51,64,0)</f>
        <v>0</v>
      </c>
      <c r="AA39" s="36"/>
      <c r="AB39" s="36">
        <f>VLOOKUP($A39,[26]HISTOJUIN25!$A$6:$AU$51,44,0)</f>
        <v>0</v>
      </c>
      <c r="AC39" s="36">
        <f>VLOOKUP($A39,[26]HISTOJUIN25!$A$6:$AU$51,43,0)</f>
        <v>0</v>
      </c>
      <c r="AD39" s="36">
        <f>VLOOKUP($A39,[26]HISTOJUIN25!$A$6:$BR$51,47,0)</f>
        <v>0</v>
      </c>
      <c r="AE39" s="36">
        <f>VLOOKUP(A39,[26]HISTOJUIN25!$A$6:$BR$51,54,0)</f>
        <v>0</v>
      </c>
      <c r="AF39" s="36">
        <f>VLOOKUP($A39,[26]HISTOJUIN25!$A$6:$BR$51,60,0)</f>
        <v>0</v>
      </c>
      <c r="AG39" s="36">
        <f>VLOOKUP($A39,[26]HISTOJUIN25!$A$6:$CB$51,61,0)</f>
        <v>0</v>
      </c>
      <c r="AH39" s="36">
        <f>VLOOKUP($A39,[26]HISTOJUIN25!$A$6:$CB$51,62,0)</f>
        <v>0</v>
      </c>
      <c r="AI39" s="36">
        <f>VLOOKUP($A39,[26]HISTOJUIN25!$A$6:$CB$51,63,0)</f>
        <v>0</v>
      </c>
      <c r="AJ39" s="36">
        <f>VLOOKUP($A39,[26]HISTOJUIN25!$A$6:$BR$51,64,0)</f>
        <v>0</v>
      </c>
      <c r="AK39" s="36">
        <f>VLOOKUP($A39,[26]HISTOJUIN25!$A$6:$BR$51,65,0)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VLOOKUP($A40,[26]HISTOJUIN25!$A$6:$BA$51,48,0)</f>
        <v>0</v>
      </c>
      <c r="F40" s="36">
        <f>VLOOKUP(A40,MVTMAI25!A40:AM75,6,0)+MVTMAI25!H40-E40+L40</f>
        <v>1760215.5898191084</v>
      </c>
      <c r="G40" s="5">
        <f>IF(MVTJUIN25!F40&gt;800000,(MVTMAI25!I40-E40+L40),0)</f>
        <v>1760215.5898191084</v>
      </c>
      <c r="H40" s="36">
        <f>VLOOKUP(A40,[27]MVTJUIN25!$A$6:$AM$42,8,0)</f>
        <v>5071.8513994264558</v>
      </c>
      <c r="I40" s="6">
        <f t="shared" si="1"/>
        <v>1765287.4412185347</v>
      </c>
      <c r="J40" s="36">
        <f>VLOOKUP($A40,[26]HISTOJUIN25!$A$6:$AQ$51,22,0)</f>
        <v>0</v>
      </c>
      <c r="K40" s="36">
        <f>VLOOKUP($A40,[26]HISTOJUIN25!$A$6:$AU$51,45,0)</f>
        <v>22000</v>
      </c>
      <c r="L40" s="36">
        <f t="shared" si="2"/>
        <v>16000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VLOOKUP($A40,[26]HISTOJUIN25!$A$6:$AU$51,8,0)</f>
        <v>3000</v>
      </c>
      <c r="Q40" s="36">
        <f>VLOOKUP($A40,[26]HISTOJUIN25!$A$6:$AU$51,23,0)</f>
        <v>0</v>
      </c>
      <c r="R40" s="36">
        <f>VLOOKUP($A40,[26]HISTOJUIN25!$A$6:$AU$51,46,0)</f>
        <v>0</v>
      </c>
      <c r="S40" s="36">
        <f>VLOOKUP($A40,[26]HISTOJUIN25!$A$6:$AU$51,26,0)</f>
        <v>0</v>
      </c>
      <c r="T40" s="36">
        <f>VLOOKUP($A40,[26]HISTOJUIN25!$A$6:$BG$51,58,0)</f>
        <v>0</v>
      </c>
      <c r="U40" s="36">
        <f>VLOOKUP($A40,[26]HISTOJUIN25!$A$6:$AU$51,28,0)</f>
        <v>0</v>
      </c>
      <c r="V40" s="36">
        <f>VLOOKUP($A40,[26]HISTOJUIN25!$A$6:$AU$51,19,0)</f>
        <v>0</v>
      </c>
      <c r="W40" s="36">
        <f>VLOOKUP($A40,[26]HISTOJUIN25!$A$6:$AU$51,20,0)</f>
        <v>0</v>
      </c>
      <c r="X40" s="36">
        <f>VLOOKUP($A40,[26]HISTOJUIN25!$A$6:$AU$51,27,0)</f>
        <v>0</v>
      </c>
      <c r="Y40" s="36">
        <f>VLOOKUP($A40,[26]HISTOJUIN25!$A$6:$BM$51,33,0)</f>
        <v>0</v>
      </c>
      <c r="Z40" s="36">
        <f>VLOOKUP($A40,[26]HISTOJUIN25!$A$6:$BM$51,64,0)</f>
        <v>0</v>
      </c>
      <c r="AA40" s="36"/>
      <c r="AB40" s="36">
        <f>VLOOKUP($A40,[26]HISTOJUIN25!$A$6:$AU$51,44,0)</f>
        <v>0</v>
      </c>
      <c r="AC40" s="36">
        <f>VLOOKUP($A40,[26]HISTOJUIN25!$A$6:$AU$51,43,0)</f>
        <v>0</v>
      </c>
      <c r="AD40" s="36">
        <f>VLOOKUP($A40,[26]HISTOJUIN25!$A$6:$BR$51,47,0)</f>
        <v>0</v>
      </c>
      <c r="AE40" s="36">
        <f>VLOOKUP(A40,[26]HISTOJUIN25!$A$6:$BR$51,54,0)</f>
        <v>0</v>
      </c>
      <c r="AF40" s="36">
        <f>VLOOKUP($A40,[26]HISTOJUIN25!$A$6:$BR$51,60,0)</f>
        <v>0</v>
      </c>
      <c r="AG40" s="36">
        <f>VLOOKUP($A40,[26]HISTOJUIN25!$A$6:$CB$51,61,0)</f>
        <v>0</v>
      </c>
      <c r="AH40" s="36">
        <f>VLOOKUP($A40,[26]HISTOJUIN25!$A$6:$CB$51,62,0)</f>
        <v>0</v>
      </c>
      <c r="AI40" s="36">
        <f>VLOOKUP($A40,[26]HISTOJUIN25!$A$6:$CB$51,63,0)</f>
        <v>0</v>
      </c>
      <c r="AJ40" s="36">
        <f>VLOOKUP($A40,[26]HISTOJUIN25!$A$6:$BR$51,64,0)</f>
        <v>0</v>
      </c>
      <c r="AK40" s="36">
        <f>VLOOKUP($A40,[26]HISTOJUIN25!$A$6:$BR$51,65,0)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VLOOKUP($A41,[26]HISTOJUIN25!$A$6:$BA$51,48,0)</f>
        <v>0</v>
      </c>
      <c r="F41" s="36">
        <f>VLOOKUP(A41,MVTMAI25!A41:AM76,6,0)+MVTMAI25!H41-E41+L41</f>
        <v>973271.31996370177</v>
      </c>
      <c r="G41" s="5">
        <f>IF(MVTJUIN25!F41&gt;800000,(MVTMAI25!I41-E41+L41),0)</f>
        <v>973271.31996370177</v>
      </c>
      <c r="H41" s="36">
        <f>VLOOKUP(A41,[27]MVTJUIN25!$A$6:$AM$42,8,0)</f>
        <v>2804.3652918031594</v>
      </c>
      <c r="I41" s="6">
        <f t="shared" si="1"/>
        <v>976075.68525550491</v>
      </c>
      <c r="J41" s="36">
        <f>VLOOKUP($A41,[26]HISTOJUIN25!$A$6:$AQ$51,22,0)</f>
        <v>0</v>
      </c>
      <c r="K41" s="36">
        <f>VLOOKUP($A41,[26]HISTOJUIN25!$A$6:$AU$51,45,0)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VLOOKUP($A41,[26]HISTOJUIN25!$A$6:$AU$51,8,0)</f>
        <v>3000</v>
      </c>
      <c r="Q41" s="36">
        <f>VLOOKUP($A41,[26]HISTOJUIN25!$A$6:$AU$51,23,0)</f>
        <v>0</v>
      </c>
      <c r="R41" s="36">
        <f>VLOOKUP($A41,[26]HISTOJUIN25!$A$6:$AU$51,46,0)</f>
        <v>0</v>
      </c>
      <c r="S41" s="36">
        <f>VLOOKUP($A41,[26]HISTOJUIN25!$A$6:$AU$51,26,0)</f>
        <v>0</v>
      </c>
      <c r="T41" s="36">
        <f>VLOOKUP($A41,[26]HISTOJUIN25!$A$6:$BG$51,58,0)</f>
        <v>0</v>
      </c>
      <c r="U41" s="36">
        <f>VLOOKUP($A41,[26]HISTOJUIN25!$A$6:$AU$51,28,0)</f>
        <v>0</v>
      </c>
      <c r="V41" s="36">
        <f>VLOOKUP($A41,[26]HISTOJUIN25!$A$6:$AU$51,19,0)</f>
        <v>0</v>
      </c>
      <c r="W41" s="36">
        <f>VLOOKUP($A41,[26]HISTOJUIN25!$A$6:$AU$51,20,0)</f>
        <v>0</v>
      </c>
      <c r="X41" s="36">
        <f>VLOOKUP($A41,[26]HISTOJUIN25!$A$6:$AU$51,27,0)</f>
        <v>0</v>
      </c>
      <c r="Y41" s="36">
        <f>VLOOKUP($A41,[26]HISTOJUIN25!$A$6:$BM$51,33,0)</f>
        <v>0</v>
      </c>
      <c r="Z41" s="36">
        <f>VLOOKUP($A41,[26]HISTOJUIN25!$A$6:$BM$51,64,0)</f>
        <v>0</v>
      </c>
      <c r="AA41" s="36"/>
      <c r="AB41" s="36">
        <f>VLOOKUP($A41,[26]HISTOJUIN25!$A$6:$AU$51,44,0)</f>
        <v>0</v>
      </c>
      <c r="AC41" s="36">
        <f>VLOOKUP($A41,[26]HISTOJUIN25!$A$6:$AU$51,43,0)</f>
        <v>0</v>
      </c>
      <c r="AD41" s="36">
        <f>VLOOKUP($A41,[26]HISTOJUIN25!$A$6:$BR$51,47,0)</f>
        <v>0</v>
      </c>
      <c r="AE41" s="36">
        <f>VLOOKUP(A41,[26]HISTOJUIN25!$A$6:$BR$51,54,0)</f>
        <v>0</v>
      </c>
      <c r="AF41" s="36">
        <f>VLOOKUP($A41,[26]HISTOJUIN25!$A$6:$BR$51,60,0)</f>
        <v>0</v>
      </c>
      <c r="AG41" s="36">
        <f>VLOOKUP($A41,[26]HISTOJUIN25!$A$6:$CB$51,61,0)</f>
        <v>0</v>
      </c>
      <c r="AH41" s="36">
        <f>VLOOKUP($A41,[26]HISTOJUIN25!$A$6:$CB$51,62,0)</f>
        <v>0</v>
      </c>
      <c r="AI41" s="36">
        <f>VLOOKUP($A41,[26]HISTOJUIN25!$A$6:$CB$51,63,0)</f>
        <v>0</v>
      </c>
      <c r="AJ41" s="36">
        <f>VLOOKUP($A41,[26]HISTOJUIN25!$A$6:$BR$51,64,0)</f>
        <v>0</v>
      </c>
      <c r="AK41" s="36">
        <f>VLOOKUP($A41,[26]HISTOJUIN25!$A$6:$BR$51,65,0)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VLOOKUP($A42,[26]HISTOJUIN25!$A$6:$BA$51,48,0)</f>
        <v>0</v>
      </c>
      <c r="F42" s="36">
        <f>VLOOKUP(A42,MVTMAI25!A42:AM77,6,0)+MVTMAI25!H42-E42+L42</f>
        <v>2261990.1954813572</v>
      </c>
      <c r="G42" s="5">
        <f>IF(MVTJUIN25!F42&gt;800000,(MVTMAI25!I42-E42+L42),0)</f>
        <v>2261990.1954813572</v>
      </c>
      <c r="H42" s="36">
        <f>VLOOKUP(A42,[27]MVTJUIN25!$A$6:$AM$42,8,0)</f>
        <v>6517.6551127012981</v>
      </c>
      <c r="I42" s="6">
        <f t="shared" si="1"/>
        <v>2268507.8505940586</v>
      </c>
      <c r="J42" s="36">
        <f>VLOOKUP($A42,[26]HISTOJUIN25!$A$6:$AQ$51,22,0)</f>
        <v>0</v>
      </c>
      <c r="K42" s="36">
        <f>VLOOKUP($A42,[26]HISTOJUIN25!$A$6:$AU$51,45,0)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VLOOKUP($A42,[26]HISTOJUIN25!$A$6:$AU$51,8,0)</f>
        <v>0</v>
      </c>
      <c r="Q42" s="36">
        <f>VLOOKUP($A42,[26]HISTOJUIN25!$A$6:$AU$51,23,0)</f>
        <v>0</v>
      </c>
      <c r="R42" s="36">
        <f>VLOOKUP($A42,[26]HISTOJUIN25!$A$6:$AU$51,46,0)</f>
        <v>0</v>
      </c>
      <c r="S42" s="36">
        <f>VLOOKUP($A42,[26]HISTOJUIN25!$A$6:$AU$51,26,0)</f>
        <v>0</v>
      </c>
      <c r="T42" s="36">
        <f>VLOOKUP($A42,[26]HISTOJUIN25!$A$6:$BG$51,58,0)</f>
        <v>0</v>
      </c>
      <c r="U42" s="36">
        <f>VLOOKUP($A42,[26]HISTOJUIN25!$A$6:$AU$51,28,0)</f>
        <v>0</v>
      </c>
      <c r="V42" s="36">
        <f>VLOOKUP($A42,[26]HISTOJUIN25!$A$6:$AU$51,19,0)</f>
        <v>0</v>
      </c>
      <c r="W42" s="36">
        <f>VLOOKUP($A42,[26]HISTOJUIN25!$A$6:$AU$51,20,0)</f>
        <v>0</v>
      </c>
      <c r="X42" s="36">
        <f>VLOOKUP($A42,[26]HISTOJUIN25!$A$6:$AU$51,27,0)</f>
        <v>0</v>
      </c>
      <c r="Y42" s="36">
        <f>VLOOKUP($A42,[26]HISTOJUIN25!$A$6:$BM$51,33,0)</f>
        <v>0</v>
      </c>
      <c r="Z42" s="36">
        <f>VLOOKUP($A42,[26]HISTOJUIN25!$A$6:$BM$51,64,0)</f>
        <v>0</v>
      </c>
      <c r="AA42" s="36"/>
      <c r="AB42" s="36">
        <f>VLOOKUP($A42,[26]HISTOJUIN25!$A$6:$AU$51,44,0)</f>
        <v>0</v>
      </c>
      <c r="AC42" s="36">
        <f>VLOOKUP($A42,[26]HISTOJUIN25!$A$6:$AU$51,43,0)</f>
        <v>0</v>
      </c>
      <c r="AD42" s="36">
        <f>VLOOKUP($A42,[26]HISTOJUIN25!$A$6:$BR$51,47,0)</f>
        <v>0</v>
      </c>
      <c r="AE42" s="36">
        <f>VLOOKUP(A42,[26]HISTOJUIN25!$A$6:$BR$51,54,0)</f>
        <v>0</v>
      </c>
      <c r="AF42" s="36">
        <f>VLOOKUP($A42,[26]HISTOJUIN25!$A$6:$BR$51,60,0)</f>
        <v>0</v>
      </c>
      <c r="AG42" s="36">
        <f>VLOOKUP($A42,[26]HISTOJUIN25!$A$6:$CB$51,61,0)</f>
        <v>0</v>
      </c>
      <c r="AH42" s="36">
        <f>VLOOKUP($A42,[26]HISTOJUIN25!$A$6:$CB$51,62,0)</f>
        <v>0</v>
      </c>
      <c r="AI42" s="36">
        <f>VLOOKUP($A42,[26]HISTOJUIN25!$A$6:$CB$51,63,0)</f>
        <v>0</v>
      </c>
      <c r="AJ42" s="36">
        <f>VLOOKUP($A42,[26]HISTOJUIN25!$A$6:$BR$51,64,0)</f>
        <v>0</v>
      </c>
      <c r="AK42" s="36">
        <f>VLOOKUP($A42,[26]HISTOJUIN25!$A$6:$BR$51,65,0)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37663612.000000007</v>
      </c>
      <c r="G44" s="9">
        <f t="shared" si="9"/>
        <v>36440862.000000007</v>
      </c>
      <c r="H44" s="36">
        <f t="shared" si="9"/>
        <v>104999.99999999997</v>
      </c>
      <c r="I44" s="9">
        <f t="shared" si="9"/>
        <v>37768612</v>
      </c>
      <c r="J44" s="9">
        <f t="shared" si="9"/>
        <v>0</v>
      </c>
      <c r="K44" s="9">
        <f t="shared" si="9"/>
        <v>935000</v>
      </c>
      <c r="L44" s="9">
        <f t="shared" si="9"/>
        <v>825000</v>
      </c>
      <c r="M44" s="9">
        <f t="shared" si="9"/>
        <v>35000</v>
      </c>
      <c r="N44" s="9">
        <f t="shared" si="9"/>
        <v>35000</v>
      </c>
      <c r="O44" s="9">
        <f t="shared" si="9"/>
        <v>140000</v>
      </c>
      <c r="P44" s="9">
        <f t="shared" si="9"/>
        <v>15000</v>
      </c>
      <c r="Q44" s="9">
        <f t="shared" si="9"/>
        <v>0</v>
      </c>
      <c r="R44" s="9">
        <f t="shared" si="9"/>
        <v>0</v>
      </c>
      <c r="S44" s="9">
        <f t="shared" si="9"/>
        <v>3500000</v>
      </c>
      <c r="T44" s="9">
        <f t="shared" si="9"/>
        <v>105000</v>
      </c>
      <c r="U44" s="9">
        <f t="shared" si="9"/>
        <v>0</v>
      </c>
      <c r="V44" s="9">
        <f t="shared" si="9"/>
        <v>3800000</v>
      </c>
      <c r="W44" s="9"/>
      <c r="X44" s="9">
        <f t="shared" si="9"/>
        <v>0</v>
      </c>
      <c r="Y44" s="9">
        <f t="shared" si="9"/>
        <v>0</v>
      </c>
      <c r="Z44" s="9">
        <f t="shared" si="9"/>
        <v>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0</v>
      </c>
      <c r="AF44" s="9">
        <f t="shared" si="9"/>
        <v>6000</v>
      </c>
      <c r="AG44" s="9">
        <f t="shared" si="9"/>
        <v>0</v>
      </c>
      <c r="AH44" s="9">
        <f t="shared" si="9"/>
        <v>0</v>
      </c>
      <c r="AI44" s="9">
        <f t="shared" si="9"/>
        <v>100000</v>
      </c>
      <c r="AJ44" s="9">
        <f t="shared" si="9"/>
        <v>0</v>
      </c>
      <c r="AK44" s="9">
        <f t="shared" si="9"/>
        <v>0</v>
      </c>
      <c r="AL44" s="9">
        <f t="shared" si="9"/>
        <v>0</v>
      </c>
    </row>
    <row r="46" spans="1:38" x14ac:dyDescent="0.35">
      <c r="H46">
        <v>104999.99999999999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1B763-4BF4-42D7-85D8-8F0EF13ABC6B}">
  <dimension ref="A1:AM47"/>
  <sheetViews>
    <sheetView workbookViewId="0">
      <pane xSplit="2" ySplit="5" topLeftCell="J9" activePane="bottomRight" state="frozen"/>
      <selection activeCell="F8" sqref="F8"/>
      <selection pane="topRight" activeCell="F8" sqref="F8"/>
      <selection pane="bottomLeft" activeCell="F8" sqref="F8"/>
      <selection pane="bottomRight" activeCell="A15" sqref="A15:XFD1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2">
        <v>45855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VLOOKUP(A6,MVTJUIN25!A6:AM42,6,0)+MVTJUIN25!H6-E6+L6</f>
        <v>1100449.4901832328</v>
      </c>
      <c r="G6" s="5">
        <f>IF(MVTJUIL25!F6&gt;800000,(MVTJUIN25!I6-E6+L6),0)</f>
        <v>1100449.4901832328</v>
      </c>
      <c r="H6" s="36">
        <f>VLOOKUP(A6,[27]MVTJUIL25!$A$6:$AM$42,8,0)</f>
        <v>1627.5834718207145</v>
      </c>
      <c r="I6" s="6">
        <f>F6+H6</f>
        <v>1102077.0736550535</v>
      </c>
      <c r="J6" s="36">
        <f>VLOOKUP($A6,[26]HISTOJUIL25!$A$6:$AQ$51,22,0)</f>
        <v>0</v>
      </c>
      <c r="K6" s="36">
        <f>VLOOKUP($A6,[26]HISTOJUIL25!$A$6:$AU$51,45,0)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VLOOKUP($A6,[26]HISTOJUIL25!$A$6:$AU$51,8,0)</f>
        <v>0</v>
      </c>
      <c r="Q6" s="36">
        <f>VLOOKUP($A6,[26]HISTOJUIL25!$A$6:$AU$51,23,0)</f>
        <v>0</v>
      </c>
      <c r="R6" s="36">
        <f>VLOOKUP($A6,[26]HISTOJUIL25!$A$6:$AU$51,46,0)</f>
        <v>0</v>
      </c>
      <c r="S6" s="36">
        <f>VLOOKUP($A6,[26]HISTOJUIL25!$A$6:$AU$51,26,0)</f>
        <v>0</v>
      </c>
      <c r="T6" s="36">
        <f>VLOOKUP($A6,[26]HISTOJUIL25!$A$6:$BG$51,58,0)</f>
        <v>0</v>
      </c>
      <c r="U6" s="36">
        <f>VLOOKUP($A6,[26]HISTOJUIL25!$A$6:$AU$51,28,0)</f>
        <v>0</v>
      </c>
      <c r="V6" s="36">
        <f>VLOOKUP($A6,[26]HISTOJUIL25!$A$6:$AU$51,19,0)</f>
        <v>0</v>
      </c>
      <c r="W6" s="36">
        <f>VLOOKUP($A6,[26]HISTOJUIL25!$A$6:$AU$51,20,0)</f>
        <v>0</v>
      </c>
      <c r="X6" s="36">
        <f>VLOOKUP($A6,[26]HISTOJUIL25!$A$6:$AU$51,27,0)</f>
        <v>0</v>
      </c>
      <c r="Y6" s="36">
        <f>VLOOKUP($A6,[26]HISTOJUIL25!$A$6:$BM$51,33,0)</f>
        <v>0</v>
      </c>
      <c r="Z6" s="36">
        <f>VLOOKUP($A6,[26]HISTOJUIL25!$A$6:$BM$51,64,0)</f>
        <v>0</v>
      </c>
      <c r="AA6" s="36"/>
      <c r="AB6" s="36">
        <f>VLOOKUP($A6,[26]HISTOJUIL25!$A$6:$AU$51,44,0)</f>
        <v>0</v>
      </c>
      <c r="AC6" s="36">
        <f>VLOOKUP($A6,[26]HISTOJUIL25!$A$6:$AU$51,43,0)</f>
        <v>0</v>
      </c>
      <c r="AD6" s="36">
        <f>VLOOKUP($A6,[26]HISTOJUIL25!$A$6:$BR$51,47,0)</f>
        <v>0</v>
      </c>
      <c r="AE6" s="36">
        <f>VLOOKUP(A6,[26]HISTOJUIL25!$A$6:$BR$51,54,0)</f>
        <v>0</v>
      </c>
      <c r="AF6" s="36">
        <f>VLOOKUP($A6,[26]HISTOJUIL25!$A$6:$BR$51,60,0)</f>
        <v>6000</v>
      </c>
      <c r="AG6" s="36">
        <f>VLOOKUP($A6,[26]HISTOJUIL25!$A$6:$CB$51,61,0)</f>
        <v>0</v>
      </c>
      <c r="AH6" s="36">
        <f>VLOOKUP($A6,[26]HISTOJUIL25!$A$6:$CB$51,62,0)</f>
        <v>0</v>
      </c>
      <c r="AI6" s="36">
        <f>VLOOKUP($A6,[26]HISTOJUIL25!$A$6:$CB$51,63,0)</f>
        <v>70000</v>
      </c>
      <c r="AJ6" s="36">
        <f>VLOOKUP($A6,[26]HISTOJUIL25!$A$6:$BR$51,64,0)</f>
        <v>0</v>
      </c>
      <c r="AK6" s="36">
        <f>VLOOKUP($A6,[26]HISTOJUIL25!$A$6:$BR$51,65,0)</f>
        <v>0</v>
      </c>
      <c r="AL6" s="36">
        <f>VLOOKUP($A6,[26]HISTOJUIL25!$A$6:$BR$40,66,0)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VLOOKUP($A7,[26]HISTOJUIL25!$A$6:$BA$51,48,0)</f>
        <v>0</v>
      </c>
      <c r="F7" s="36">
        <f>VLOOKUP(A7,MVTJUIN25!A7:AM43,6,0)+MVTJUIN25!H7-E7+L7</f>
        <v>1009800.5836658712</v>
      </c>
      <c r="G7" s="5">
        <f>IF(MVTJUIL25!F7&gt;800000,(MVTJUIN25!I7-E7+L7),0)</f>
        <v>1009800.5836658712</v>
      </c>
      <c r="H7" s="36">
        <f>VLOOKUP(A7,[27]MVTJUIL25!$A$6:$AM$42,8,0)</f>
        <v>1493.5122006697663</v>
      </c>
      <c r="I7" s="6">
        <f t="shared" ref="I7:I42" si="1">F7+H7</f>
        <v>1011294.0958665409</v>
      </c>
      <c r="J7" s="36">
        <f>VLOOKUP($A7,[26]HISTOJUIL25!$A$6:$AQ$51,22,0)</f>
        <v>0</v>
      </c>
      <c r="K7" s="36">
        <f>VLOOKUP($A7,[26]HISTOJUIL25!$A$6:$AU$51,45,0)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VLOOKUP($A7,[26]HISTOJUIL25!$A$6:$AU$51,8,0)</f>
        <v>0</v>
      </c>
      <c r="Q7" s="36">
        <f>VLOOKUP($A7,[26]HISTOJUIL25!$A$6:$AU$51,23,0)</f>
        <v>0</v>
      </c>
      <c r="R7" s="36">
        <f>VLOOKUP($A7,[26]HISTOJUIL25!$A$6:$AU$51,46,0)</f>
        <v>0</v>
      </c>
      <c r="S7" s="36">
        <f>VLOOKUP($A7,[26]HISTOJUIL25!$A$6:$AU$51,26,0)</f>
        <v>0</v>
      </c>
      <c r="T7" s="36">
        <f>VLOOKUP($A7,[26]HISTOJUIL25!$A$6:$BG$51,58,0)</f>
        <v>0</v>
      </c>
      <c r="U7" s="36">
        <f>VLOOKUP($A7,[26]HISTOJUIL25!$A$6:$AU$51,28,0)</f>
        <v>0</v>
      </c>
      <c r="V7" s="36">
        <f>VLOOKUP($A7,[26]HISTOJUIL25!$A$6:$AU$51,19,0)</f>
        <v>0</v>
      </c>
      <c r="W7" s="36">
        <f>VLOOKUP($A7,[26]HISTOJUIL25!$A$6:$AU$51,20,0)</f>
        <v>0</v>
      </c>
      <c r="X7" s="36">
        <f>VLOOKUP($A7,[26]HISTOJUIL25!$A$6:$AU$51,27,0)</f>
        <v>0</v>
      </c>
      <c r="Y7" s="36">
        <f>VLOOKUP($A7,[26]HISTOJUIL25!$A$6:$BM$51,33,0)</f>
        <v>0</v>
      </c>
      <c r="Z7" s="36">
        <f>VLOOKUP($A7,[26]HISTOJUIL25!$A$6:$BM$51,64,0)</f>
        <v>0</v>
      </c>
      <c r="AA7" s="36"/>
      <c r="AB7" s="36">
        <f>VLOOKUP($A7,[26]HISTOJUIL25!$A$6:$AU$51,44,0)</f>
        <v>0</v>
      </c>
      <c r="AC7" s="36">
        <f>VLOOKUP($A7,[26]HISTOJUIL25!$A$6:$AU$51,43,0)</f>
        <v>0</v>
      </c>
      <c r="AD7" s="36">
        <f>VLOOKUP($A7,[26]HISTOJUIL25!$A$6:$BR$51,47,0)</f>
        <v>0</v>
      </c>
      <c r="AE7" s="36">
        <f>VLOOKUP(A7,[26]HISTOJUIL25!$A$6:$BR$51,54,0)</f>
        <v>0</v>
      </c>
      <c r="AF7" s="36">
        <f>VLOOKUP($A7,[26]HISTOJUIL25!$A$6:$BR$51,60,0)</f>
        <v>0</v>
      </c>
      <c r="AG7" s="36">
        <f>VLOOKUP($A7,[26]HISTOJUIL25!$A$6:$CB$51,61,0)</f>
        <v>0</v>
      </c>
      <c r="AH7" s="36">
        <f>VLOOKUP($A7,[26]HISTOJUIL25!$A$6:$CB$51,62,0)</f>
        <v>0</v>
      </c>
      <c r="AI7" s="36">
        <f>VLOOKUP($A7,[26]HISTOJUIL25!$A$6:$CB$51,63,0)</f>
        <v>0</v>
      </c>
      <c r="AJ7" s="36">
        <f>VLOOKUP($A7,[26]HISTOJUIL25!$A$6:$BR$51,64,0)</f>
        <v>0</v>
      </c>
      <c r="AK7" s="36">
        <f>VLOOKUP($A7,[26]HISTOJUIL25!$A$6:$BR$51,65,0)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VLOOKUP($A8,[26]HISTOJUIL25!$A$6:$BA$51,48,0)</f>
        <v>0</v>
      </c>
      <c r="F8" s="36">
        <f>VLOOKUP(A8,MVTJUIN25!A8:AM44,6,0)+MVTJUIN25!H8-E8+L8</f>
        <v>1137510.913765148</v>
      </c>
      <c r="G8" s="5">
        <f>IF(MVTJUIL25!F8&gt;800000,(MVTJUIN25!I8-E8+L8),0)</f>
        <v>1137510.913765148</v>
      </c>
      <c r="H8" s="36">
        <f>VLOOKUP(A8,[27]MVTJUIL25!$A$6:$AM$42,8,0)</f>
        <v>1682.397946271539</v>
      </c>
      <c r="I8" s="6">
        <f t="shared" si="1"/>
        <v>1139193.3117114196</v>
      </c>
      <c r="J8" s="36">
        <f>VLOOKUP($A8,[26]HISTOJUIL25!$A$6:$AQ$51,22,0)</f>
        <v>0</v>
      </c>
      <c r="K8" s="36">
        <f>VLOOKUP($A8,[26]HISTOJUIL25!$A$6:$AU$51,45,0)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VLOOKUP($A8,[26]HISTOJUIL25!$A$6:$AU$51,8,0)</f>
        <v>0</v>
      </c>
      <c r="Q8" s="36">
        <f>VLOOKUP($A8,[26]HISTOJUIL25!$A$6:$AU$51,23,0)</f>
        <v>0</v>
      </c>
      <c r="R8" s="36">
        <f>VLOOKUP($A8,[26]HISTOJUIL25!$A$6:$AU$51,46,0)</f>
        <v>0</v>
      </c>
      <c r="S8" s="36">
        <f>VLOOKUP($A8,[26]HISTOJUIL25!$A$6:$AU$51,26,0)</f>
        <v>0</v>
      </c>
      <c r="T8" s="36">
        <f>VLOOKUP($A8,[26]HISTOJUIL25!$A$6:$BG$51,58,0)</f>
        <v>0</v>
      </c>
      <c r="U8" s="36">
        <f>VLOOKUP($A8,[26]HISTOJUIL25!$A$6:$AU$51,28,0)</f>
        <v>0</v>
      </c>
      <c r="V8" s="36">
        <f>VLOOKUP($A8,[26]HISTOJUIL25!$A$6:$AU$51,19,0)</f>
        <v>0</v>
      </c>
      <c r="W8" s="36">
        <f>VLOOKUP($A8,[26]HISTOJUIL25!$A$6:$AU$51,20,0)</f>
        <v>0</v>
      </c>
      <c r="X8" s="36">
        <f>VLOOKUP($A8,[26]HISTOJUIL25!$A$6:$AU$51,27,0)</f>
        <v>0</v>
      </c>
      <c r="Y8" s="36">
        <f>VLOOKUP($A8,[26]HISTOJUIL25!$A$6:$BM$51,33,0)</f>
        <v>0</v>
      </c>
      <c r="Z8" s="36">
        <f>VLOOKUP($A8,[26]HISTOJUIL25!$A$6:$BM$51,64,0)</f>
        <v>0</v>
      </c>
      <c r="AA8" s="36"/>
      <c r="AB8" s="36">
        <f>VLOOKUP($A8,[26]HISTOJUIL25!$A$6:$AU$51,44,0)</f>
        <v>0</v>
      </c>
      <c r="AC8" s="36">
        <f>VLOOKUP($A8,[26]HISTOJUIL25!$A$6:$AU$51,43,0)</f>
        <v>0</v>
      </c>
      <c r="AD8" s="36">
        <f>VLOOKUP($A8,[26]HISTOJUIL25!$A$6:$BR$51,47,0)</f>
        <v>0</v>
      </c>
      <c r="AE8" s="36">
        <f>VLOOKUP(A8,[26]HISTOJUIL25!$A$6:$BR$51,54,0)</f>
        <v>0</v>
      </c>
      <c r="AF8" s="36">
        <f>VLOOKUP($A8,[26]HISTOJUIL25!$A$6:$BR$51,60,0)</f>
        <v>0</v>
      </c>
      <c r="AG8" s="36">
        <f>VLOOKUP($A8,[26]HISTOJUIL25!$A$6:$CB$51,61,0)</f>
        <v>0</v>
      </c>
      <c r="AH8" s="36">
        <f>VLOOKUP($A8,[26]HISTOJUIL25!$A$6:$CB$51,62,0)</f>
        <v>0</v>
      </c>
      <c r="AI8" s="36">
        <f>VLOOKUP($A8,[26]HISTOJUIL25!$A$6:$CB$51,63,0)</f>
        <v>0</v>
      </c>
      <c r="AJ8" s="36">
        <f>VLOOKUP($A8,[26]HISTOJUIL25!$A$6:$BR$51,64,0)</f>
        <v>0</v>
      </c>
      <c r="AK8" s="36">
        <f>VLOOKUP($A8,[26]HISTOJUIL25!$A$6:$BR$51,65,0)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VLOOKUP($A9,[26]HISTOJUIL25!$A$6:$BA$51,48,0)</f>
        <v>0</v>
      </c>
      <c r="F9" s="36">
        <f>VLOOKUP(A9,MVTJUIN25!A9:AM45,6,0)+MVTJUIN25!H9-E9+L9</f>
        <v>1001961.4672118792</v>
      </c>
      <c r="G9" s="5">
        <f>IF(MVTJUIL25!F9&gt;800000,(MVTJUIN25!I9-E9+L9),0)</f>
        <v>1001961.4672118792</v>
      </c>
      <c r="H9" s="36">
        <f>VLOOKUP(A9,[27]MVTJUIL25!$A$6:$AM$42,8,0)</f>
        <v>1481.9180143958733</v>
      </c>
      <c r="I9" s="6">
        <f t="shared" si="1"/>
        <v>1003443.3852262751</v>
      </c>
      <c r="J9" s="36">
        <f>VLOOKUP($A9,[26]HISTOJUIL25!$A$6:$AQ$51,22,0)</f>
        <v>0</v>
      </c>
      <c r="K9" s="36">
        <f>VLOOKUP($A9,[26]HISTOJUIL25!$A$6:$AU$51,45,0)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VLOOKUP($A9,[26]HISTOJUIL25!$A$6:$AU$51,8,0)</f>
        <v>0</v>
      </c>
      <c r="Q9" s="36">
        <f>VLOOKUP($A9,[26]HISTOJUIL25!$A$6:$AU$51,23,0)</f>
        <v>0</v>
      </c>
      <c r="R9" s="36">
        <f>VLOOKUP($A9,[26]HISTOJUIL25!$A$6:$AU$51,46,0)</f>
        <v>0</v>
      </c>
      <c r="S9" s="36">
        <f>VLOOKUP($A9,[26]HISTOJUIL25!$A$6:$AU$51,26,0)</f>
        <v>0</v>
      </c>
      <c r="T9" s="36">
        <f>VLOOKUP($A9,[26]HISTOJUIL25!$A$6:$BG$51,58,0)</f>
        <v>0</v>
      </c>
      <c r="U9" s="36">
        <f>VLOOKUP($A9,[26]HISTOJUIL25!$A$6:$AU$51,28,0)</f>
        <v>0</v>
      </c>
      <c r="V9" s="36">
        <f>VLOOKUP($A9,[26]HISTOJUIL25!$A$6:$AU$51,19,0)</f>
        <v>0</v>
      </c>
      <c r="W9" s="36">
        <f>VLOOKUP($A9,[26]HISTOJUIL25!$A$6:$AU$51,20,0)</f>
        <v>0</v>
      </c>
      <c r="X9" s="36">
        <f>VLOOKUP($A9,[26]HISTOJUIL25!$A$6:$AU$51,27,0)</f>
        <v>0</v>
      </c>
      <c r="Y9" s="36">
        <f>VLOOKUP($A9,[26]HISTOJUIL25!$A$6:$BM$51,33,0)</f>
        <v>0</v>
      </c>
      <c r="Z9" s="36">
        <f>VLOOKUP($A9,[26]HISTOJUIL25!$A$6:$BM$51,64,0)</f>
        <v>0</v>
      </c>
      <c r="AA9" s="36"/>
      <c r="AB9" s="36">
        <f>VLOOKUP($A9,[26]HISTOJUIL25!$A$6:$AU$51,44,0)</f>
        <v>0</v>
      </c>
      <c r="AC9" s="36">
        <f>VLOOKUP($A9,[26]HISTOJUIL25!$A$6:$AU$51,43,0)</f>
        <v>0</v>
      </c>
      <c r="AD9" s="36">
        <f>VLOOKUP($A9,[26]HISTOJUIL25!$A$6:$BR$51,47,0)</f>
        <v>0</v>
      </c>
      <c r="AE9" s="36">
        <f>VLOOKUP(A9,[26]HISTOJUIL25!$A$6:$BR$51,54,0)</f>
        <v>0</v>
      </c>
      <c r="AF9" s="36">
        <f>VLOOKUP($A9,[26]HISTOJUIL25!$A$6:$BR$51,60,0)</f>
        <v>0</v>
      </c>
      <c r="AG9" s="36">
        <f>VLOOKUP($A9,[26]HISTOJUIL25!$A$6:$CB$51,61,0)</f>
        <v>0</v>
      </c>
      <c r="AH9" s="36">
        <f>VLOOKUP($A9,[26]HISTOJUIL25!$A$6:$CB$51,62,0)</f>
        <v>0</v>
      </c>
      <c r="AI9" s="36">
        <f>VLOOKUP($A9,[26]HISTOJUIL25!$A$6:$CB$51,63,0)</f>
        <v>0</v>
      </c>
      <c r="AJ9" s="36">
        <f>VLOOKUP($A9,[26]HISTOJUIL25!$A$6:$BR$51,64,0)</f>
        <v>0</v>
      </c>
      <c r="AK9" s="36">
        <f>VLOOKUP($A9,[26]HISTOJUIL25!$A$6:$BR$51,65,0)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VLOOKUP($A10,[26]HISTOJUIL25!$A$6:$BA$51,48,0)</f>
        <v>0</v>
      </c>
      <c r="F10" s="36">
        <f>VLOOKUP(A10,MVTJUIN25!A10:AM46,6,0)+MVTJUIN25!H10-E10+L10</f>
        <v>1012780.9652391576</v>
      </c>
      <c r="G10" s="5">
        <f>IF(MVTJUIL25!F10&gt;800000,(MVTJUIN25!I10-E10+L10),0)</f>
        <v>1012780.9652391576</v>
      </c>
      <c r="H10" s="36">
        <f>VLOOKUP(A10,[27]MVTJUIL25!$A$6:$AM$42,8,0)</f>
        <v>1497.9202355970144</v>
      </c>
      <c r="I10" s="6">
        <f t="shared" si="1"/>
        <v>1014278.8854747546</v>
      </c>
      <c r="J10" s="36">
        <f>VLOOKUP($A10,[26]HISTOJUIL25!$A$6:$AQ$51,22,0)</f>
        <v>0</v>
      </c>
      <c r="K10" s="36">
        <f>VLOOKUP($A10,[26]HISTOJUIL25!$A$6:$AU$51,45,0)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VLOOKUP($A10,[26]HISTOJUIL25!$A$6:$AU$51,8,0)</f>
        <v>0</v>
      </c>
      <c r="Q10" s="36">
        <f>VLOOKUP($A10,[26]HISTOJUIL25!$A$6:$AU$51,23,0)</f>
        <v>0</v>
      </c>
      <c r="R10" s="36">
        <f>VLOOKUP($A10,[26]HISTOJUIL25!$A$6:$AU$51,46,0)</f>
        <v>0</v>
      </c>
      <c r="S10" s="36">
        <f>VLOOKUP($A10,[26]HISTOJUIL25!$A$6:$AU$51,26,0)</f>
        <v>0</v>
      </c>
      <c r="T10" s="36">
        <f>VLOOKUP($A10,[26]HISTOJUIL25!$A$6:$BG$51,58,0)</f>
        <v>0</v>
      </c>
      <c r="U10" s="36">
        <f>VLOOKUP($A10,[26]HISTOJUIL25!$A$6:$AU$51,28,0)</f>
        <v>0</v>
      </c>
      <c r="V10" s="36">
        <f>VLOOKUP($A10,[26]HISTOJUIL25!$A$6:$AU$51,19,0)</f>
        <v>0</v>
      </c>
      <c r="W10" s="36">
        <f>VLOOKUP($A10,[26]HISTOJUIL25!$A$6:$AU$51,20,0)</f>
        <v>0</v>
      </c>
      <c r="X10" s="36">
        <f>VLOOKUP($A10,[26]HISTOJUIL25!$A$6:$AU$51,27,0)</f>
        <v>0</v>
      </c>
      <c r="Y10" s="36">
        <f>VLOOKUP($A10,[26]HISTOJUIL25!$A$6:$BM$51,33,0)</f>
        <v>0</v>
      </c>
      <c r="Z10" s="36">
        <f>VLOOKUP($A10,[26]HISTOJUIL25!$A$6:$BM$51,64,0)</f>
        <v>0</v>
      </c>
      <c r="AA10" s="36"/>
      <c r="AB10" s="36">
        <f>VLOOKUP($A10,[26]HISTOJUIL25!$A$6:$AU$51,44,0)</f>
        <v>0</v>
      </c>
      <c r="AC10" s="36">
        <f>VLOOKUP($A10,[26]HISTOJUIL25!$A$6:$AU$51,43,0)</f>
        <v>0</v>
      </c>
      <c r="AD10" s="36">
        <f>VLOOKUP($A10,[26]HISTOJUIL25!$A$6:$BR$51,47,0)</f>
        <v>0</v>
      </c>
      <c r="AE10" s="36">
        <f>VLOOKUP(A10,[26]HISTOJUIL25!$A$6:$BR$51,54,0)</f>
        <v>0</v>
      </c>
      <c r="AF10" s="36">
        <f>VLOOKUP($A10,[26]HISTOJUIL25!$A$6:$BR$51,60,0)</f>
        <v>0</v>
      </c>
      <c r="AG10" s="36">
        <f>VLOOKUP($A10,[26]HISTOJUIL25!$A$6:$CB$51,61,0)</f>
        <v>0</v>
      </c>
      <c r="AH10" s="36">
        <f>VLOOKUP($A10,[26]HISTOJUIL25!$A$6:$CB$51,62,0)</f>
        <v>0</v>
      </c>
      <c r="AI10" s="36">
        <f>VLOOKUP($A10,[26]HISTOJUIL25!$A$6:$CB$51,63,0)</f>
        <v>0</v>
      </c>
      <c r="AJ10" s="36">
        <f>VLOOKUP($A10,[26]HISTOJUIL25!$A$6:$BR$51,64,0)</f>
        <v>0</v>
      </c>
      <c r="AK10" s="36">
        <f>VLOOKUP($A10,[26]HISTOJUIL25!$A$6:$BR$51,65,0)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VLOOKUP($A11,[26]HISTOJUIL25!$A$6:$BA$51,48,0)</f>
        <v>0</v>
      </c>
      <c r="F11" s="36">
        <f>VLOOKUP(A11,MVTJUIN25!A11:AM47,6,0)+MVTJUIN25!H11-E11+L11</f>
        <v>1001686.3236323221</v>
      </c>
      <c r="G11" s="5">
        <f>IF(MVTJUIL25!F11&gt;800000,(MVTJUIN25!I11-E11+L11),0)</f>
        <v>1001686.3236323221</v>
      </c>
      <c r="H11" s="36">
        <f>VLOOKUP(A11,[27]MVTJUIL25!$A$6:$AM$42,8,0)</f>
        <v>1481.5110723722189</v>
      </c>
      <c r="I11" s="6">
        <f t="shared" si="1"/>
        <v>1003167.8347046943</v>
      </c>
      <c r="J11" s="36">
        <f>VLOOKUP($A11,[26]HISTOJUIL25!$A$6:$AQ$51,22,0)</f>
        <v>0</v>
      </c>
      <c r="K11" s="36">
        <f>VLOOKUP($A11,[26]HISTOJUIL25!$A$6:$AU$51,45,0)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VLOOKUP($A11,[26]HISTOJUIL25!$A$6:$AU$51,8,0)</f>
        <v>0</v>
      </c>
      <c r="Q11" s="36">
        <f>VLOOKUP($A11,[26]HISTOJUIL25!$A$6:$AU$51,23,0)</f>
        <v>0</v>
      </c>
      <c r="R11" s="36">
        <f>VLOOKUP($A11,[26]HISTOJUIL25!$A$6:$AU$51,46,0)</f>
        <v>0</v>
      </c>
      <c r="S11" s="36">
        <f>VLOOKUP($A11,[26]HISTOJUIL25!$A$6:$AU$51,26,0)</f>
        <v>0</v>
      </c>
      <c r="T11" s="36">
        <f>VLOOKUP($A11,[26]HISTOJUIL25!$A$6:$BG$51,58,0)</f>
        <v>0</v>
      </c>
      <c r="U11" s="36">
        <f>VLOOKUP($A11,[26]HISTOJUIL25!$A$6:$AU$51,28,0)</f>
        <v>0</v>
      </c>
      <c r="V11" s="36">
        <f>VLOOKUP($A11,[26]HISTOJUIL25!$A$6:$AU$51,19,0)</f>
        <v>0</v>
      </c>
      <c r="W11" s="36">
        <f>VLOOKUP($A11,[26]HISTOJUIL25!$A$6:$AU$51,20,0)</f>
        <v>0</v>
      </c>
      <c r="X11" s="36">
        <f>VLOOKUP($A11,[26]HISTOJUIL25!$A$6:$AU$51,27,0)</f>
        <v>0</v>
      </c>
      <c r="Y11" s="36">
        <f>VLOOKUP($A11,[26]HISTOJUIL25!$A$6:$BM$51,33,0)</f>
        <v>0</v>
      </c>
      <c r="Z11" s="36">
        <f>VLOOKUP($A11,[26]HISTOJUIL25!$A$6:$BM$51,64,0)</f>
        <v>0</v>
      </c>
      <c r="AA11" s="36"/>
      <c r="AB11" s="36">
        <f>VLOOKUP($A11,[26]HISTOJUIL25!$A$6:$AU$51,44,0)</f>
        <v>0</v>
      </c>
      <c r="AC11" s="36">
        <f>VLOOKUP($A11,[26]HISTOJUIL25!$A$6:$AU$51,43,0)</f>
        <v>0</v>
      </c>
      <c r="AD11" s="36">
        <f>VLOOKUP($A11,[26]HISTOJUIL25!$A$6:$BR$51,47,0)</f>
        <v>0</v>
      </c>
      <c r="AE11" s="36">
        <f>VLOOKUP(A11,[26]HISTOJUIL25!$A$6:$BR$51,54,0)</f>
        <v>0</v>
      </c>
      <c r="AF11" s="36">
        <f>VLOOKUP($A11,[26]HISTOJUIL25!$A$6:$BR$51,60,0)</f>
        <v>0</v>
      </c>
      <c r="AG11" s="36">
        <f>VLOOKUP($A11,[26]HISTOJUIL25!$A$6:$CB$51,61,0)</f>
        <v>0</v>
      </c>
      <c r="AH11" s="36">
        <f>VLOOKUP($A11,[26]HISTOJUIL25!$A$6:$CB$51,62,0)</f>
        <v>0</v>
      </c>
      <c r="AI11" s="36">
        <f>VLOOKUP($A11,[26]HISTOJUIL25!$A$6:$CB$51,63,0)</f>
        <v>0</v>
      </c>
      <c r="AJ11" s="36">
        <f>VLOOKUP($A11,[26]HISTOJUIL25!$A$6:$BR$51,64,0)</f>
        <v>0</v>
      </c>
      <c r="AK11" s="36">
        <f>VLOOKUP($A11,[26]HISTOJUIL25!$A$6:$BR$51,65,0)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VLOOKUP($A12,[26]HISTOJUIL25!$A$6:$BA$51,48,0)</f>
        <v>0</v>
      </c>
      <c r="F12" s="36">
        <f>VLOOKUP(A12,MVTJUIN25!A12:AM48,6,0)+MVTJUIN25!H12-E12+L12</f>
        <v>1747799.1460248933</v>
      </c>
      <c r="G12" s="5">
        <f>IF(MVTJUIL25!F12&gt;800000,(MVTJUIN25!I12-E12+L12),0)</f>
        <v>1747799.1460248933</v>
      </c>
      <c r="H12" s="36">
        <f>VLOOKUP(A12,[27]MVTJUIL25!$A$6:$AM$42,8,0)</f>
        <v>2585.0245990470808</v>
      </c>
      <c r="I12" s="6">
        <f t="shared" si="1"/>
        <v>1750384.1706239404</v>
      </c>
      <c r="J12" s="36">
        <f>VLOOKUP($A12,[26]HISTOJUIL25!$A$6:$AQ$51,22,0)</f>
        <v>0</v>
      </c>
      <c r="K12" s="36">
        <f>VLOOKUP($A12,[26]HISTOJUIL25!$A$6:$AU$51,45,0)</f>
        <v>38500</v>
      </c>
      <c r="L12" s="36">
        <f t="shared" si="2"/>
        <v>32500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VLOOKUP($A12,[26]HISTOJUIL25!$A$6:$AU$51,8,0)</f>
        <v>0</v>
      </c>
      <c r="Q12" s="36">
        <f>VLOOKUP($A12,[26]HISTOJUIL25!$A$6:$AU$51,23,0)</f>
        <v>0</v>
      </c>
      <c r="R12" s="36">
        <f>VLOOKUP($A12,[26]HISTOJUIL25!$A$6:$AU$51,46,0)</f>
        <v>0</v>
      </c>
      <c r="S12" s="36">
        <f>VLOOKUP($A12,[26]HISTOJUIL25!$A$6:$AU$51,26,0)</f>
        <v>0</v>
      </c>
      <c r="T12" s="36">
        <f>VLOOKUP($A12,[26]HISTOJUIL25!$A$6:$BG$51,58,0)</f>
        <v>0</v>
      </c>
      <c r="U12" s="36">
        <f>VLOOKUP($A12,[26]HISTOJUIL25!$A$6:$AU$51,28,0)</f>
        <v>0</v>
      </c>
      <c r="V12" s="36">
        <f>VLOOKUP($A12,[26]HISTOJUIL25!$A$6:$AU$51,19,0)</f>
        <v>0</v>
      </c>
      <c r="W12" s="36">
        <f>VLOOKUP($A12,[26]HISTOJUIL25!$A$6:$AU$51,20,0)</f>
        <v>0</v>
      </c>
      <c r="X12" s="36">
        <f>VLOOKUP($A12,[26]HISTOJUIL25!$A$6:$AU$51,27,0)</f>
        <v>0</v>
      </c>
      <c r="Y12" s="36">
        <f>VLOOKUP($A12,[26]HISTOJUIL25!$A$6:$BM$51,33,0)</f>
        <v>0</v>
      </c>
      <c r="Z12" s="36">
        <f>VLOOKUP($A12,[26]HISTOJUIL25!$A$6:$BM$51,64,0)</f>
        <v>0</v>
      </c>
      <c r="AA12" s="36"/>
      <c r="AB12" s="36">
        <f>VLOOKUP($A12,[26]HISTOJUIL25!$A$6:$AU$51,44,0)</f>
        <v>0</v>
      </c>
      <c r="AC12" s="36">
        <f>VLOOKUP($A12,[26]HISTOJUIL25!$A$6:$AU$51,43,0)</f>
        <v>0</v>
      </c>
      <c r="AD12" s="36">
        <f>VLOOKUP($A12,[26]HISTOJUIL25!$A$6:$BR$51,47,0)</f>
        <v>0</v>
      </c>
      <c r="AE12" s="36">
        <f>VLOOKUP(A12,[26]HISTOJUIL25!$A$6:$BR$51,54,0)</f>
        <v>0</v>
      </c>
      <c r="AF12" s="36">
        <f>VLOOKUP($A12,[26]HISTOJUIL25!$A$6:$BR$51,60,0)</f>
        <v>0</v>
      </c>
      <c r="AG12" s="36">
        <f>VLOOKUP($A12,[26]HISTOJUIL25!$A$6:$CB$51,61,0)</f>
        <v>0</v>
      </c>
      <c r="AH12" s="36">
        <f>VLOOKUP($A12,[26]HISTOJUIL25!$A$6:$CB$51,62,0)</f>
        <v>0</v>
      </c>
      <c r="AI12" s="36">
        <f>VLOOKUP($A12,[26]HISTOJUIL25!$A$6:$CB$51,63,0)</f>
        <v>0</v>
      </c>
      <c r="AJ12" s="36">
        <f>VLOOKUP($A12,[26]HISTOJUIL25!$A$6:$BR$51,64,0)</f>
        <v>0</v>
      </c>
      <c r="AK12" s="36">
        <f>VLOOKUP($A12,[26]HISTOJUIL25!$A$6:$BR$51,65,0)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VLOOKUP($A13,[26]HISTOJUIL25!$A$6:$BA$51,48,0)</f>
        <v>0</v>
      </c>
      <c r="F13" s="36">
        <f>VLOOKUP(A13,MVTJUIN25!A13:AM49,6,0)+MVTJUIN25!H13-E13+L13</f>
        <v>1001662.4594980598</v>
      </c>
      <c r="G13" s="5">
        <f>IF(MVTJUIL25!F13&gt;800000,(MVTJUIN25!I13-E13+L13),0)</f>
        <v>1001662.4594980598</v>
      </c>
      <c r="H13" s="36">
        <f>VLOOKUP(A13,[27]MVTJUIL25!$A$6:$AM$42,8,0)</f>
        <v>1481.4757769126443</v>
      </c>
      <c r="I13" s="6">
        <f t="shared" si="1"/>
        <v>1003143.9352749725</v>
      </c>
      <c r="J13" s="36">
        <f>VLOOKUP($A13,[26]HISTOJUIL25!$A$6:$AQ$51,22,0)</f>
        <v>0</v>
      </c>
      <c r="K13" s="36">
        <f>VLOOKUP($A13,[26]HISTOJUIL25!$A$6:$AU$51,45,0)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VLOOKUP($A13,[26]HISTOJUIL25!$A$6:$AU$51,8,0)</f>
        <v>0</v>
      </c>
      <c r="Q13" s="36">
        <f>VLOOKUP($A13,[26]HISTOJUIL25!$A$6:$AU$51,23,0)</f>
        <v>0</v>
      </c>
      <c r="R13" s="36">
        <f>VLOOKUP($A13,[26]HISTOJUIL25!$A$6:$AU$51,46,0)</f>
        <v>0</v>
      </c>
      <c r="S13" s="36">
        <f>VLOOKUP($A13,[26]HISTOJUIL25!$A$6:$AU$51,26,0)</f>
        <v>0</v>
      </c>
      <c r="T13" s="36">
        <f>VLOOKUP($A13,[26]HISTOJUIL25!$A$6:$BG$51,58,0)</f>
        <v>0</v>
      </c>
      <c r="U13" s="36">
        <f>VLOOKUP($A13,[26]HISTOJUIL25!$A$6:$AU$51,28,0)</f>
        <v>0</v>
      </c>
      <c r="V13" s="36">
        <f>VLOOKUP($A13,[26]HISTOJUIL25!$A$6:$AU$51,19,0)</f>
        <v>0</v>
      </c>
      <c r="W13" s="36">
        <f>VLOOKUP($A13,[26]HISTOJUIL25!$A$6:$AU$51,20,0)</f>
        <v>0</v>
      </c>
      <c r="X13" s="36">
        <f>VLOOKUP($A13,[26]HISTOJUIL25!$A$6:$AU$51,27,0)</f>
        <v>0</v>
      </c>
      <c r="Y13" s="36">
        <f>VLOOKUP($A13,[26]HISTOJUIL25!$A$6:$BM$51,33,0)</f>
        <v>0</v>
      </c>
      <c r="Z13" s="36">
        <f>VLOOKUP($A13,[26]HISTOJUIL25!$A$6:$BM$51,64,0)</f>
        <v>0</v>
      </c>
      <c r="AA13" s="36"/>
      <c r="AB13" s="36">
        <f>VLOOKUP($A13,[26]HISTOJUIL25!$A$6:$AU$51,44,0)</f>
        <v>0</v>
      </c>
      <c r="AC13" s="36">
        <f>VLOOKUP($A13,[26]HISTOJUIL25!$A$6:$AU$51,43,0)</f>
        <v>0</v>
      </c>
      <c r="AD13" s="36">
        <f>VLOOKUP($A13,[26]HISTOJUIL25!$A$6:$BR$51,47,0)</f>
        <v>0</v>
      </c>
      <c r="AE13" s="36">
        <f>VLOOKUP(A13,[26]HISTOJUIL25!$A$6:$BR$51,54,0)</f>
        <v>0</v>
      </c>
      <c r="AF13" s="36">
        <f>VLOOKUP($A13,[26]HISTOJUIL25!$A$6:$BR$51,60,0)</f>
        <v>0</v>
      </c>
      <c r="AG13" s="36">
        <f>VLOOKUP($A13,[26]HISTOJUIL25!$A$6:$CB$51,61,0)</f>
        <v>0</v>
      </c>
      <c r="AH13" s="36">
        <f>VLOOKUP($A13,[26]HISTOJUIL25!$A$6:$CB$51,62,0)</f>
        <v>0</v>
      </c>
      <c r="AI13" s="36">
        <f>VLOOKUP($A13,[26]HISTOJUIL25!$A$6:$CB$51,63,0)</f>
        <v>0</v>
      </c>
      <c r="AJ13" s="36">
        <f>VLOOKUP($A13,[26]HISTOJUIL25!$A$6:$BR$51,64,0)</f>
        <v>0</v>
      </c>
      <c r="AK13" s="36">
        <f>VLOOKUP($A13,[26]HISTOJUIL25!$A$6:$BR$51,65,0)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VLOOKUP($A14,[26]HISTOJUIL25!$A$6:$BA$51,48,0)</f>
        <v>0</v>
      </c>
      <c r="F14" s="36">
        <f>VLOOKUP(A14,MVTJUIN25!A14:AM50,6,0)+MVTJUIN25!H14-E14+L14</f>
        <v>1750285.27611277</v>
      </c>
      <c r="G14" s="5">
        <f>IF(MVTJUIL25!F14&gt;800000,(MVTJUIN25!I14-E14+L14),0)</f>
        <v>1750285.27611277</v>
      </c>
      <c r="H14" s="36">
        <f>VLOOKUP(A14,[27]MVTJUIL25!$A$6:$AM$42,8,0)</f>
        <v>2588.7016276394161</v>
      </c>
      <c r="I14" s="6">
        <f t="shared" si="1"/>
        <v>1752873.9777404093</v>
      </c>
      <c r="J14" s="36">
        <f>VLOOKUP($A14,[26]HISTOJUIL25!$A$6:$AQ$51,22,0)</f>
        <v>0</v>
      </c>
      <c r="K14" s="36">
        <f>VLOOKUP($A14,[26]HISTOJUIL25!$A$6:$AU$51,45,0)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VLOOKUP($A14,[26]HISTOJUIL25!$A$6:$AU$51,8,0)</f>
        <v>0</v>
      </c>
      <c r="Q14" s="36">
        <f>VLOOKUP($A14,[26]HISTOJUIL25!$A$6:$AU$51,23,0)</f>
        <v>0</v>
      </c>
      <c r="R14" s="36">
        <f>VLOOKUP($A14,[26]HISTOJUIL25!$A$6:$AU$51,46,0)</f>
        <v>0</v>
      </c>
      <c r="S14" s="36">
        <f>VLOOKUP($A14,[26]HISTOJUIL25!$A$6:$AU$51,26,0)</f>
        <v>0</v>
      </c>
      <c r="T14" s="36">
        <f>VLOOKUP($A14,[26]HISTOJUIL25!$A$6:$BG$51,58,0)</f>
        <v>0</v>
      </c>
      <c r="U14" s="36">
        <f>VLOOKUP($A14,[26]HISTOJUIL25!$A$6:$AU$51,28,0)</f>
        <v>0</v>
      </c>
      <c r="V14" s="36">
        <f>VLOOKUP($A14,[26]HISTOJUIL25!$A$6:$AU$51,19,0)</f>
        <v>0</v>
      </c>
      <c r="W14" s="36">
        <f>VLOOKUP($A14,[26]HISTOJUIL25!$A$6:$AU$51,20,0)</f>
        <v>0</v>
      </c>
      <c r="X14" s="36">
        <f>VLOOKUP($A14,[26]HISTOJUIL25!$A$6:$AU$51,27,0)</f>
        <v>0</v>
      </c>
      <c r="Y14" s="36">
        <f>VLOOKUP($A14,[26]HISTOJUIL25!$A$6:$BM$51,33,0)</f>
        <v>0</v>
      </c>
      <c r="Z14" s="36">
        <f>VLOOKUP($A14,[26]HISTOJUIL25!$A$6:$BM$51,64,0)</f>
        <v>0</v>
      </c>
      <c r="AA14" s="36"/>
      <c r="AB14" s="36">
        <f>VLOOKUP($A14,[26]HISTOJUIL25!$A$6:$AU$51,44,0)</f>
        <v>0</v>
      </c>
      <c r="AC14" s="36">
        <f>VLOOKUP($A14,[26]HISTOJUIL25!$A$6:$AU$51,43,0)</f>
        <v>0</v>
      </c>
      <c r="AD14" s="36">
        <f>VLOOKUP($A14,[26]HISTOJUIL25!$A$6:$BR$51,47,0)</f>
        <v>0</v>
      </c>
      <c r="AE14" s="36">
        <f>VLOOKUP(A14,[26]HISTOJUIL25!$A$6:$BR$51,54,0)</f>
        <v>0</v>
      </c>
      <c r="AF14" s="36">
        <f>VLOOKUP($A14,[26]HISTOJUIL25!$A$6:$BR$51,60,0)</f>
        <v>0</v>
      </c>
      <c r="AG14" s="36">
        <f>VLOOKUP($A14,[26]HISTOJUIL25!$A$6:$CB$51,61,0)</f>
        <v>0</v>
      </c>
      <c r="AH14" s="36">
        <f>VLOOKUP($A14,[26]HISTOJUIL25!$A$6:$CB$51,62,0)</f>
        <v>0</v>
      </c>
      <c r="AI14" s="36">
        <f>VLOOKUP($A14,[26]HISTOJUIL25!$A$6:$CB$51,63,0)</f>
        <v>100000</v>
      </c>
      <c r="AJ14" s="36">
        <f>VLOOKUP($A14,[26]HISTOJUIL25!$A$6:$BR$51,64,0)</f>
        <v>0</v>
      </c>
      <c r="AK14" s="36">
        <f>VLOOKUP($A14,[26]HISTOJUIL25!$A$6:$BR$51,65,0)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VLOOKUP($A15,[26]HISTOJUIL25!$A$6:$BA$51,48,0)</f>
        <v>0</v>
      </c>
      <c r="F15" s="36">
        <f>VLOOKUP(A15,MVTJUIN25!A15:AM51,6,0)+MVTJUIN25!H15-E15+L15</f>
        <v>133000</v>
      </c>
      <c r="G15" s="5">
        <f>IF(MVTJUIL25!F15&gt;800000,(MVTJUIN25!I15-E15+L15),0)</f>
        <v>0</v>
      </c>
      <c r="H15" s="36">
        <f>VLOOKUP(A15,[27]MVTJUIL25!$A$6:$AM$42,8,0)</f>
        <v>0</v>
      </c>
      <c r="I15" s="6">
        <f t="shared" si="1"/>
        <v>133000</v>
      </c>
      <c r="J15" s="36">
        <f>VLOOKUP($A15,[26]HISTOJUIL25!$A$6:$AQ$51,22,0)</f>
        <v>0</v>
      </c>
      <c r="K15" s="36">
        <f>VLOOKUP($A15,[26]HISTOJUIL25!$A$6:$AU$51,45,0)</f>
        <v>25000</v>
      </c>
      <c r="L15" s="36">
        <f t="shared" si="2"/>
        <v>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VLOOKUP($A15,[26]HISTOJUIL25!$A$6:$AU$51,8,0)</f>
        <v>0</v>
      </c>
      <c r="Q15" s="36">
        <f>VLOOKUP($A15,[26]HISTOJUIL25!$A$6:$AU$51,23,0)</f>
        <v>0</v>
      </c>
      <c r="R15" s="36">
        <f>VLOOKUP($A15,[26]HISTOJUIL25!$A$6:$AU$51,46,0)</f>
        <v>0</v>
      </c>
      <c r="S15" s="36">
        <f>VLOOKUP($A15,[26]HISTOJUIL25!$A$6:$AU$51,26,0)</f>
        <v>0</v>
      </c>
      <c r="T15" s="36">
        <f>VLOOKUP($A15,[26]HISTOJUIL25!$A$6:$BG$51,58,0)</f>
        <v>0</v>
      </c>
      <c r="U15" s="36">
        <f>VLOOKUP($A15,[26]HISTOJUIL25!$A$6:$AU$51,28,0)</f>
        <v>0</v>
      </c>
      <c r="V15" s="36">
        <f>VLOOKUP($A15,[26]HISTOJUIL25!$A$6:$AU$51,19,0)</f>
        <v>0</v>
      </c>
      <c r="W15" s="36">
        <f>VLOOKUP($A15,[26]HISTOJUIL25!$A$6:$AU$51,20,0)</f>
        <v>0</v>
      </c>
      <c r="X15" s="36">
        <f>VLOOKUP($A15,[26]HISTOJUIL25!$A$6:$AU$51,27,0)</f>
        <v>0</v>
      </c>
      <c r="Y15" s="36">
        <f>VLOOKUP($A15,[26]HISTOJUIL25!$A$6:$BM$51,33,0)</f>
        <v>0</v>
      </c>
      <c r="Z15" s="36">
        <f>VLOOKUP($A15,[26]HISTOJUIL25!$A$6:$BM$51,64,0)</f>
        <v>0</v>
      </c>
      <c r="AA15" s="36"/>
      <c r="AB15" s="36">
        <f>VLOOKUP($A15,[26]HISTOJUIL25!$A$6:$AU$51,44,0)</f>
        <v>0</v>
      </c>
      <c r="AC15" s="36">
        <f>VLOOKUP($A15,[26]HISTOJUIL25!$A$6:$AU$51,43,0)</f>
        <v>0</v>
      </c>
      <c r="AD15" s="36">
        <f>VLOOKUP($A15,[26]HISTOJUIL25!$A$6:$BR$51,47,0)</f>
        <v>0</v>
      </c>
      <c r="AE15" s="36">
        <f>VLOOKUP(A15,[26]HISTOJUIL25!$A$6:$BR$51,54,0)</f>
        <v>0</v>
      </c>
      <c r="AF15" s="36">
        <f>VLOOKUP($A15,[26]HISTOJUIL25!$A$6:$BR$51,60,0)</f>
        <v>0</v>
      </c>
      <c r="AG15" s="36">
        <f>VLOOKUP($A15,[26]HISTOJUIL25!$A$6:$CB$51,61,0)</f>
        <v>0</v>
      </c>
      <c r="AH15" s="36">
        <f>VLOOKUP($A15,[26]HISTOJUIL25!$A$6:$CB$51,62,0)</f>
        <v>0</v>
      </c>
      <c r="AI15" s="36">
        <f>VLOOKUP($A15,[26]HISTOJUIL25!$A$6:$CB$51,63,0)</f>
        <v>0</v>
      </c>
      <c r="AJ15" s="36">
        <f>VLOOKUP($A15,[26]HISTOJUIL25!$A$6:$BR$51,64,0)</f>
        <v>0</v>
      </c>
      <c r="AK15" s="36">
        <f>VLOOKUP($A15,[26]HISTOJUIL25!$A$6:$BR$51,65,0)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VLOOKUP($A16,[26]HISTOJUIL25!$A$6:$BA$51,48,0)</f>
        <v>0</v>
      </c>
      <c r="F16" s="36">
        <f>VLOOKUP(A16,MVTJUIN25!A16:AM52,6,0)+MVTJUIN25!H16-E16+L16</f>
        <v>997483.55872805929</v>
      </c>
      <c r="G16" s="5">
        <f>IF(MVTJUIL25!F16&gt;800000,(MVTJUIN25!I16-E16+L16),0)</f>
        <v>997483.55872805929</v>
      </c>
      <c r="H16" s="36">
        <f>VLOOKUP(A16,[27]MVTJUIL25!$A$6:$AM$42,8,0)</f>
        <v>1475.2951117532655</v>
      </c>
      <c r="I16" s="6">
        <f t="shared" si="1"/>
        <v>998958.85383981257</v>
      </c>
      <c r="J16" s="36">
        <f>VLOOKUP($A16,[26]HISTOJUIL25!$A$6:$AQ$51,22,0)</f>
        <v>0</v>
      </c>
      <c r="K16" s="36">
        <f>VLOOKUP($A16,[26]HISTOJUIL25!$A$6:$AU$51,45,0)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VLOOKUP($A16,[26]HISTOJUIL25!$A$6:$AU$51,8,0)</f>
        <v>0</v>
      </c>
      <c r="Q16" s="36">
        <f>VLOOKUP($A16,[26]HISTOJUIL25!$A$6:$AU$51,23,0)</f>
        <v>0</v>
      </c>
      <c r="R16" s="36">
        <f>VLOOKUP($A16,[26]HISTOJUIL25!$A$6:$AU$51,46,0)</f>
        <v>0</v>
      </c>
      <c r="S16" s="36">
        <f>VLOOKUP($A16,[26]HISTOJUIL25!$A$6:$AU$51,26,0)</f>
        <v>0</v>
      </c>
      <c r="T16" s="36">
        <f>VLOOKUP($A16,[26]HISTOJUIL25!$A$6:$BG$51,58,0)</f>
        <v>0</v>
      </c>
      <c r="U16" s="36">
        <f>VLOOKUP($A16,[26]HISTOJUIL25!$A$6:$AU$51,28,0)</f>
        <v>0</v>
      </c>
      <c r="V16" s="36">
        <f>VLOOKUP($A16,[26]HISTOJUIL25!$A$6:$AU$51,19,0)</f>
        <v>0</v>
      </c>
      <c r="W16" s="36">
        <f>VLOOKUP($A16,[26]HISTOJUIL25!$A$6:$AU$51,20,0)</f>
        <v>0</v>
      </c>
      <c r="X16" s="36">
        <f>VLOOKUP($A16,[26]HISTOJUIL25!$A$6:$AU$51,27,0)</f>
        <v>0</v>
      </c>
      <c r="Y16" s="36">
        <f>VLOOKUP($A16,[26]HISTOJUIL25!$A$6:$BM$51,33,0)</f>
        <v>0</v>
      </c>
      <c r="Z16" s="36">
        <f>VLOOKUP($A16,[26]HISTOJUIL25!$A$6:$BM$51,64,0)</f>
        <v>0</v>
      </c>
      <c r="AA16" s="36"/>
      <c r="AB16" s="36">
        <f>VLOOKUP($A16,[26]HISTOJUIL25!$A$6:$AU$51,44,0)</f>
        <v>0</v>
      </c>
      <c r="AC16" s="36">
        <f>VLOOKUP($A16,[26]HISTOJUIL25!$A$6:$AU$51,43,0)</f>
        <v>0</v>
      </c>
      <c r="AD16" s="36">
        <f>VLOOKUP($A16,[26]HISTOJUIL25!$A$6:$BR$51,47,0)</f>
        <v>0</v>
      </c>
      <c r="AE16" s="36">
        <f>VLOOKUP(A16,[26]HISTOJUIL25!$A$6:$BR$51,54,0)</f>
        <v>0</v>
      </c>
      <c r="AF16" s="36">
        <f>VLOOKUP($A16,[26]HISTOJUIL25!$A$6:$BR$51,60,0)</f>
        <v>0</v>
      </c>
      <c r="AG16" s="36">
        <f>VLOOKUP($A16,[26]HISTOJUIL25!$A$6:$CB$51,61,0)</f>
        <v>0</v>
      </c>
      <c r="AH16" s="36">
        <f>VLOOKUP($A16,[26]HISTOJUIL25!$A$6:$CB$51,62,0)</f>
        <v>0</v>
      </c>
      <c r="AI16" s="36">
        <f>VLOOKUP($A16,[26]HISTOJUIL25!$A$6:$CB$51,63,0)</f>
        <v>0</v>
      </c>
      <c r="AJ16" s="36">
        <f>VLOOKUP($A16,[26]HISTOJUIL25!$A$6:$BR$51,64,0)</f>
        <v>0</v>
      </c>
      <c r="AK16" s="36">
        <f>VLOOKUP($A16,[26]HISTOJUIL25!$A$6:$BR$51,65,0)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VLOOKUP($A17,[26]HISTOJUIL25!$A$6:$BA$51,48,0)</f>
        <v>0</v>
      </c>
      <c r="F17" s="36">
        <f>VLOOKUP(A17,MVTJUIN25!A17:AM53,6,0)+MVTJUIN25!H17-E17+L17</f>
        <v>1173635.6358595681</v>
      </c>
      <c r="G17" s="5">
        <f>IF(MVTJUIL25!F17&gt;800000,(MVTJUIN25!I17-E17+L17),0)</f>
        <v>1173635.6358595681</v>
      </c>
      <c r="H17" s="36">
        <f>VLOOKUP(A17,[27]MVTJUIL25!$A$6:$AM$42,8,0)</f>
        <v>1735.8270233255025</v>
      </c>
      <c r="I17" s="6">
        <f t="shared" si="1"/>
        <v>1175371.4628828936</v>
      </c>
      <c r="J17" s="36">
        <f>VLOOKUP($A17,[26]HISTOJUIL25!$A$6:$AQ$51,22,0)</f>
        <v>0</v>
      </c>
      <c r="K17" s="36">
        <f>VLOOKUP($A17,[26]HISTOJUIL25!$A$6:$AU$51,45,0)</f>
        <v>39500</v>
      </c>
      <c r="L17" s="36">
        <f t="shared" si="2"/>
        <v>33500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VLOOKUP($A17,[26]HISTOJUIL25!$A$6:$AU$51,8,0)</f>
        <v>0</v>
      </c>
      <c r="Q17" s="36">
        <f>VLOOKUP($A17,[26]HISTOJUIL25!$A$6:$AU$51,23,0)</f>
        <v>0</v>
      </c>
      <c r="R17" s="36">
        <f>VLOOKUP($A17,[26]HISTOJUIL25!$A$6:$AU$51,46,0)</f>
        <v>0</v>
      </c>
      <c r="S17" s="36">
        <f>VLOOKUP($A17,[26]HISTOJUIL25!$A$6:$AU$51,26,0)</f>
        <v>500000</v>
      </c>
      <c r="T17" s="36">
        <f>VLOOKUP($A17,[26]HISTOJUIL25!$A$6:$BG$51,58,0)</f>
        <v>15000</v>
      </c>
      <c r="U17" s="36">
        <f>VLOOKUP($A17,[26]HISTOJUIL25!$A$6:$AU$51,28,0)</f>
        <v>0</v>
      </c>
      <c r="V17" s="36">
        <f>VLOOKUP($A17,[26]HISTOJUIL25!$A$6:$AU$51,19,0)</f>
        <v>0</v>
      </c>
      <c r="W17" s="36">
        <f>VLOOKUP($A17,[26]HISTOJUIL25!$A$6:$AU$51,20,0)</f>
        <v>0</v>
      </c>
      <c r="X17" s="36">
        <f>VLOOKUP($A17,[26]HISTOJUIL25!$A$6:$AU$51,27,0)</f>
        <v>0</v>
      </c>
      <c r="Y17" s="36">
        <f>VLOOKUP($A17,[26]HISTOJUIL25!$A$6:$BM$51,33,0)</f>
        <v>0</v>
      </c>
      <c r="Z17" s="36">
        <f>VLOOKUP($A17,[26]HISTOJUIL25!$A$6:$BM$51,64,0)</f>
        <v>0</v>
      </c>
      <c r="AA17" s="36"/>
      <c r="AB17" s="36">
        <f>VLOOKUP($A17,[26]HISTOJUIL25!$A$6:$AU$51,44,0)</f>
        <v>0</v>
      </c>
      <c r="AC17" s="36">
        <f>VLOOKUP($A17,[26]HISTOJUIL25!$A$6:$AU$51,43,0)</f>
        <v>0</v>
      </c>
      <c r="AD17" s="36">
        <f>VLOOKUP($A17,[26]HISTOJUIL25!$A$6:$BR$51,47,0)</f>
        <v>0</v>
      </c>
      <c r="AE17" s="36">
        <f>VLOOKUP(A17,[26]HISTOJUIL25!$A$6:$BR$51,54,0)</f>
        <v>0</v>
      </c>
      <c r="AF17" s="36">
        <f>VLOOKUP($A17,[26]HISTOJUIL25!$A$6:$BR$51,60,0)</f>
        <v>0</v>
      </c>
      <c r="AG17" s="36">
        <f>VLOOKUP($A17,[26]HISTOJUIL25!$A$6:$CB$51,61,0)</f>
        <v>0</v>
      </c>
      <c r="AH17" s="36">
        <f>VLOOKUP($A17,[26]HISTOJUIL25!$A$6:$CB$51,62,0)</f>
        <v>0</v>
      </c>
      <c r="AI17" s="36">
        <f>VLOOKUP($A17,[26]HISTOJUIL25!$A$6:$CB$51,63,0)</f>
        <v>0</v>
      </c>
      <c r="AJ17" s="36">
        <f>VLOOKUP($A17,[26]HISTOJUIL25!$A$6:$BR$51,64,0)</f>
        <v>0</v>
      </c>
      <c r="AK17" s="36">
        <f>VLOOKUP($A17,[26]HISTOJUIL25!$A$6:$BR$51,65,0)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VLOOKUP($A18,[26]HISTOJUIL25!$A$6:$BA$51,48,0)</f>
        <v>0</v>
      </c>
      <c r="F18" s="36">
        <f>VLOOKUP(A18,MVTJUIN25!A18:AM54,6,0)+MVTJUIN25!H18-E18+L18</f>
        <v>1001649.5526902692</v>
      </c>
      <c r="G18" s="5">
        <f>IF(MVTJUIL25!F18&gt;800000,(MVTJUIN25!I18-E18+L18),0)</f>
        <v>1001649.5526902692</v>
      </c>
      <c r="H18" s="36">
        <f>VLOOKUP(A18,[27]MVTJUIL25!$A$6:$AM$42,8,0)</f>
        <v>1481.456687524879</v>
      </c>
      <c r="I18" s="6">
        <f t="shared" si="1"/>
        <v>1003131.0093777941</v>
      </c>
      <c r="J18" s="36">
        <f>VLOOKUP($A18,[26]HISTOJUIL25!$A$6:$AQ$51,22,0)</f>
        <v>0</v>
      </c>
      <c r="K18" s="36">
        <f>VLOOKUP($A18,[26]HISTOJUIL25!$A$6:$AU$51,45,0)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VLOOKUP($A18,[26]HISTOJUIL25!$A$6:$AU$51,8,0)</f>
        <v>0</v>
      </c>
      <c r="Q18" s="36">
        <f>VLOOKUP($A18,[26]HISTOJUIL25!$A$6:$AU$51,23,0)</f>
        <v>0</v>
      </c>
      <c r="R18" s="36">
        <f>VLOOKUP($A18,[26]HISTOJUIL25!$A$6:$AU$51,46,0)</f>
        <v>0</v>
      </c>
      <c r="S18" s="36">
        <f>VLOOKUP($A18,[26]HISTOJUIL25!$A$6:$AU$51,26,0)</f>
        <v>500000</v>
      </c>
      <c r="T18" s="36">
        <f>VLOOKUP($A18,[26]HISTOJUIL25!$A$6:$BG$51,58,0)</f>
        <v>25000</v>
      </c>
      <c r="U18" s="36">
        <f>VLOOKUP($A18,[26]HISTOJUIL25!$A$6:$AU$51,28,0)</f>
        <v>0</v>
      </c>
      <c r="V18" s="36">
        <f>VLOOKUP($A18,[26]HISTOJUIL25!$A$6:$AU$51,19,0)</f>
        <v>500000</v>
      </c>
      <c r="W18" s="36">
        <f>VLOOKUP($A18,[26]HISTOJUIL25!$A$6:$AU$51,20,0)</f>
        <v>0</v>
      </c>
      <c r="X18" s="36">
        <f>VLOOKUP($A18,[26]HISTOJUIL25!$A$6:$AU$51,27,0)</f>
        <v>0</v>
      </c>
      <c r="Y18" s="36">
        <f>VLOOKUP($A18,[26]HISTOJUIL25!$A$6:$BM$51,33,0)</f>
        <v>0</v>
      </c>
      <c r="Z18" s="36">
        <f>VLOOKUP($A18,[26]HISTOJUIL25!$A$6:$BM$51,64,0)</f>
        <v>0</v>
      </c>
      <c r="AA18" s="36"/>
      <c r="AB18" s="36">
        <f>VLOOKUP($A18,[26]HISTOJUIL25!$A$6:$AU$51,44,0)</f>
        <v>0</v>
      </c>
      <c r="AC18" s="36">
        <f>VLOOKUP($A18,[26]HISTOJUIL25!$A$6:$AU$51,43,0)</f>
        <v>0</v>
      </c>
      <c r="AD18" s="36">
        <f>VLOOKUP($A18,[26]HISTOJUIL25!$A$6:$BR$51,47,0)</f>
        <v>0</v>
      </c>
      <c r="AE18" s="36">
        <f>VLOOKUP(A18,[26]HISTOJUIL25!$A$6:$BR$51,54,0)</f>
        <v>0</v>
      </c>
      <c r="AF18" s="36">
        <f>VLOOKUP($A18,[26]HISTOJUIL25!$A$6:$BR$51,60,0)</f>
        <v>0</v>
      </c>
      <c r="AG18" s="36">
        <f>VLOOKUP($A18,[26]HISTOJUIL25!$A$6:$CB$51,61,0)</f>
        <v>0</v>
      </c>
      <c r="AH18" s="36">
        <f>VLOOKUP($A18,[26]HISTOJUIL25!$A$6:$CB$51,62,0)</f>
        <v>0</v>
      </c>
      <c r="AI18" s="36">
        <f>VLOOKUP($A18,[26]HISTOJUIL25!$A$6:$CB$51,63,0)</f>
        <v>0</v>
      </c>
      <c r="AJ18" s="36">
        <f>VLOOKUP($A18,[26]HISTOJUIL25!$A$6:$BR$51,64,0)</f>
        <v>0</v>
      </c>
      <c r="AK18" s="36">
        <f>VLOOKUP($A18,[26]HISTOJUIL25!$A$6:$BR$51,65,0)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VLOOKUP($A19,[26]HISTOJUIL25!$A$6:$BA$51,48,0)</f>
        <v>0</v>
      </c>
      <c r="F19" s="36">
        <f>VLOOKUP(A19,MVTJUIN25!A19:AM55,6,0)+MVTJUIN25!H19-E19+L19</f>
        <v>1064720.7547244395</v>
      </c>
      <c r="G19" s="5">
        <f>IF(MVTJUIL25!F19&gt;800000,(MVTJUIN25!I19-E19+L19),0)</f>
        <v>1064720.7547244395</v>
      </c>
      <c r="H19" s="36">
        <f>VLOOKUP(A19,[27]MVTJUIL25!$A$6:$AM$42,8,0)</f>
        <v>1574.7400657211724</v>
      </c>
      <c r="I19" s="6">
        <f t="shared" si="1"/>
        <v>1066295.4947901606</v>
      </c>
      <c r="J19" s="36">
        <f>VLOOKUP($A19,[26]HISTOJUIL25!$A$6:$AQ$51,22,0)</f>
        <v>0</v>
      </c>
      <c r="K19" s="36">
        <f>VLOOKUP($A19,[26]HISTOJUIL25!$A$6:$AU$51,45,0)</f>
        <v>34000</v>
      </c>
      <c r="L19" s="36">
        <f t="shared" si="2"/>
        <v>28000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VLOOKUP($A19,[26]HISTOJUIL25!$A$6:$AU$51,8,0)</f>
        <v>0</v>
      </c>
      <c r="Q19" s="36">
        <f>VLOOKUP($A19,[26]HISTOJUIL25!$A$6:$AU$51,23,0)</f>
        <v>0</v>
      </c>
      <c r="R19" s="36">
        <f>VLOOKUP($A19,[26]HISTOJUIL25!$A$6:$AU$51,46,0)</f>
        <v>0</v>
      </c>
      <c r="S19" s="36">
        <f>VLOOKUP($A19,[26]HISTOJUIL25!$A$6:$AU$51,26,0)</f>
        <v>0</v>
      </c>
      <c r="T19" s="36">
        <f>VLOOKUP($A19,[26]HISTOJUIL25!$A$6:$BG$51,58,0)</f>
        <v>0</v>
      </c>
      <c r="U19" s="36">
        <f>VLOOKUP($A19,[26]HISTOJUIL25!$A$6:$AU$51,28,0)</f>
        <v>0</v>
      </c>
      <c r="V19" s="36">
        <f>VLOOKUP($A19,[26]HISTOJUIL25!$A$6:$AU$51,19,0)</f>
        <v>0</v>
      </c>
      <c r="W19" s="36">
        <f>VLOOKUP($A19,[26]HISTOJUIL25!$A$6:$AU$51,20,0)</f>
        <v>0</v>
      </c>
      <c r="X19" s="36">
        <f>VLOOKUP($A19,[26]HISTOJUIL25!$A$6:$AU$51,27,0)</f>
        <v>0</v>
      </c>
      <c r="Y19" s="36">
        <f>VLOOKUP($A19,[26]HISTOJUIL25!$A$6:$BM$51,33,0)</f>
        <v>0</v>
      </c>
      <c r="Z19" s="36">
        <f>VLOOKUP($A19,[26]HISTOJUIL25!$A$6:$BM$51,64,0)</f>
        <v>0</v>
      </c>
      <c r="AA19" s="36"/>
      <c r="AB19" s="36">
        <f>VLOOKUP($A19,[26]HISTOJUIL25!$A$6:$AU$51,44,0)</f>
        <v>0</v>
      </c>
      <c r="AC19" s="36">
        <f>VLOOKUP($A19,[26]HISTOJUIL25!$A$6:$AU$51,43,0)</f>
        <v>0</v>
      </c>
      <c r="AD19" s="36">
        <f>VLOOKUP($A19,[26]HISTOJUIL25!$A$6:$BR$51,47,0)</f>
        <v>0</v>
      </c>
      <c r="AE19" s="36">
        <f>VLOOKUP(A19,[26]HISTOJUIL25!$A$6:$BR$51,54,0)</f>
        <v>0</v>
      </c>
      <c r="AF19" s="36">
        <f>VLOOKUP($A19,[26]HISTOJUIL25!$A$6:$BR$51,60,0)</f>
        <v>0</v>
      </c>
      <c r="AG19" s="36">
        <f>VLOOKUP($A19,[26]HISTOJUIL25!$A$6:$CB$51,61,0)</f>
        <v>0</v>
      </c>
      <c r="AH19" s="36">
        <f>VLOOKUP($A19,[26]HISTOJUIL25!$A$6:$CB$51,62,0)</f>
        <v>0</v>
      </c>
      <c r="AI19" s="36">
        <f>VLOOKUP($A19,[26]HISTOJUIL25!$A$6:$CB$51,63,0)</f>
        <v>0</v>
      </c>
      <c r="AJ19" s="36">
        <f>VLOOKUP($A19,[26]HISTOJUIL25!$A$6:$BR$51,64,0)</f>
        <v>0</v>
      </c>
      <c r="AK19" s="36">
        <f>VLOOKUP($A19,[26]HISTOJUIL25!$A$6:$BR$51,65,0)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VLOOKUP($A20,[26]HISTOJUIL25!$A$6:$BA$51,48,0)</f>
        <v>0</v>
      </c>
      <c r="F20" s="36">
        <f>VLOOKUP(A20,MVTJUIN25!A20:AM56,6,0)+MVTJUIN25!H20-E20+L20</f>
        <v>350000</v>
      </c>
      <c r="G20" s="5">
        <f>IF(MVTJUIL25!F20&gt;800000,(MVTJUIN25!I20-E20+L20),0)</f>
        <v>0</v>
      </c>
      <c r="H20" s="36">
        <f>VLOOKUP(A20,[27]MVTJUIL25!$A$6:$AM$42,8,0)</f>
        <v>0</v>
      </c>
      <c r="I20" s="6">
        <f t="shared" ref="I20" si="5">F20+H20</f>
        <v>350000</v>
      </c>
      <c r="J20" s="36">
        <f>VLOOKUP($A20,[26]HISTOJUIL25!$A$6:$AQ$51,22,0)</f>
        <v>0</v>
      </c>
      <c r="K20" s="36">
        <f>VLOOKUP($A20,[26]HISTOJUIL25!$A$6:$AU$51,45,0)</f>
        <v>0</v>
      </c>
      <c r="L20" s="36">
        <f>IF(K20=0,0,K20-(M20+N20+O20))+50000</f>
        <v>50000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VLOOKUP($A20,[26]HISTOJUIL25!$A$6:$AU$51,8,0)</f>
        <v>0</v>
      </c>
      <c r="Q20" s="36">
        <f>VLOOKUP($A20,[26]HISTOJUIL25!$A$6:$AU$51,23,0)</f>
        <v>0</v>
      </c>
      <c r="R20" s="36">
        <f>VLOOKUP($A20,[26]HISTOJUIL25!$A$6:$AU$51,46,0)</f>
        <v>0</v>
      </c>
      <c r="S20" s="36">
        <f>VLOOKUP($A20,[26]HISTOJUIL25!$A$6:$AU$51,26,0)</f>
        <v>0</v>
      </c>
      <c r="T20" s="36">
        <f>VLOOKUP($A20,[26]HISTOJUIL25!$A$6:$BG$51,58,0)</f>
        <v>0</v>
      </c>
      <c r="U20" s="36">
        <f>VLOOKUP($A20,[26]HISTOJUIL25!$A$6:$AU$51,28,0)</f>
        <v>0</v>
      </c>
      <c r="V20" s="36">
        <f>VLOOKUP($A20,[26]HISTOJUIL25!$A$6:$AU$51,19,0)</f>
        <v>0</v>
      </c>
      <c r="W20" s="36">
        <f>VLOOKUP($A20,[26]HISTOJUIL25!$A$6:$AU$51,20,0)</f>
        <v>0</v>
      </c>
      <c r="X20" s="36">
        <f>VLOOKUP($A20,[26]HISTOJUIL25!$A$6:$AU$51,27,0)</f>
        <v>0</v>
      </c>
      <c r="Y20" s="36">
        <f>VLOOKUP($A20,[26]HISTOJUIL25!$A$6:$BM$51,33,0)</f>
        <v>0</v>
      </c>
      <c r="Z20" s="36">
        <f>VLOOKUP($A20,[26]HISTOJUIL25!$A$6:$BM$51,64,0)</f>
        <v>0</v>
      </c>
      <c r="AA20" s="36"/>
      <c r="AB20" s="36">
        <f>VLOOKUP($A20,[26]HISTOJUIL25!$A$6:$AU$51,44,0)</f>
        <v>0</v>
      </c>
      <c r="AC20" s="36">
        <f>VLOOKUP($A20,[26]HISTOJUIL25!$A$6:$AU$51,43,0)</f>
        <v>0</v>
      </c>
      <c r="AD20" s="36">
        <f>VLOOKUP($A20,[26]HISTOJUIL25!$A$6:$BR$51,47,0)</f>
        <v>0</v>
      </c>
      <c r="AE20" s="36">
        <f>VLOOKUP(A20,[26]HISTOJUIL25!$A$6:$BR$51,54,0)</f>
        <v>0</v>
      </c>
      <c r="AF20" s="36">
        <f>VLOOKUP($A20,[26]HISTOJUIL25!$A$6:$BR$51,60,0)</f>
        <v>0</v>
      </c>
      <c r="AG20" s="36">
        <f>VLOOKUP($A20,[26]HISTOJUIL25!$A$6:$CB$51,61,0)</f>
        <v>0</v>
      </c>
      <c r="AH20" s="36">
        <f>VLOOKUP($A20,[26]HISTOJUIL25!$A$6:$CB$51,62,0)</f>
        <v>0</v>
      </c>
      <c r="AI20" s="36">
        <f>VLOOKUP($A20,[26]HISTOJUIL25!$A$6:$CB$51,63,0)</f>
        <v>0</v>
      </c>
      <c r="AJ20" s="36">
        <f>VLOOKUP($A20,[26]HISTOJUIL25!$A$6:$BR$51,64,0)</f>
        <v>0</v>
      </c>
      <c r="AK20" s="36">
        <f>VLOOKUP($A20,[26]HISTOJUIL25!$A$6:$BR$51,65,0)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VLOOKUP($A21,[26]HISTOJUIL25!$A$6:$BA$51,48,0)</f>
        <v>0</v>
      </c>
      <c r="F21" s="36">
        <f>VLOOKUP(A21,MVTJUIN25!A21:AM56,6,0)+MVTJUIN25!H21-E21+L21</f>
        <v>1157773.628339116</v>
      </c>
      <c r="G21" s="5">
        <f>IF(MVTJUIL25!F21&gt;800000,(MVTJUIN25!I21-E21+L21),0)</f>
        <v>1157773.628339116</v>
      </c>
      <c r="H21" s="36">
        <f>VLOOKUP(A21,[27]MVTJUIL25!$A$6:$AM$42,8,0)</f>
        <v>1712.3668450070184</v>
      </c>
      <c r="I21" s="6">
        <f t="shared" si="1"/>
        <v>1159485.9951841231</v>
      </c>
      <c r="J21" s="36">
        <f>VLOOKUP($A21,[26]HISTOJUIL25!$A$6:$AQ$51,22,0)</f>
        <v>0</v>
      </c>
      <c r="K21" s="36">
        <f>VLOOKUP($A21,[26]HISTOJUIL25!$A$6:$AU$51,45,0)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VLOOKUP($A21,[26]HISTOJUIL25!$A$6:$AU$51,8,0)</f>
        <v>0</v>
      </c>
      <c r="Q21" s="36">
        <f>VLOOKUP($A21,[26]HISTOJUIL25!$A$6:$AU$51,23,0)</f>
        <v>0</v>
      </c>
      <c r="R21" s="36">
        <f>VLOOKUP($A21,[26]HISTOJUIL25!$A$6:$AU$51,46,0)</f>
        <v>0</v>
      </c>
      <c r="S21" s="36">
        <f>VLOOKUP($A21,[26]HISTOJUIL25!$A$6:$AU$51,26,0)</f>
        <v>0</v>
      </c>
      <c r="T21" s="36">
        <f>VLOOKUP($A21,[26]HISTOJUIL25!$A$6:$BG$51,58,0)</f>
        <v>0</v>
      </c>
      <c r="U21" s="36">
        <f>VLOOKUP($A21,[26]HISTOJUIL25!$A$6:$AU$51,28,0)</f>
        <v>0</v>
      </c>
      <c r="V21" s="36">
        <f>VLOOKUP($A21,[26]HISTOJUIL25!$A$6:$AU$51,19,0)</f>
        <v>0</v>
      </c>
      <c r="W21" s="36">
        <f>VLOOKUP($A21,[26]HISTOJUIL25!$A$6:$AU$51,20,0)</f>
        <v>0</v>
      </c>
      <c r="X21" s="36">
        <f>VLOOKUP($A21,[26]HISTOJUIL25!$A$6:$AU$51,27,0)</f>
        <v>0</v>
      </c>
      <c r="Y21" s="36">
        <f>VLOOKUP($A21,[26]HISTOJUIL25!$A$6:$BM$51,33,0)</f>
        <v>0</v>
      </c>
      <c r="Z21" s="36">
        <f>VLOOKUP($A21,[26]HISTOJUIL25!$A$6:$BM$51,64,0)</f>
        <v>0</v>
      </c>
      <c r="AA21" s="36"/>
      <c r="AB21" s="36">
        <f>VLOOKUP($A21,[26]HISTOJUIL25!$A$6:$AU$51,44,0)</f>
        <v>0</v>
      </c>
      <c r="AC21" s="36">
        <f>VLOOKUP($A21,[26]HISTOJUIL25!$A$6:$AU$51,43,0)</f>
        <v>0</v>
      </c>
      <c r="AD21" s="36">
        <f>VLOOKUP($A21,[26]HISTOJUIL25!$A$6:$BR$51,47,0)</f>
        <v>0</v>
      </c>
      <c r="AE21" s="36">
        <f>VLOOKUP(A21,[26]HISTOJUIL25!$A$6:$BR$51,54,0)</f>
        <v>0</v>
      </c>
      <c r="AF21" s="36">
        <f>VLOOKUP($A21,[26]HISTOJUIL25!$A$6:$BR$51,60,0)</f>
        <v>0</v>
      </c>
      <c r="AG21" s="36">
        <f>VLOOKUP($A21,[26]HISTOJUIL25!$A$6:$CB$51,61,0)</f>
        <v>0</v>
      </c>
      <c r="AH21" s="36">
        <f>VLOOKUP($A21,[26]HISTOJUIL25!$A$6:$CB$51,62,0)</f>
        <v>0</v>
      </c>
      <c r="AI21" s="36">
        <f>VLOOKUP($A21,[26]HISTOJUIL25!$A$6:$CB$51,63,0)</f>
        <v>0</v>
      </c>
      <c r="AJ21" s="36">
        <f>VLOOKUP($A21,[26]HISTOJUIL25!$A$6:$BR$51,64,0)</f>
        <v>0</v>
      </c>
      <c r="AK21" s="36">
        <f>VLOOKUP($A21,[26]HISTOJUIL25!$A$6:$BR$51,65,0)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VLOOKUP($A22,[26]HISTOJUIL25!$A$6:$BA$51,48,0)</f>
        <v>0</v>
      </c>
      <c r="F22" s="36">
        <f>VLOOKUP(A22,MVTJUIN25!A22:AM57,6,0)+MVTJUIN25!H22-E22+L22</f>
        <v>1002956.9899040192</v>
      </c>
      <c r="G22" s="5">
        <f>IF(MVTJUIL25!F22&gt;800000,(MVTJUIN25!I22-E22+L22),0)</f>
        <v>1002956.9899040192</v>
      </c>
      <c r="H22" s="36">
        <f>VLOOKUP(A22,[27]MVTJUIL25!$A$6:$AM$42,8,0)</f>
        <v>1483.3904093526646</v>
      </c>
      <c r="I22" s="6">
        <f t="shared" si="1"/>
        <v>1004440.3803133718</v>
      </c>
      <c r="J22" s="36">
        <f>VLOOKUP($A22,[26]HISTOJUIL25!$A$6:$AQ$51,22,0)</f>
        <v>0</v>
      </c>
      <c r="K22" s="36">
        <f>VLOOKUP($A22,[26]HISTOJUIL25!$A$6:$AU$51,45,0)</f>
        <v>25000</v>
      </c>
      <c r="L22" s="36">
        <f t="shared" si="2"/>
        <v>19000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VLOOKUP($A22,[26]HISTOJUIL25!$A$6:$AU$51,8,0)</f>
        <v>0</v>
      </c>
      <c r="Q22" s="36">
        <f>VLOOKUP($A22,[26]HISTOJUIL25!$A$6:$AU$51,23,0)</f>
        <v>0</v>
      </c>
      <c r="R22" s="36">
        <f>VLOOKUP($A22,[26]HISTOJUIL25!$A$6:$AU$51,46,0)</f>
        <v>0</v>
      </c>
      <c r="S22" s="36">
        <f>VLOOKUP($A22,[26]HISTOJUIL25!$A$6:$AU$51,26,0)</f>
        <v>0</v>
      </c>
      <c r="T22" s="36">
        <f>VLOOKUP($A22,[26]HISTOJUIL25!$A$6:$BG$51,58,0)</f>
        <v>0</v>
      </c>
      <c r="U22" s="36">
        <f>VLOOKUP($A22,[26]HISTOJUIL25!$A$6:$AU$51,28,0)</f>
        <v>0</v>
      </c>
      <c r="V22" s="36">
        <f>VLOOKUP($A22,[26]HISTOJUIL25!$A$6:$AU$51,19,0)</f>
        <v>0</v>
      </c>
      <c r="W22" s="36">
        <f>VLOOKUP($A22,[26]HISTOJUIL25!$A$6:$AU$51,20,0)</f>
        <v>0</v>
      </c>
      <c r="X22" s="36">
        <f>VLOOKUP($A22,[26]HISTOJUIL25!$A$6:$AU$51,27,0)</f>
        <v>0</v>
      </c>
      <c r="Y22" s="36">
        <f>VLOOKUP($A22,[26]HISTOJUIL25!$A$6:$BM$51,33,0)</f>
        <v>0</v>
      </c>
      <c r="Z22" s="36">
        <f>VLOOKUP($A22,[26]HISTOJUIL25!$A$6:$BM$51,64,0)</f>
        <v>0</v>
      </c>
      <c r="AA22" s="36"/>
      <c r="AB22" s="36">
        <f>VLOOKUP($A22,[26]HISTOJUIL25!$A$6:$AU$51,44,0)</f>
        <v>0</v>
      </c>
      <c r="AC22" s="36">
        <f>VLOOKUP($A22,[26]HISTOJUIL25!$A$6:$AU$51,43,0)</f>
        <v>0</v>
      </c>
      <c r="AD22" s="36">
        <f>VLOOKUP($A22,[26]HISTOJUIL25!$A$6:$BR$51,47,0)</f>
        <v>0</v>
      </c>
      <c r="AE22" s="36">
        <f>VLOOKUP(A22,[26]HISTOJUIL25!$A$6:$BR$51,54,0)</f>
        <v>0</v>
      </c>
      <c r="AF22" s="36">
        <f>VLOOKUP($A22,[26]HISTOJUIL25!$A$6:$BR$51,60,0)</f>
        <v>0</v>
      </c>
      <c r="AG22" s="36">
        <f>VLOOKUP($A22,[26]HISTOJUIL25!$A$6:$CB$51,61,0)</f>
        <v>0</v>
      </c>
      <c r="AH22" s="36">
        <f>VLOOKUP($A22,[26]HISTOJUIL25!$A$6:$CB$51,62,0)</f>
        <v>0</v>
      </c>
      <c r="AI22" s="36">
        <f>VLOOKUP($A22,[26]HISTOJUIL25!$A$6:$CB$51,63,0)</f>
        <v>0</v>
      </c>
      <c r="AJ22" s="36">
        <f>VLOOKUP($A22,[26]HISTOJUIL25!$A$6:$BR$51,64,0)</f>
        <v>0</v>
      </c>
      <c r="AK22" s="36">
        <f>VLOOKUP($A22,[26]HISTOJUIL25!$A$6:$BR$51,65,0)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VLOOKUP($A23,[26]HISTOJUIL25!$A$6:$BA$51,48,0)</f>
        <v>0</v>
      </c>
      <c r="F23" s="36">
        <f>VLOOKUP(A23,MVTJUIN25!A23:AM58,6,0)+MVTJUIN25!H23-E23+L23</f>
        <v>1003226.3343753745</v>
      </c>
      <c r="G23" s="5">
        <f>IF(MVTJUIL25!F23&gt;800000,(MVTJUIN25!I23-E23+L23),0)</f>
        <v>1003226.3343753745</v>
      </c>
      <c r="H23" s="36">
        <f>VLOOKUP(A23,[27]MVTJUIL25!$A$6:$AM$42,8,0)</f>
        <v>1483.7887743968715</v>
      </c>
      <c r="I23" s="6">
        <f t="shared" si="1"/>
        <v>1004710.1231497714</v>
      </c>
      <c r="J23" s="36">
        <f>VLOOKUP($A23,[26]HISTOJUIL25!$A$6:$AQ$51,22,0)</f>
        <v>0</v>
      </c>
      <c r="K23" s="36">
        <f>VLOOKUP($A23,[26]HISTOJUIL25!$A$6:$AU$51,45,0)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VLOOKUP($A23,[26]HISTOJUIL25!$A$6:$AU$51,8,0)</f>
        <v>0</v>
      </c>
      <c r="Q23" s="36">
        <f>VLOOKUP($A23,[26]HISTOJUIL25!$A$6:$AU$51,23,0)</f>
        <v>0</v>
      </c>
      <c r="R23" s="36">
        <f>VLOOKUP($A23,[26]HISTOJUIL25!$A$6:$AU$51,46,0)</f>
        <v>0</v>
      </c>
      <c r="S23" s="36">
        <f>VLOOKUP($A23,[26]HISTOJUIL25!$A$6:$AU$51,26,0)</f>
        <v>0</v>
      </c>
      <c r="T23" s="36">
        <f>VLOOKUP($A23,[26]HISTOJUIL25!$A$6:$BG$51,58,0)</f>
        <v>0</v>
      </c>
      <c r="U23" s="36">
        <f>VLOOKUP($A23,[26]HISTOJUIL25!$A$6:$AU$51,28,0)</f>
        <v>0</v>
      </c>
      <c r="V23" s="36">
        <f>VLOOKUP($A23,[26]HISTOJUIL25!$A$6:$AU$51,19,0)</f>
        <v>0</v>
      </c>
      <c r="W23" s="36">
        <f>VLOOKUP($A23,[26]HISTOJUIL25!$A$6:$AU$51,20,0)</f>
        <v>0</v>
      </c>
      <c r="X23" s="36">
        <f>VLOOKUP($A23,[26]HISTOJUIL25!$A$6:$AU$51,27,0)</f>
        <v>0</v>
      </c>
      <c r="Y23" s="36">
        <f>VLOOKUP($A23,[26]HISTOJUIL25!$A$6:$BM$51,33,0)</f>
        <v>0</v>
      </c>
      <c r="Z23" s="36">
        <f>VLOOKUP($A23,[26]HISTOJUIL25!$A$6:$BM$51,64,0)</f>
        <v>0</v>
      </c>
      <c r="AA23" s="36"/>
      <c r="AB23" s="36">
        <f>VLOOKUP($A23,[26]HISTOJUIL25!$A$6:$AU$51,44,0)</f>
        <v>0</v>
      </c>
      <c r="AC23" s="36">
        <f>VLOOKUP($A23,[26]HISTOJUIL25!$A$6:$AU$51,43,0)</f>
        <v>0</v>
      </c>
      <c r="AD23" s="36">
        <f>VLOOKUP($A23,[26]HISTOJUIL25!$A$6:$BR$51,47,0)</f>
        <v>0</v>
      </c>
      <c r="AE23" s="36">
        <f>VLOOKUP(A23,[26]HISTOJUIL25!$A$6:$BR$51,54,0)</f>
        <v>0</v>
      </c>
      <c r="AF23" s="36">
        <f>VLOOKUP($A23,[26]HISTOJUIL25!$A$6:$BR$51,60,0)</f>
        <v>0</v>
      </c>
      <c r="AG23" s="36">
        <f>VLOOKUP($A23,[26]HISTOJUIL25!$A$6:$CB$51,61,0)</f>
        <v>0</v>
      </c>
      <c r="AH23" s="36">
        <f>VLOOKUP($A23,[26]HISTOJUIL25!$A$6:$CB$51,62,0)</f>
        <v>0</v>
      </c>
      <c r="AI23" s="36">
        <f>VLOOKUP($A23,[26]HISTOJUIL25!$A$6:$CB$51,63,0)</f>
        <v>0</v>
      </c>
      <c r="AJ23" s="36">
        <f>VLOOKUP($A23,[26]HISTOJUIL25!$A$6:$BR$51,64,0)</f>
        <v>0</v>
      </c>
      <c r="AK23" s="36">
        <f>VLOOKUP($A23,[26]HISTOJUIL25!$A$6:$BR$51,65,0)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VLOOKUP($A24,[26]HISTOJUIL25!$A$6:$BA$51,48,0)</f>
        <v>0</v>
      </c>
      <c r="F24" s="36">
        <f>VLOOKUP(A24,MVTJUIN25!A24:AM59,6,0)+MVTJUIN25!H24-E24+L24</f>
        <v>950187.46383653174</v>
      </c>
      <c r="G24" s="5">
        <f>IF(MVTJUIL25!F24&gt;800000,(MVTJUIN25!I24-E24+L24),0)</f>
        <v>950187.46383653174</v>
      </c>
      <c r="H24" s="36">
        <f>VLOOKUP(A24,[27]MVTJUIL25!$A$6:$AM$42,8,0)</f>
        <v>1405.3433847418812</v>
      </c>
      <c r="I24" s="6">
        <f t="shared" si="1"/>
        <v>951592.80722127366</v>
      </c>
      <c r="J24" s="36">
        <f>VLOOKUP($A24,[26]HISTOJUIL25!$A$6:$AQ$51,22,0)</f>
        <v>0</v>
      </c>
      <c r="K24" s="36">
        <f>VLOOKUP($A24,[26]HISTOJUIL25!$A$6:$AU$51,45,0)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VLOOKUP($A24,[26]HISTOJUIL25!$A$6:$AU$51,8,0)</f>
        <v>0</v>
      </c>
      <c r="Q24" s="36">
        <f>VLOOKUP($A24,[26]HISTOJUIL25!$A$6:$AU$51,23,0)</f>
        <v>0</v>
      </c>
      <c r="R24" s="36">
        <f>VLOOKUP($A24,[26]HISTOJUIL25!$A$6:$AU$51,46,0)</f>
        <v>0</v>
      </c>
      <c r="S24" s="36">
        <f>VLOOKUP($A24,[26]HISTOJUIL25!$A$6:$AU$51,26,0)</f>
        <v>0</v>
      </c>
      <c r="T24" s="36">
        <f>VLOOKUP($A24,[26]HISTOJUIL25!$A$6:$BG$51,58,0)</f>
        <v>0</v>
      </c>
      <c r="U24" s="36">
        <f>VLOOKUP($A24,[26]HISTOJUIL25!$A$6:$AU$51,28,0)</f>
        <v>0</v>
      </c>
      <c r="V24" s="36">
        <f>VLOOKUP($A24,[26]HISTOJUIL25!$A$6:$AU$51,19,0)</f>
        <v>0</v>
      </c>
      <c r="W24" s="36">
        <f>VLOOKUP($A24,[26]HISTOJUIL25!$A$6:$AU$51,20,0)</f>
        <v>0</v>
      </c>
      <c r="X24" s="36">
        <f>VLOOKUP($A24,[26]HISTOJUIL25!$A$6:$AU$51,27,0)</f>
        <v>0</v>
      </c>
      <c r="Y24" s="36">
        <f>VLOOKUP($A24,[26]HISTOJUIL25!$A$6:$BM$51,33,0)</f>
        <v>0</v>
      </c>
      <c r="Z24" s="36">
        <f>VLOOKUP($A24,[26]HISTOJUIL25!$A$6:$BM$51,64,0)</f>
        <v>0</v>
      </c>
      <c r="AA24" s="36"/>
      <c r="AB24" s="36">
        <f>VLOOKUP($A24,[26]HISTOJUIL25!$A$6:$AU$51,44,0)</f>
        <v>0</v>
      </c>
      <c r="AC24" s="36">
        <f>VLOOKUP($A24,[26]HISTOJUIL25!$A$6:$AU$51,43,0)</f>
        <v>0</v>
      </c>
      <c r="AD24" s="36">
        <f>VLOOKUP($A24,[26]HISTOJUIL25!$A$6:$BR$51,47,0)</f>
        <v>0</v>
      </c>
      <c r="AE24" s="36">
        <f>VLOOKUP(A24,[26]HISTOJUIL25!$A$6:$BR$51,54,0)</f>
        <v>0</v>
      </c>
      <c r="AF24" s="36">
        <f>VLOOKUP($A24,[26]HISTOJUIL25!$A$6:$BR$51,60,0)</f>
        <v>0</v>
      </c>
      <c r="AG24" s="36">
        <f>VLOOKUP($A24,[26]HISTOJUIL25!$A$6:$CB$51,61,0)</f>
        <v>0</v>
      </c>
      <c r="AH24" s="36">
        <f>VLOOKUP($A24,[26]HISTOJUIL25!$A$6:$CB$51,62,0)</f>
        <v>0</v>
      </c>
      <c r="AI24" s="36">
        <f>VLOOKUP($A24,[26]HISTOJUIL25!$A$6:$CB$51,63,0)</f>
        <v>0</v>
      </c>
      <c r="AJ24" s="36">
        <f>VLOOKUP($A24,[26]HISTOJUIL25!$A$6:$BR$51,64,0)</f>
        <v>0</v>
      </c>
      <c r="AK24" s="36">
        <f>VLOOKUP($A24,[26]HISTOJUIL25!$A$6:$BR$51,65,0)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VLOOKUP($A25,[26]HISTOJUIL25!$A$6:$BA$51,48,0)</f>
        <v>0</v>
      </c>
      <c r="F25" s="36">
        <f>VLOOKUP(A25,MVTJUIN25!A25:AM60,6,0)+MVTJUIN25!H25-E25+L25</f>
        <v>1341048.8148877549</v>
      </c>
      <c r="G25" s="5">
        <f>IF(MVTJUIL25!F25&gt;800000,(MVTJUIN25!I25-E25+L25),0)</f>
        <v>1341048.8148877549</v>
      </c>
      <c r="H25" s="36">
        <f>VLOOKUP(A25,[27]MVTJUIL25!$A$6:$AM$42,8,0)</f>
        <v>1983.4339562942018</v>
      </c>
      <c r="I25" s="6">
        <f t="shared" si="1"/>
        <v>1343032.2488440489</v>
      </c>
      <c r="J25" s="36">
        <f>VLOOKUP($A25,[26]HISTOJUIL25!$A$6:$AQ$51,22,0)</f>
        <v>0</v>
      </c>
      <c r="K25" s="36">
        <f>VLOOKUP($A25,[26]HISTOJUIL25!$A$6:$AU$51,45,0)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VLOOKUP($A25,[26]HISTOJUIL25!$A$6:$AU$51,8,0)</f>
        <v>0</v>
      </c>
      <c r="Q25" s="36">
        <f>VLOOKUP($A25,[26]HISTOJUIL25!$A$6:$AU$51,23,0)</f>
        <v>0</v>
      </c>
      <c r="R25" s="36">
        <f>VLOOKUP($A25,[26]HISTOJUIL25!$A$6:$AU$51,46,0)</f>
        <v>0</v>
      </c>
      <c r="S25" s="36">
        <f>VLOOKUP($A25,[26]HISTOJUIL25!$A$6:$AU$51,26,0)</f>
        <v>0</v>
      </c>
      <c r="T25" s="36">
        <f>VLOOKUP($A25,[26]HISTOJUIL25!$A$6:$BG$51,58,0)</f>
        <v>15000</v>
      </c>
      <c r="U25" s="36">
        <f>VLOOKUP($A25,[26]HISTOJUIL25!$A$6:$AU$51,28,0)</f>
        <v>0</v>
      </c>
      <c r="V25" s="36">
        <f>VLOOKUP($A25,[26]HISTOJUIL25!$A$6:$AU$51,19,0)</f>
        <v>0</v>
      </c>
      <c r="W25" s="36">
        <f>VLOOKUP($A25,[26]HISTOJUIL25!$A$6:$AU$51,20,0)</f>
        <v>0</v>
      </c>
      <c r="X25" s="36">
        <f>VLOOKUP($A25,[26]HISTOJUIL25!$A$6:$AU$51,27,0)</f>
        <v>0</v>
      </c>
      <c r="Y25" s="36">
        <f>VLOOKUP($A25,[26]HISTOJUIL25!$A$6:$BM$51,33,0)</f>
        <v>0</v>
      </c>
      <c r="Z25" s="36">
        <f>VLOOKUP($A25,[26]HISTOJUIL25!$A$6:$BM$51,64,0)</f>
        <v>0</v>
      </c>
      <c r="AA25" s="36"/>
      <c r="AB25" s="36">
        <f>VLOOKUP($A25,[26]HISTOJUIL25!$A$6:$AU$51,44,0)</f>
        <v>0</v>
      </c>
      <c r="AC25" s="36">
        <f>VLOOKUP($A25,[26]HISTOJUIL25!$A$6:$AU$51,43,0)</f>
        <v>0</v>
      </c>
      <c r="AD25" s="36">
        <f>VLOOKUP($A25,[26]HISTOJUIL25!$A$6:$BR$51,47,0)</f>
        <v>0</v>
      </c>
      <c r="AE25" s="36">
        <f>VLOOKUP(A25,[26]HISTOJUIL25!$A$6:$BR$51,54,0)</f>
        <v>0</v>
      </c>
      <c r="AF25" s="36">
        <f>VLOOKUP($A25,[26]HISTOJUIL25!$A$6:$BR$51,60,0)</f>
        <v>0</v>
      </c>
      <c r="AG25" s="36">
        <f>VLOOKUP($A25,[26]HISTOJUIL25!$A$6:$CB$51,61,0)</f>
        <v>0</v>
      </c>
      <c r="AH25" s="36">
        <f>VLOOKUP($A25,[26]HISTOJUIL25!$A$6:$CB$51,62,0)</f>
        <v>0</v>
      </c>
      <c r="AI25" s="36">
        <f>VLOOKUP($A25,[26]HISTOJUIL25!$A$6:$CB$51,63,0)</f>
        <v>0</v>
      </c>
      <c r="AJ25" s="36">
        <f>VLOOKUP($A25,[26]HISTOJUIL25!$A$6:$BR$51,64,0)</f>
        <v>0</v>
      </c>
      <c r="AK25" s="36">
        <f>VLOOKUP($A25,[26]HISTOJUIL25!$A$6:$BR$51,65,0)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VLOOKUP($A26,[26]HISTOJUIL25!$A$6:$BA$51,48,0)</f>
        <v>0</v>
      </c>
      <c r="F26" s="36">
        <f>VLOOKUP(A26,MVTJUIN25!A26:AM61,6,0)+MVTJUIN25!H26-E26+L26</f>
        <v>1480950.3912832218</v>
      </c>
      <c r="G26" s="5">
        <f>IF(MVTJUIL25!F26&gt;800000,(MVTJUIN25!I26-E26+L26),0)</f>
        <v>1480950.3912832218</v>
      </c>
      <c r="H26" s="36">
        <f>VLOOKUP(A26,[27]MVTJUIL25!$A$6:$AM$42,8,0)</f>
        <v>2190.3507620669147</v>
      </c>
      <c r="I26" s="6">
        <f t="shared" si="1"/>
        <v>1483140.7420452887</v>
      </c>
      <c r="J26" s="36">
        <f>VLOOKUP($A26,[26]HISTOJUIL25!$A$6:$AQ$51,22,0)</f>
        <v>0</v>
      </c>
      <c r="K26" s="36">
        <f>VLOOKUP($A26,[26]HISTOJUIL25!$A$6:$AU$51,45,0)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VLOOKUP($A26,[26]HISTOJUIL25!$A$6:$AU$51,8,0)</f>
        <v>0</v>
      </c>
      <c r="Q26" s="36">
        <f>VLOOKUP($A26,[26]HISTOJUIL25!$A$6:$AU$51,23,0)</f>
        <v>0</v>
      </c>
      <c r="R26" s="36">
        <f>VLOOKUP($A26,[26]HISTOJUIL25!$A$6:$AU$51,46,0)</f>
        <v>0</v>
      </c>
      <c r="S26" s="36">
        <f>VLOOKUP($A26,[26]HISTOJUIL25!$A$6:$AU$51,26,0)</f>
        <v>0</v>
      </c>
      <c r="T26" s="36">
        <f>VLOOKUP($A26,[26]HISTOJUIL25!$A$6:$BG$51,58,0)</f>
        <v>0</v>
      </c>
      <c r="U26" s="36">
        <f>VLOOKUP($A26,[26]HISTOJUIL25!$A$6:$AU$51,28,0)</f>
        <v>0</v>
      </c>
      <c r="V26" s="36">
        <f>VLOOKUP($A26,[26]HISTOJUIL25!$A$6:$AU$51,19,0)</f>
        <v>0</v>
      </c>
      <c r="W26" s="36">
        <f>VLOOKUP($A26,[26]HISTOJUIL25!$A$6:$AU$51,20,0)</f>
        <v>0</v>
      </c>
      <c r="X26" s="36">
        <f>VLOOKUP($A26,[26]HISTOJUIL25!$A$6:$AU$51,27,0)</f>
        <v>0</v>
      </c>
      <c r="Y26" s="36">
        <f>VLOOKUP($A26,[26]HISTOJUIL25!$A$6:$BM$51,33,0)</f>
        <v>0</v>
      </c>
      <c r="Z26" s="36">
        <f>VLOOKUP($A26,[26]HISTOJUIL25!$A$6:$BM$51,64,0)</f>
        <v>0</v>
      </c>
      <c r="AA26" s="36"/>
      <c r="AB26" s="36">
        <f>VLOOKUP($A26,[26]HISTOJUIL25!$A$6:$AU$51,44,0)</f>
        <v>0</v>
      </c>
      <c r="AC26" s="36">
        <f>VLOOKUP($A26,[26]HISTOJUIL25!$A$6:$AU$51,43,0)</f>
        <v>0</v>
      </c>
      <c r="AD26" s="36">
        <f>VLOOKUP($A26,[26]HISTOJUIL25!$A$6:$BR$51,47,0)</f>
        <v>0</v>
      </c>
      <c r="AE26" s="36">
        <f>VLOOKUP(A26,[26]HISTOJUIL25!$A$6:$BR$51,54,0)</f>
        <v>0</v>
      </c>
      <c r="AF26" s="36">
        <f>VLOOKUP($A26,[26]HISTOJUIL25!$A$6:$BR$51,60,0)</f>
        <v>0</v>
      </c>
      <c r="AG26" s="36">
        <f>VLOOKUP($A26,[26]HISTOJUIL25!$A$6:$CB$51,61,0)</f>
        <v>0</v>
      </c>
      <c r="AH26" s="36">
        <f>VLOOKUP($A26,[26]HISTOJUIL25!$A$6:$CB$51,62,0)</f>
        <v>0</v>
      </c>
      <c r="AI26" s="36">
        <f>VLOOKUP($A26,[26]HISTOJUIL25!$A$6:$CB$51,63,0)</f>
        <v>0</v>
      </c>
      <c r="AJ26" s="36">
        <f>VLOOKUP($A26,[26]HISTOJUIL25!$A$6:$BR$51,64,0)</f>
        <v>0</v>
      </c>
      <c r="AK26" s="36">
        <f>VLOOKUP($A26,[26]HISTOJUIL25!$A$6:$BR$51,65,0)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VLOOKUP($A27,[26]HISTOJUIL25!$A$6:$BA$51,48,0)</f>
        <v>0</v>
      </c>
      <c r="F27" s="36">
        <f>VLOOKUP(A27,MVTJUIN25!A27:AM62,6,0)+MVTJUIN25!H27-E27+L27</f>
        <v>986564.64309830719</v>
      </c>
      <c r="G27" s="5">
        <f>IF(MVTJUIL25!F27&gt;800000,(MVTJUIN25!I27-E27+L27),0)</f>
        <v>986564.64309830719</v>
      </c>
      <c r="H27" s="36">
        <f>VLOOKUP(A27,[27]MVTJUIL25!$A$6:$AM$42,8,0)</f>
        <v>1459.1458502308394</v>
      </c>
      <c r="I27" s="6">
        <f t="shared" si="1"/>
        <v>988023.78894853801</v>
      </c>
      <c r="J27" s="36">
        <f>VLOOKUP($A27,[26]HISTOJUIL25!$A$6:$AQ$51,22,0)</f>
        <v>0</v>
      </c>
      <c r="K27" s="36">
        <f>VLOOKUP($A27,[26]HISTOJUIL25!$A$6:$AU$51,45,0)</f>
        <v>15000</v>
      </c>
      <c r="L27" s="36">
        <f t="shared" si="2"/>
        <v>9000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VLOOKUP($A27,[26]HISTOJUIL25!$A$6:$AU$51,8,0)</f>
        <v>0</v>
      </c>
      <c r="Q27" s="36">
        <f>VLOOKUP($A27,[26]HISTOJUIL25!$A$6:$AU$51,23,0)</f>
        <v>0</v>
      </c>
      <c r="R27" s="36">
        <f>VLOOKUP($A27,[26]HISTOJUIL25!$A$6:$AU$51,46,0)</f>
        <v>0</v>
      </c>
      <c r="S27" s="36">
        <f>VLOOKUP($A27,[26]HISTOJUIL25!$A$6:$AU$51,26,0)</f>
        <v>0</v>
      </c>
      <c r="T27" s="36">
        <f>VLOOKUP($A27,[26]HISTOJUIL25!$A$6:$BG$51,58,0)</f>
        <v>0</v>
      </c>
      <c r="U27" s="36">
        <f>VLOOKUP($A27,[26]HISTOJUIL25!$A$6:$AU$51,28,0)</f>
        <v>0</v>
      </c>
      <c r="V27" s="36">
        <f>VLOOKUP($A27,[26]HISTOJUIL25!$A$6:$AU$51,19,0)</f>
        <v>0</v>
      </c>
      <c r="W27" s="36">
        <f>VLOOKUP($A27,[26]HISTOJUIL25!$A$6:$AU$51,20,0)</f>
        <v>0</v>
      </c>
      <c r="X27" s="36">
        <f>VLOOKUP($A27,[26]HISTOJUIL25!$A$6:$AU$51,27,0)</f>
        <v>0</v>
      </c>
      <c r="Y27" s="36">
        <f>VLOOKUP($A27,[26]HISTOJUIL25!$A$6:$BM$51,33,0)</f>
        <v>0</v>
      </c>
      <c r="Z27" s="36">
        <f>VLOOKUP($A27,[26]HISTOJUIL25!$A$6:$BM$51,64,0)</f>
        <v>0</v>
      </c>
      <c r="AA27" s="36"/>
      <c r="AB27" s="36">
        <f>VLOOKUP($A27,[26]HISTOJUIL25!$A$6:$AU$51,44,0)</f>
        <v>0</v>
      </c>
      <c r="AC27" s="36">
        <f>VLOOKUP($A27,[26]HISTOJUIL25!$A$6:$AU$51,43,0)</f>
        <v>0</v>
      </c>
      <c r="AD27" s="36">
        <f>VLOOKUP($A27,[26]HISTOJUIL25!$A$6:$BR$51,47,0)</f>
        <v>0</v>
      </c>
      <c r="AE27" s="36">
        <f>VLOOKUP(A27,[26]HISTOJUIL25!$A$6:$BR$51,54,0)</f>
        <v>0</v>
      </c>
      <c r="AF27" s="36">
        <f>VLOOKUP($A27,[26]HISTOJUIL25!$A$6:$BR$51,60,0)</f>
        <v>0</v>
      </c>
      <c r="AG27" s="36">
        <f>VLOOKUP($A27,[26]HISTOJUIL25!$A$6:$CB$51,61,0)</f>
        <v>0</v>
      </c>
      <c r="AH27" s="36">
        <f>VLOOKUP($A27,[26]HISTOJUIL25!$A$6:$CB$51,62,0)</f>
        <v>0</v>
      </c>
      <c r="AI27" s="36">
        <f>VLOOKUP($A27,[26]HISTOJUIL25!$A$6:$CB$51,63,0)</f>
        <v>0</v>
      </c>
      <c r="AJ27" s="36">
        <f>VLOOKUP($A27,[26]HISTOJUIL25!$A$6:$BR$51,64,0)</f>
        <v>0</v>
      </c>
      <c r="AK27" s="36">
        <f>VLOOKUP($A27,[26]HISTOJUIL25!$A$6:$BR$51,65,0)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VLOOKUP($A28,[26]HISTOJUIL25!$A$6:$BA$51,48,0)</f>
        <v>0</v>
      </c>
      <c r="F28" s="36">
        <f>VLOOKUP(A28,MVTJUIN25!A28:AM63,6,0)+MVTJUIN25!H28-E28+L28</f>
        <v>1014293.2046791507</v>
      </c>
      <c r="G28" s="5">
        <f>IF(MVTJUIL25!F28&gt;800000,(MVTJUIN25!I28-E28+L28),0)</f>
        <v>1014293.2046791507</v>
      </c>
      <c r="H28" s="36">
        <f>VLOOKUP(A28,[27]MVTJUIL25!$A$6:$AM$42,8,0)</f>
        <v>1500.1568633931329</v>
      </c>
      <c r="I28" s="6">
        <f t="shared" si="1"/>
        <v>1015793.3615425439</v>
      </c>
      <c r="J28" s="36">
        <f>VLOOKUP($A28,[26]HISTOJUIL25!$A$6:$AQ$51,22,0)</f>
        <v>0</v>
      </c>
      <c r="K28" s="36">
        <f>VLOOKUP($A28,[26]HISTOJUIL25!$A$6:$AU$51,45,0)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VLOOKUP($A28,[26]HISTOJUIL25!$A$6:$AU$51,8,0)</f>
        <v>0</v>
      </c>
      <c r="Q28" s="36">
        <f>VLOOKUP($A28,[26]HISTOJUIL25!$A$6:$AU$51,23,0)</f>
        <v>0</v>
      </c>
      <c r="R28" s="36">
        <f>VLOOKUP($A28,[26]HISTOJUIL25!$A$6:$AU$51,46,0)</f>
        <v>0</v>
      </c>
      <c r="S28" s="36">
        <f>VLOOKUP($A28,[26]HISTOJUIL25!$A$6:$AU$51,26,0)</f>
        <v>0</v>
      </c>
      <c r="T28" s="36">
        <f>VLOOKUP($A28,[26]HISTOJUIL25!$A$6:$BG$51,58,0)</f>
        <v>0</v>
      </c>
      <c r="U28" s="36">
        <f>VLOOKUP($A28,[26]HISTOJUIL25!$A$6:$AU$51,28,0)</f>
        <v>0</v>
      </c>
      <c r="V28" s="36">
        <f>VLOOKUP($A28,[26]HISTOJUIL25!$A$6:$AU$51,19,0)</f>
        <v>0</v>
      </c>
      <c r="W28" s="36">
        <f>VLOOKUP($A28,[26]HISTOJUIL25!$A$6:$AU$51,20,0)</f>
        <v>0</v>
      </c>
      <c r="X28" s="36">
        <f>VLOOKUP($A28,[26]HISTOJUIL25!$A$6:$AU$51,27,0)</f>
        <v>0</v>
      </c>
      <c r="Y28" s="36">
        <f>VLOOKUP($A28,[26]HISTOJUIL25!$A$6:$BM$51,33,0)</f>
        <v>0</v>
      </c>
      <c r="Z28" s="36">
        <f>VLOOKUP($A28,[26]HISTOJUIL25!$A$6:$BM$51,64,0)</f>
        <v>0</v>
      </c>
      <c r="AA28" s="36"/>
      <c r="AB28" s="36">
        <f>VLOOKUP($A28,[26]HISTOJUIL25!$A$6:$AU$51,44,0)</f>
        <v>0</v>
      </c>
      <c r="AC28" s="36">
        <f>VLOOKUP($A28,[26]HISTOJUIL25!$A$6:$AU$51,43,0)</f>
        <v>0</v>
      </c>
      <c r="AD28" s="36">
        <f>VLOOKUP($A28,[26]HISTOJUIL25!$A$6:$BR$51,47,0)</f>
        <v>0</v>
      </c>
      <c r="AE28" s="36">
        <f>VLOOKUP(A28,[26]HISTOJUIL25!$A$6:$BR$51,54,0)</f>
        <v>0</v>
      </c>
      <c r="AF28" s="36">
        <f>VLOOKUP($A28,[26]HISTOJUIL25!$A$6:$BR$51,60,0)</f>
        <v>0</v>
      </c>
      <c r="AG28" s="36">
        <f>VLOOKUP($A28,[26]HISTOJUIL25!$A$6:$CB$51,61,0)</f>
        <v>0</v>
      </c>
      <c r="AH28" s="36">
        <f>VLOOKUP($A28,[26]HISTOJUIL25!$A$6:$CB$51,62,0)</f>
        <v>0</v>
      </c>
      <c r="AI28" s="36">
        <f>VLOOKUP($A28,[26]HISTOJUIL25!$A$6:$CB$51,63,0)</f>
        <v>0</v>
      </c>
      <c r="AJ28" s="36">
        <f>VLOOKUP($A28,[26]HISTOJUIL25!$A$6:$BR$51,64,0)</f>
        <v>0</v>
      </c>
      <c r="AK28" s="36">
        <f>VLOOKUP($A28,[26]HISTOJUIL25!$A$6:$BR$51,65,0)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VLOOKUP($A29,[26]HISTOJUIL25!$A$6:$BA$51,48,0)</f>
        <v>0</v>
      </c>
      <c r="F29" s="36">
        <f>VLOOKUP(A29,MVTJUIN25!A29:AM64,6,0)+MVTJUIN25!H29-E29+L29</f>
        <v>976360.8139588926</v>
      </c>
      <c r="G29" s="5">
        <f>IF(MVTJUIL25!F29&gt;800000,(MVTJUIN25!I29-E29+L29),0)</f>
        <v>976360.8139588926</v>
      </c>
      <c r="H29" s="36">
        <f>VLOOKUP(A29,[27]MVTJUIL25!$A$6:$AM$42,8,0)</f>
        <v>1444.0542137634277</v>
      </c>
      <c r="I29" s="6">
        <f t="shared" si="1"/>
        <v>977804.86817265605</v>
      </c>
      <c r="J29" s="36">
        <f>VLOOKUP($A29,[26]HISTOJUIL25!$A$6:$AQ$51,22,0)</f>
        <v>0</v>
      </c>
      <c r="K29" s="36">
        <f>VLOOKUP($A29,[26]HISTOJUIL25!$A$6:$AU$51,45,0)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VLOOKUP($A29,[26]HISTOJUIL25!$A$6:$AU$51,8,0)</f>
        <v>0</v>
      </c>
      <c r="Q29" s="36">
        <f>VLOOKUP($A29,[26]HISTOJUIL25!$A$6:$AU$51,23,0)</f>
        <v>0</v>
      </c>
      <c r="R29" s="36">
        <f>VLOOKUP($A29,[26]HISTOJUIL25!$A$6:$AU$51,46,0)</f>
        <v>0</v>
      </c>
      <c r="S29" s="36">
        <f>VLOOKUP($A29,[26]HISTOJUIL25!$A$6:$AU$51,26,0)</f>
        <v>0</v>
      </c>
      <c r="T29" s="36">
        <f>VLOOKUP($A29,[26]HISTOJUIL25!$A$6:$BG$51,58,0)</f>
        <v>0</v>
      </c>
      <c r="U29" s="36">
        <f>VLOOKUP($A29,[26]HISTOJUIL25!$A$6:$AU$51,28,0)</f>
        <v>0</v>
      </c>
      <c r="V29" s="36">
        <f>VLOOKUP($A29,[26]HISTOJUIL25!$A$6:$AU$51,19,0)</f>
        <v>0</v>
      </c>
      <c r="W29" s="36">
        <f>VLOOKUP($A29,[26]HISTOJUIL25!$A$6:$AU$51,20,0)</f>
        <v>0</v>
      </c>
      <c r="X29" s="36">
        <f>VLOOKUP($A29,[26]HISTOJUIL25!$A$6:$AU$51,27,0)</f>
        <v>0</v>
      </c>
      <c r="Y29" s="36">
        <f>VLOOKUP($A29,[26]HISTOJUIL25!$A$6:$BM$51,33,0)</f>
        <v>0</v>
      </c>
      <c r="Z29" s="36">
        <f>VLOOKUP($A29,[26]HISTOJUIL25!$A$6:$BM$51,64,0)</f>
        <v>0</v>
      </c>
      <c r="AA29" s="36"/>
      <c r="AB29" s="36">
        <f>VLOOKUP($A29,[26]HISTOJUIL25!$A$6:$AU$51,44,0)</f>
        <v>0</v>
      </c>
      <c r="AC29" s="36">
        <f>VLOOKUP($A29,[26]HISTOJUIL25!$A$6:$AU$51,43,0)</f>
        <v>0</v>
      </c>
      <c r="AD29" s="36">
        <f>VLOOKUP($A29,[26]HISTOJUIL25!$A$6:$BR$51,47,0)</f>
        <v>0</v>
      </c>
      <c r="AE29" s="36">
        <f>VLOOKUP(A29,[26]HISTOJUIL25!$A$6:$BR$51,54,0)</f>
        <v>0</v>
      </c>
      <c r="AF29" s="36">
        <f>VLOOKUP($A29,[26]HISTOJUIL25!$A$6:$BR$51,60,0)</f>
        <v>0</v>
      </c>
      <c r="AG29" s="36">
        <f>VLOOKUP($A29,[26]HISTOJUIL25!$A$6:$CB$51,61,0)</f>
        <v>0</v>
      </c>
      <c r="AH29" s="36">
        <f>VLOOKUP($A29,[26]HISTOJUIL25!$A$6:$CB$51,62,0)</f>
        <v>0</v>
      </c>
      <c r="AI29" s="36">
        <f>VLOOKUP($A29,[26]HISTOJUIL25!$A$6:$CB$51,63,0)</f>
        <v>0</v>
      </c>
      <c r="AJ29" s="36">
        <f>VLOOKUP($A29,[26]HISTOJUIL25!$A$6:$BR$51,64,0)</f>
        <v>0</v>
      </c>
      <c r="AK29" s="36">
        <f>VLOOKUP($A29,[26]HISTOJUIL25!$A$6:$BR$51,65,0)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VLOOKUP($A30,[26]HISTOJUIL25!$A$6:$BA$51,48,0)</f>
        <v>0</v>
      </c>
      <c r="F30" s="36">
        <f>VLOOKUP(A30,MVTJUIN25!A30:AM65,6,0)+MVTJUIN25!H30-E30+L30</f>
        <v>1138234.7705687468</v>
      </c>
      <c r="G30" s="5">
        <f>IF(MVTJUIL25!F30&gt;800000,(MVTJUIN25!I30-E30+L30),0)</f>
        <v>1138234.7705687468</v>
      </c>
      <c r="H30" s="36">
        <f>VLOOKUP(A30,[27]MVTJUIL25!$A$6:$AM$42,8,0)</f>
        <v>1683.4685427687089</v>
      </c>
      <c r="I30" s="6">
        <f t="shared" si="1"/>
        <v>1139918.2391115155</v>
      </c>
      <c r="J30" s="36">
        <f>VLOOKUP($A30,[26]HISTOJUIL25!$A$6:$AQ$51,22,0)</f>
        <v>0</v>
      </c>
      <c r="K30" s="36">
        <f>VLOOKUP($A30,[26]HISTOJUIL25!$A$6:$AU$51,45,0)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VLOOKUP($A30,[26]HISTOJUIL25!$A$6:$AU$51,8,0)</f>
        <v>0</v>
      </c>
      <c r="Q30" s="36">
        <f>VLOOKUP($A30,[26]HISTOJUIL25!$A$6:$AU$51,23,0)</f>
        <v>0</v>
      </c>
      <c r="R30" s="36">
        <f>VLOOKUP($A30,[26]HISTOJUIL25!$A$6:$AU$51,46,0)</f>
        <v>0</v>
      </c>
      <c r="S30" s="36">
        <f>VLOOKUP($A30,[26]HISTOJUIL25!$A$6:$AU$51,26,0)</f>
        <v>0</v>
      </c>
      <c r="T30" s="36">
        <f>VLOOKUP($A30,[26]HISTOJUIL25!$A$6:$BG$51,58,0)</f>
        <v>0</v>
      </c>
      <c r="U30" s="36">
        <f>VLOOKUP($A30,[26]HISTOJUIL25!$A$6:$AU$51,28,0)</f>
        <v>0</v>
      </c>
      <c r="V30" s="36">
        <f>VLOOKUP($A30,[26]HISTOJUIL25!$A$6:$AU$51,19,0)</f>
        <v>0</v>
      </c>
      <c r="W30" s="36">
        <f>VLOOKUP($A30,[26]HISTOJUIL25!$A$6:$AU$51,20,0)</f>
        <v>0</v>
      </c>
      <c r="X30" s="36">
        <f>VLOOKUP($A30,[26]HISTOJUIL25!$A$6:$AU$51,27,0)</f>
        <v>0</v>
      </c>
      <c r="Y30" s="36">
        <f>VLOOKUP($A30,[26]HISTOJUIL25!$A$6:$BM$51,33,0)</f>
        <v>0</v>
      </c>
      <c r="Z30" s="36">
        <f>VLOOKUP($A30,[26]HISTOJUIL25!$A$6:$BM$51,64,0)</f>
        <v>0</v>
      </c>
      <c r="AA30" s="36"/>
      <c r="AB30" s="36">
        <f>VLOOKUP($A30,[26]HISTOJUIL25!$A$6:$AU$51,44,0)</f>
        <v>0</v>
      </c>
      <c r="AC30" s="36">
        <f>VLOOKUP($A30,[26]HISTOJUIL25!$A$6:$AU$51,43,0)</f>
        <v>0</v>
      </c>
      <c r="AD30" s="36">
        <f>VLOOKUP($A30,[26]HISTOJUIL25!$A$6:$BR$51,47,0)</f>
        <v>0</v>
      </c>
      <c r="AE30" s="36">
        <f>VLOOKUP(A30,[26]HISTOJUIL25!$A$6:$BR$51,54,0)</f>
        <v>0</v>
      </c>
      <c r="AF30" s="36">
        <f>VLOOKUP($A30,[26]HISTOJUIL25!$A$6:$BR$51,60,0)</f>
        <v>0</v>
      </c>
      <c r="AG30" s="36">
        <f>VLOOKUP($A30,[26]HISTOJUIL25!$A$6:$CB$51,61,0)</f>
        <v>0</v>
      </c>
      <c r="AH30" s="36">
        <f>VLOOKUP($A30,[26]HISTOJUIL25!$A$6:$CB$51,62,0)</f>
        <v>0</v>
      </c>
      <c r="AI30" s="36">
        <f>VLOOKUP($A30,[26]HISTOJUIL25!$A$6:$CB$51,63,0)</f>
        <v>0</v>
      </c>
      <c r="AJ30" s="36">
        <f>VLOOKUP($A30,[26]HISTOJUIL25!$A$6:$BR$51,64,0)</f>
        <v>0</v>
      </c>
      <c r="AK30" s="36">
        <f>VLOOKUP($A30,[26]HISTOJUIL25!$A$6:$BR$51,65,0)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VLOOKUP($A31,[26]HISTOJUIL25!$A$6:$BA$51,48,0)</f>
        <v>0</v>
      </c>
      <c r="F31" s="36">
        <f>VLOOKUP(A31,MVTJUIN25!A31:AM66,6,0)+MVTJUIN25!H31-E31+L31</f>
        <v>984085.5384216666</v>
      </c>
      <c r="G31" s="5">
        <f>IF(MVTJUIL25!F31&gt;800000,(MVTJUIN25!I31-E31+L31),0)</f>
        <v>984085.5384216666</v>
      </c>
      <c r="H31" s="36">
        <f>VLOOKUP(A31,[27]MVTJUIL25!$A$6:$AM$42,8,0)</f>
        <v>1455.4792123409516</v>
      </c>
      <c r="I31" s="6">
        <f t="shared" si="1"/>
        <v>985541.0176340075</v>
      </c>
      <c r="J31" s="36">
        <f>VLOOKUP($A31,[26]HISTOJUIL25!$A$6:$AQ$51,22,0)</f>
        <v>0</v>
      </c>
      <c r="K31" s="36">
        <f>VLOOKUP($A31,[26]HISTOJUIL25!$A$6:$AU$51,45,0)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VLOOKUP($A31,[26]HISTOJUIL25!$A$6:$AU$51,8,0)</f>
        <v>0</v>
      </c>
      <c r="Q31" s="36">
        <f>VLOOKUP($A31,[26]HISTOJUIL25!$A$6:$AU$51,23,0)</f>
        <v>0</v>
      </c>
      <c r="R31" s="36">
        <f>VLOOKUP($A31,[26]HISTOJUIL25!$A$6:$AU$51,46,0)</f>
        <v>0</v>
      </c>
      <c r="S31" s="36">
        <f>VLOOKUP($A31,[26]HISTOJUIL25!$A$6:$AU$51,26,0)</f>
        <v>0</v>
      </c>
      <c r="T31" s="36">
        <f>VLOOKUP($A31,[26]HISTOJUIL25!$A$6:$BG$51,58,0)</f>
        <v>0</v>
      </c>
      <c r="U31" s="36">
        <f>VLOOKUP($A31,[26]HISTOJUIL25!$A$6:$AU$51,28,0)</f>
        <v>0</v>
      </c>
      <c r="V31" s="36">
        <f>VLOOKUP($A31,[26]HISTOJUIL25!$A$6:$AU$51,19,0)</f>
        <v>0</v>
      </c>
      <c r="W31" s="36">
        <f>VLOOKUP($A31,[26]HISTOJUIL25!$A$6:$AU$51,20,0)</f>
        <v>0</v>
      </c>
      <c r="X31" s="36">
        <f>VLOOKUP($A31,[26]HISTOJUIL25!$A$6:$AU$51,27,0)</f>
        <v>0</v>
      </c>
      <c r="Y31" s="36">
        <f>VLOOKUP($A31,[26]HISTOJUIL25!$A$6:$BM$51,33,0)</f>
        <v>0</v>
      </c>
      <c r="Z31" s="36">
        <f>VLOOKUP($A31,[26]HISTOJUIL25!$A$6:$BM$51,64,0)</f>
        <v>0</v>
      </c>
      <c r="AA31" s="36"/>
      <c r="AB31" s="36">
        <f>VLOOKUP($A31,[26]HISTOJUIL25!$A$6:$AU$51,44,0)</f>
        <v>0</v>
      </c>
      <c r="AC31" s="36">
        <f>VLOOKUP($A31,[26]HISTOJUIL25!$A$6:$AU$51,43,0)</f>
        <v>0</v>
      </c>
      <c r="AD31" s="36">
        <f>VLOOKUP($A31,[26]HISTOJUIL25!$A$6:$BR$51,47,0)</f>
        <v>0</v>
      </c>
      <c r="AE31" s="36">
        <f>VLOOKUP(A31,[26]HISTOJUIL25!$A$6:$BR$51,54,0)</f>
        <v>0</v>
      </c>
      <c r="AF31" s="36">
        <f>VLOOKUP($A31,[26]HISTOJUIL25!$A$6:$BR$51,60,0)</f>
        <v>0</v>
      </c>
      <c r="AG31" s="36">
        <f>VLOOKUP($A31,[26]HISTOJUIL25!$A$6:$CB$51,61,0)</f>
        <v>0</v>
      </c>
      <c r="AH31" s="36">
        <f>VLOOKUP($A31,[26]HISTOJUIL25!$A$6:$CB$51,62,0)</f>
        <v>0</v>
      </c>
      <c r="AI31" s="36">
        <f>VLOOKUP($A31,[26]HISTOJUIL25!$A$6:$CB$51,63,0)</f>
        <v>0</v>
      </c>
      <c r="AJ31" s="36">
        <f>VLOOKUP($A31,[26]HISTOJUIL25!$A$6:$BR$51,64,0)</f>
        <v>0</v>
      </c>
      <c r="AK31" s="36">
        <f>VLOOKUP($A31,[26]HISTOJUIL25!$A$6:$BR$51,65,0)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VLOOKUP($A32,[26]HISTOJUIL25!$A$6:$BA$51,48,0)</f>
        <v>0</v>
      </c>
      <c r="F32" s="36">
        <f>VLOOKUP(A32,MVTJUIN25!A32:AM67,6,0)+MVTJUIN25!H32-E32+L32</f>
        <v>1079900.3016237428</v>
      </c>
      <c r="G32" s="5">
        <f>IF(MVTJUIL25!F32&gt;800000,(MVTJUIN25!I32-E32+L32),0)</f>
        <v>1079900.3016237428</v>
      </c>
      <c r="H32" s="36">
        <f>VLOOKUP(A32,[27]MVTJUIL25!$A$6:$AM$42,8,0)</f>
        <v>1597.1908731988692</v>
      </c>
      <c r="I32" s="6">
        <f t="shared" si="1"/>
        <v>1081497.4924969417</v>
      </c>
      <c r="J32" s="36">
        <f>VLOOKUP($A32,[26]HISTOJUIL25!$A$6:$AQ$51,22,0)</f>
        <v>0</v>
      </c>
      <c r="K32" s="36">
        <f>VLOOKUP($A32,[26]HISTOJUIL25!$A$6:$AU$51,45,0)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VLOOKUP($A32,[26]HISTOJUIL25!$A$6:$AU$51,8,0)</f>
        <v>0</v>
      </c>
      <c r="Q32" s="36">
        <f>VLOOKUP($A32,[26]HISTOJUIL25!$A$6:$AU$51,23,0)</f>
        <v>0</v>
      </c>
      <c r="R32" s="36">
        <f>VLOOKUP($A32,[26]HISTOJUIL25!$A$6:$AU$51,46,0)</f>
        <v>0</v>
      </c>
      <c r="S32" s="36">
        <f>VLOOKUP($A32,[26]HISTOJUIL25!$A$6:$AU$51,26,0)</f>
        <v>0</v>
      </c>
      <c r="T32" s="36">
        <f>VLOOKUP($A32,[26]HISTOJUIL25!$A$6:$BG$51,58,0)</f>
        <v>0</v>
      </c>
      <c r="U32" s="36">
        <f>VLOOKUP($A32,[26]HISTOJUIL25!$A$6:$AU$51,28,0)</f>
        <v>0</v>
      </c>
      <c r="V32" s="36">
        <f>VLOOKUP($A32,[26]HISTOJUIL25!$A$6:$AU$51,19,0)</f>
        <v>0</v>
      </c>
      <c r="W32" s="36">
        <f>VLOOKUP($A32,[26]HISTOJUIL25!$A$6:$AU$51,20,0)</f>
        <v>0</v>
      </c>
      <c r="X32" s="36">
        <f>VLOOKUP($A32,[26]HISTOJUIL25!$A$6:$AU$51,27,0)</f>
        <v>0</v>
      </c>
      <c r="Y32" s="36">
        <f>VLOOKUP($A32,[26]HISTOJUIL25!$A$6:$BM$51,33,0)</f>
        <v>0</v>
      </c>
      <c r="Z32" s="36">
        <f>VLOOKUP($A32,[26]HISTOJUIL25!$A$6:$BM$51,64,0)</f>
        <v>0</v>
      </c>
      <c r="AA32" s="36"/>
      <c r="AB32" s="36">
        <f>VLOOKUP($A32,[26]HISTOJUIL25!$A$6:$AU$51,44,0)</f>
        <v>0</v>
      </c>
      <c r="AC32" s="36">
        <f>VLOOKUP($A32,[26]HISTOJUIL25!$A$6:$AU$51,43,0)</f>
        <v>0</v>
      </c>
      <c r="AD32" s="36">
        <f>VLOOKUP($A32,[26]HISTOJUIL25!$A$6:$BR$51,47,0)</f>
        <v>0</v>
      </c>
      <c r="AE32" s="36">
        <f>VLOOKUP(A32,[26]HISTOJUIL25!$A$6:$BR$51,54,0)</f>
        <v>0</v>
      </c>
      <c r="AF32" s="36">
        <f>VLOOKUP($A32,[26]HISTOJUIL25!$A$6:$BR$51,60,0)</f>
        <v>0</v>
      </c>
      <c r="AG32" s="36">
        <f>VLOOKUP($A32,[26]HISTOJUIL25!$A$6:$CB$51,61,0)</f>
        <v>0</v>
      </c>
      <c r="AH32" s="36">
        <f>VLOOKUP($A32,[26]HISTOJUIL25!$A$6:$CB$51,62,0)</f>
        <v>0</v>
      </c>
      <c r="AI32" s="36">
        <f>VLOOKUP($A32,[26]HISTOJUIL25!$A$6:$CB$51,63,0)</f>
        <v>0</v>
      </c>
      <c r="AJ32" s="36">
        <f>VLOOKUP($A32,[26]HISTOJUIL25!$A$6:$BR$51,64,0)</f>
        <v>0</v>
      </c>
      <c r="AK32" s="36">
        <f>VLOOKUP($A32,[26]HISTOJUIL25!$A$6:$BR$51,65,0)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VLOOKUP($A33,[26]HISTOJUIL25!$A$6:$BA$51,48,0)</f>
        <v>0</v>
      </c>
      <c r="F33" s="36">
        <f>VLOOKUP(A33,MVTJUIN25!A33:AM68,6,0)+MVTJUIN25!H33-E33+L33</f>
        <v>124000</v>
      </c>
      <c r="G33" s="5">
        <f>IF(MVTJUIL25!F33&gt;800000,(MVTJUIN25!I33-E33+L33),0)</f>
        <v>0</v>
      </c>
      <c r="H33" s="36">
        <f>VLOOKUP(A33,[27]MVTJUIL25!$A$6:$AM$42,8,0)</f>
        <v>0</v>
      </c>
      <c r="I33" s="6">
        <f t="shared" si="1"/>
        <v>124000</v>
      </c>
      <c r="J33" s="36">
        <f>VLOOKUP($A33,[26]HISTOJUIL25!$A$6:$AQ$51,22,0)</f>
        <v>0</v>
      </c>
      <c r="K33" s="36">
        <f>VLOOKUP($A33,[26]HISTOJUIL25!$A$6:$AU$51,45,0)</f>
        <v>22000</v>
      </c>
      <c r="L33" s="36">
        <f t="shared" si="2"/>
        <v>16000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VLOOKUP($A33,[26]HISTOJUIL25!$A$6:$AU$51,8,0)</f>
        <v>3000</v>
      </c>
      <c r="Q33" s="36">
        <f>VLOOKUP($A33,[26]HISTOJUIL25!$A$6:$AU$51,23,0)</f>
        <v>0</v>
      </c>
      <c r="R33" s="36">
        <f>VLOOKUP($A33,[26]HISTOJUIL25!$A$6:$AU$51,46,0)</f>
        <v>0</v>
      </c>
      <c r="S33" s="36">
        <f>VLOOKUP($A33,[26]HISTOJUIL25!$A$6:$AU$51,26,0)</f>
        <v>0</v>
      </c>
      <c r="T33" s="36">
        <f>VLOOKUP($A33,[26]HISTOJUIL25!$A$6:$BG$51,58,0)</f>
        <v>0</v>
      </c>
      <c r="U33" s="36">
        <f>VLOOKUP($A33,[26]HISTOJUIL25!$A$6:$AU$51,28,0)</f>
        <v>0</v>
      </c>
      <c r="V33" s="36">
        <f>VLOOKUP($A33,[26]HISTOJUIL25!$A$6:$AU$51,19,0)</f>
        <v>0</v>
      </c>
      <c r="W33" s="36">
        <f>VLOOKUP($A33,[26]HISTOJUIL25!$A$6:$AU$51,20,0)</f>
        <v>0</v>
      </c>
      <c r="X33" s="36">
        <f>VLOOKUP($A33,[26]HISTOJUIL25!$A$6:$AU$51,27,0)</f>
        <v>0</v>
      </c>
      <c r="Y33" s="36">
        <f>VLOOKUP($A33,[26]HISTOJUIL25!$A$6:$BM$51,33,0)</f>
        <v>0</v>
      </c>
      <c r="Z33" s="36">
        <f>VLOOKUP($A33,[26]HISTOJUIL25!$A$6:$BM$51,64,0)</f>
        <v>0</v>
      </c>
      <c r="AA33" s="36"/>
      <c r="AB33" s="36">
        <f>VLOOKUP($A33,[26]HISTOJUIL25!$A$6:$AU$51,44,0)</f>
        <v>0</v>
      </c>
      <c r="AC33" s="36">
        <f>VLOOKUP($A33,[26]HISTOJUIL25!$A$6:$AU$51,43,0)</f>
        <v>0</v>
      </c>
      <c r="AD33" s="36">
        <f>VLOOKUP($A33,[26]HISTOJUIL25!$A$6:$BR$51,47,0)</f>
        <v>0</v>
      </c>
      <c r="AE33" s="36">
        <f>VLOOKUP(A33,[26]HISTOJUIL25!$A$6:$BR$51,54,0)</f>
        <v>0</v>
      </c>
      <c r="AF33" s="36">
        <f>VLOOKUP($A33,[26]HISTOJUIL25!$A$6:$BR$51,60,0)</f>
        <v>0</v>
      </c>
      <c r="AG33" s="36">
        <f>VLOOKUP($A33,[26]HISTOJUIL25!$A$6:$CB$51,61,0)</f>
        <v>0</v>
      </c>
      <c r="AH33" s="36">
        <f>VLOOKUP($A33,[26]HISTOJUIL25!$A$6:$CB$51,62,0)</f>
        <v>0</v>
      </c>
      <c r="AI33" s="36">
        <f>VLOOKUP($A33,[26]HISTOJUIL25!$A$6:$CB$51,63,0)</f>
        <v>0</v>
      </c>
      <c r="AJ33" s="36">
        <f>VLOOKUP($A33,[26]HISTOJUIL25!$A$6:$BR$51,64,0)</f>
        <v>0</v>
      </c>
      <c r="AK33" s="36">
        <f>VLOOKUP($A33,[26]HISTOJUIL25!$A$6:$BR$51,65,0)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VLOOKUP($A34,[26]HISTOJUIL25!$A$6:$BA$51,48,0)</f>
        <v>0</v>
      </c>
      <c r="F34" s="36">
        <f>VLOOKUP(A34,MVTJUIN25!A34:AM69,6,0)+MVTJUIN25!H34-E34+L34</f>
        <v>1045537.2277693315</v>
      </c>
      <c r="G34" s="5">
        <f>IF(MVTJUIL25!F34&gt;800000,(MVTJUIN25!I34-E34+L34),0)</f>
        <v>1045537.2277693315</v>
      </c>
      <c r="H34" s="36">
        <f>VLOOKUP(A34,[27]MVTJUIL25!$A$6:$AM$42,8,0)</f>
        <v>1546.3673037889896</v>
      </c>
      <c r="I34" s="6">
        <f t="shared" si="1"/>
        <v>1047083.5950731206</v>
      </c>
      <c r="J34" s="36">
        <f>VLOOKUP($A34,[26]HISTOJUIL25!$A$6:$AQ$51,22,0)</f>
        <v>0</v>
      </c>
      <c r="K34" s="36">
        <f>VLOOKUP($A34,[26]HISTOJUIL25!$A$6:$AU$51,45,0)</f>
        <v>25000</v>
      </c>
      <c r="L34" s="36">
        <f t="shared" si="2"/>
        <v>19000</v>
      </c>
      <c r="M34" s="36">
        <f t="shared" si="3"/>
        <v>1000</v>
      </c>
      <c r="N34" s="36">
        <f t="shared" si="0"/>
        <v>1000</v>
      </c>
      <c r="O34" s="36">
        <f t="shared" si="4"/>
        <v>4000</v>
      </c>
      <c r="P34" s="36">
        <f>VLOOKUP($A34,[26]HISTOJUIL25!$A$6:$AU$51,8,0)</f>
        <v>0</v>
      </c>
      <c r="Q34" s="36">
        <f>VLOOKUP($A34,[26]HISTOJUIL25!$A$6:$AU$51,23,0)</f>
        <v>0</v>
      </c>
      <c r="R34" s="36">
        <f>VLOOKUP($A34,[26]HISTOJUIL25!$A$6:$AU$51,46,0)</f>
        <v>0</v>
      </c>
      <c r="S34" s="36">
        <f>VLOOKUP($A34,[26]HISTOJUIL25!$A$6:$AU$51,26,0)</f>
        <v>0</v>
      </c>
      <c r="T34" s="36">
        <f>VLOOKUP($A34,[26]HISTOJUIL25!$A$6:$BG$51,58,0)</f>
        <v>0</v>
      </c>
      <c r="U34" s="36">
        <f>VLOOKUP($A34,[26]HISTOJUIL25!$A$6:$AU$51,28,0)</f>
        <v>0</v>
      </c>
      <c r="V34" s="36">
        <f>VLOOKUP($A34,[26]HISTOJUIL25!$A$6:$AU$51,19,0)</f>
        <v>0</v>
      </c>
      <c r="W34" s="36">
        <f>VLOOKUP($A34,[26]HISTOJUIL25!$A$6:$AU$51,20,0)</f>
        <v>0</v>
      </c>
      <c r="X34" s="36">
        <f>VLOOKUP($A34,[26]HISTOJUIL25!$A$6:$AU$51,27,0)</f>
        <v>0</v>
      </c>
      <c r="Y34" s="36">
        <f>VLOOKUP($A34,[26]HISTOJUIL25!$A$6:$BM$51,33,0)</f>
        <v>0</v>
      </c>
      <c r="Z34" s="36">
        <f>VLOOKUP($A34,[26]HISTOJUIL25!$A$6:$BM$51,64,0)</f>
        <v>0</v>
      </c>
      <c r="AA34" s="36"/>
      <c r="AB34" s="36">
        <f>VLOOKUP($A34,[26]HISTOJUIL25!$A$6:$AU$51,44,0)</f>
        <v>0</v>
      </c>
      <c r="AC34" s="36">
        <f>VLOOKUP($A34,[26]HISTOJUIL25!$A$6:$AU$51,43,0)</f>
        <v>0</v>
      </c>
      <c r="AD34" s="36">
        <f>VLOOKUP($A34,[26]HISTOJUIL25!$A$6:$BR$51,47,0)</f>
        <v>0</v>
      </c>
      <c r="AE34" s="36">
        <f>VLOOKUP(A34,[26]HISTOJUIL25!$A$6:$BR$51,54,0)</f>
        <v>0</v>
      </c>
      <c r="AF34" s="36">
        <f>VLOOKUP($A34,[26]HISTOJUIL25!$A$6:$BR$51,60,0)</f>
        <v>0</v>
      </c>
      <c r="AG34" s="36">
        <f>VLOOKUP($A34,[26]HISTOJUIL25!$A$6:$CB$51,61,0)</f>
        <v>0</v>
      </c>
      <c r="AH34" s="36">
        <f>VLOOKUP($A34,[26]HISTOJUIL25!$A$6:$CB$51,62,0)</f>
        <v>0</v>
      </c>
      <c r="AI34" s="36">
        <f>VLOOKUP($A34,[26]HISTOJUIL25!$A$6:$CB$51,63,0)</f>
        <v>0</v>
      </c>
      <c r="AJ34" s="36">
        <f>VLOOKUP($A34,[26]HISTOJUIL25!$A$6:$BR$51,64,0)</f>
        <v>0</v>
      </c>
      <c r="AK34" s="36">
        <f>VLOOKUP($A34,[26]HISTOJUIL25!$A$6:$BR$51,65,0)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VLOOKUP($A35,[26]HISTOJUIL25!$A$6:$BA$51,48,0)</f>
        <v>0</v>
      </c>
      <c r="F35" s="36">
        <f>VLOOKUP(A35,MVTJUIN25!A35:AM70,6,0)+MVTJUIN25!H35-E35+L35</f>
        <v>1001323.6557935521</v>
      </c>
      <c r="G35" s="5">
        <f>IF(MVTJUIL25!F35&gt;800000,(MVTJUIN25!I35-E35+L35),0)</f>
        <v>1001323.6557935521</v>
      </c>
      <c r="H35" s="36">
        <f>VLOOKUP(A35,[27]MVTJUIL25!$A$6:$AM$42,8,0)</f>
        <v>1480.9746804838053</v>
      </c>
      <c r="I35" s="6">
        <f t="shared" si="1"/>
        <v>1002804.6304740359</v>
      </c>
      <c r="J35" s="36">
        <f>VLOOKUP($A35,[26]HISTOJUIL25!$A$6:$AQ$51,22,0)</f>
        <v>0</v>
      </c>
      <c r="K35" s="36">
        <f>VLOOKUP($A35,[26]HISTOJUIL25!$A$6:$AU$51,45,0)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VLOOKUP($A35,[26]HISTOJUIL25!$A$6:$AU$51,8,0)</f>
        <v>0</v>
      </c>
      <c r="Q35" s="36">
        <f>VLOOKUP($A35,[26]HISTOJUIL25!$A$6:$AU$51,23,0)</f>
        <v>0</v>
      </c>
      <c r="R35" s="36">
        <f>VLOOKUP($A35,[26]HISTOJUIL25!$A$6:$AU$51,46,0)</f>
        <v>0</v>
      </c>
      <c r="S35" s="36">
        <f>VLOOKUP($A35,[26]HISTOJUIL25!$A$6:$AU$51,26,0)</f>
        <v>0</v>
      </c>
      <c r="T35" s="36">
        <f>VLOOKUP($A35,[26]HISTOJUIL25!$A$6:$BG$51,58,0)</f>
        <v>0</v>
      </c>
      <c r="U35" s="36">
        <f>VLOOKUP($A35,[26]HISTOJUIL25!$A$6:$AU$51,28,0)</f>
        <v>0</v>
      </c>
      <c r="V35" s="36">
        <f>VLOOKUP($A35,[26]HISTOJUIL25!$A$6:$AU$51,19,0)</f>
        <v>0</v>
      </c>
      <c r="W35" s="36">
        <f>VLOOKUP($A35,[26]HISTOJUIL25!$A$6:$AU$51,20,0)</f>
        <v>0</v>
      </c>
      <c r="X35" s="36">
        <f>VLOOKUP($A35,[26]HISTOJUIL25!$A$6:$AU$51,27,0)</f>
        <v>0</v>
      </c>
      <c r="Y35" s="36">
        <f>VLOOKUP($A35,[26]HISTOJUIL25!$A$6:$BM$51,33,0)</f>
        <v>0</v>
      </c>
      <c r="Z35" s="36">
        <f>VLOOKUP($A35,[26]HISTOJUIL25!$A$6:$BM$51,64,0)</f>
        <v>0</v>
      </c>
      <c r="AA35" s="36"/>
      <c r="AB35" s="36">
        <f>VLOOKUP($A35,[26]HISTOJUIL25!$A$6:$AU$51,44,0)</f>
        <v>0</v>
      </c>
      <c r="AC35" s="36">
        <f>VLOOKUP($A35,[26]HISTOJUIL25!$A$6:$AU$51,43,0)</f>
        <v>0</v>
      </c>
      <c r="AD35" s="36">
        <f>VLOOKUP($A35,[26]HISTOJUIL25!$A$6:$BR$51,47,0)</f>
        <v>0</v>
      </c>
      <c r="AE35" s="36">
        <f>VLOOKUP(A35,[26]HISTOJUIL25!$A$6:$BR$51,54,0)</f>
        <v>0</v>
      </c>
      <c r="AF35" s="36">
        <f>VLOOKUP($A35,[26]HISTOJUIL25!$A$6:$BR$51,60,0)</f>
        <v>0</v>
      </c>
      <c r="AG35" s="36">
        <f>VLOOKUP($A35,[26]HISTOJUIL25!$A$6:$CB$51,61,0)</f>
        <v>0</v>
      </c>
      <c r="AH35" s="36">
        <f>VLOOKUP($A35,[26]HISTOJUIL25!$A$6:$CB$51,62,0)</f>
        <v>0</v>
      </c>
      <c r="AI35" s="36">
        <f>VLOOKUP($A35,[26]HISTOJUIL25!$A$6:$CB$51,63,0)</f>
        <v>0</v>
      </c>
      <c r="AJ35" s="36">
        <f>VLOOKUP($A35,[26]HISTOJUIL25!$A$6:$BR$51,64,0)</f>
        <v>0</v>
      </c>
      <c r="AK35" s="36">
        <f>VLOOKUP($A35,[26]HISTOJUIL25!$A$6:$BR$51,65,0)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VLOOKUP($A36,[26]HISTOJUIL25!$A$6:$BA$51,48,0)</f>
        <v>0</v>
      </c>
      <c r="F36" s="36">
        <f>VLOOKUP(A36,MVTJUIN25!A36:AM71,6,0)+MVTJUIN25!H36-E36+L36</f>
        <v>991168.14919685025</v>
      </c>
      <c r="G36" s="5">
        <f>IF(MVTJUIL25!F36&gt;800000,(MVTJUIN25!I36-E36+L36),0)</f>
        <v>991168.14919685025</v>
      </c>
      <c r="H36" s="36">
        <f>VLOOKUP(A36,[27]MVTJUIL25!$A$6:$AM$42,8,0)</f>
        <v>1465.9545138771527</v>
      </c>
      <c r="I36" s="6">
        <f t="shared" si="1"/>
        <v>992634.10371072742</v>
      </c>
      <c r="J36" s="36">
        <f>VLOOKUP($A36,[26]HISTOJUIL25!$A$6:$AQ$51,22,0)</f>
        <v>0</v>
      </c>
      <c r="K36" s="36">
        <f>VLOOKUP($A36,[26]HISTOJUIL25!$A$6:$AU$51,45,0)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VLOOKUP($A36,[26]HISTOJUIL25!$A$6:$AU$51,8,0)</f>
        <v>0</v>
      </c>
      <c r="Q36" s="36">
        <f>VLOOKUP($A36,[26]HISTOJUIL25!$A$6:$AU$51,23,0)</f>
        <v>0</v>
      </c>
      <c r="R36" s="36">
        <f>VLOOKUP($A36,[26]HISTOJUIL25!$A$6:$AU$51,46,0)</f>
        <v>0</v>
      </c>
      <c r="S36" s="36">
        <f>VLOOKUP($A36,[26]HISTOJUIL25!$A$6:$AU$51,26,0)</f>
        <v>0</v>
      </c>
      <c r="T36" s="36">
        <f>VLOOKUP($A36,[26]HISTOJUIL25!$A$6:$BG$51,58,0)</f>
        <v>0</v>
      </c>
      <c r="U36" s="36">
        <f>VLOOKUP($A36,[26]HISTOJUIL25!$A$6:$AU$51,28,0)</f>
        <v>0</v>
      </c>
      <c r="V36" s="36">
        <f>VLOOKUP($A36,[26]HISTOJUIL25!$A$6:$AU$51,19,0)</f>
        <v>0</v>
      </c>
      <c r="W36" s="36">
        <f>VLOOKUP($A36,[26]HISTOJUIL25!$A$6:$AU$51,20,0)</f>
        <v>0</v>
      </c>
      <c r="X36" s="36">
        <f>VLOOKUP($A36,[26]HISTOJUIL25!$A$6:$AU$51,27,0)</f>
        <v>0</v>
      </c>
      <c r="Y36" s="36">
        <f>VLOOKUP($A36,[26]HISTOJUIL25!$A$6:$BM$51,33,0)</f>
        <v>0</v>
      </c>
      <c r="Z36" s="36">
        <f>VLOOKUP($A36,[26]HISTOJUIL25!$A$6:$BM$51,64,0)</f>
        <v>0</v>
      </c>
      <c r="AA36" s="36"/>
      <c r="AB36" s="36">
        <f>VLOOKUP($A36,[26]HISTOJUIL25!$A$6:$AU$51,44,0)</f>
        <v>0</v>
      </c>
      <c r="AC36" s="36">
        <f>VLOOKUP($A36,[26]HISTOJUIL25!$A$6:$AU$51,43,0)</f>
        <v>0</v>
      </c>
      <c r="AD36" s="36">
        <f>VLOOKUP($A36,[26]HISTOJUIL25!$A$6:$BR$51,47,0)</f>
        <v>0</v>
      </c>
      <c r="AE36" s="36">
        <f>VLOOKUP(A36,[26]HISTOJUIL25!$A$6:$BR$51,54,0)</f>
        <v>0</v>
      </c>
      <c r="AF36" s="36">
        <f>VLOOKUP($A36,[26]HISTOJUIL25!$A$6:$BR$51,60,0)</f>
        <v>0</v>
      </c>
      <c r="AG36" s="36">
        <f>VLOOKUP($A36,[26]HISTOJUIL25!$A$6:$CB$51,61,0)</f>
        <v>0</v>
      </c>
      <c r="AH36" s="36">
        <f>VLOOKUP($A36,[26]HISTOJUIL25!$A$6:$CB$51,62,0)</f>
        <v>0</v>
      </c>
      <c r="AI36" s="36">
        <f>VLOOKUP($A36,[26]HISTOJUIL25!$A$6:$CB$51,63,0)</f>
        <v>0</v>
      </c>
      <c r="AJ36" s="36">
        <f>VLOOKUP($A36,[26]HISTOJUIL25!$A$6:$BR$51,64,0)</f>
        <v>0</v>
      </c>
      <c r="AK36" s="36">
        <f>VLOOKUP($A36,[26]HISTOJUIL25!$A$6:$BR$51,65,0)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VLOOKUP($A37,[26]HISTOJUIL25!$A$6:$BA$51,48,0)</f>
        <v>0</v>
      </c>
      <c r="F37" s="36">
        <f>VLOOKUP(A37,MVTJUIN25!A37:AM72,6,0)+MVTJUIN25!H37-E37+L37</f>
        <v>617750</v>
      </c>
      <c r="G37" s="5">
        <f>IF(MVTJUIL25!F37&gt;800000,(MVTJUIN25!I37-E37+L37),0)</f>
        <v>0</v>
      </c>
      <c r="H37" s="36">
        <f>VLOOKUP(A37,[27]MVTJUIL25!$A$6:$AM$42,8,0)</f>
        <v>0</v>
      </c>
      <c r="I37" s="6">
        <f t="shared" si="1"/>
        <v>617750</v>
      </c>
      <c r="J37" s="36">
        <f>VLOOKUP($A37,[26]HISTOJUIL25!$A$6:$AQ$51,22,0)</f>
        <v>0</v>
      </c>
      <c r="K37" s="36">
        <f>VLOOKUP($A37,[26]HISTOJUIL25!$A$6:$AU$51,45,0)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VLOOKUP($A37,[26]HISTOJUIL25!$A$6:$AU$51,8,0)</f>
        <v>0</v>
      </c>
      <c r="Q37" s="36">
        <f>VLOOKUP($A37,[26]HISTOJUIL25!$A$6:$AU$51,23,0)</f>
        <v>0</v>
      </c>
      <c r="R37" s="36">
        <f>VLOOKUP($A37,[26]HISTOJUIL25!$A$6:$AU$51,46,0)</f>
        <v>0</v>
      </c>
      <c r="S37" s="36">
        <f>VLOOKUP($A37,[26]HISTOJUIL25!$A$6:$AU$51,26,0)</f>
        <v>0</v>
      </c>
      <c r="T37" s="36">
        <f>VLOOKUP($A37,[26]HISTOJUIL25!$A$6:$BG$51,58,0)</f>
        <v>0</v>
      </c>
      <c r="U37" s="36">
        <f>VLOOKUP($A37,[26]HISTOJUIL25!$A$6:$AU$51,28,0)</f>
        <v>0</v>
      </c>
      <c r="V37" s="36">
        <f>VLOOKUP($A37,[26]HISTOJUIL25!$A$6:$AU$51,19,0)</f>
        <v>0</v>
      </c>
      <c r="W37" s="36">
        <f>VLOOKUP($A37,[26]HISTOJUIL25!$A$6:$AU$51,20,0)</f>
        <v>0</v>
      </c>
      <c r="X37" s="36">
        <f>VLOOKUP($A37,[26]HISTOJUIL25!$A$6:$AU$51,27,0)</f>
        <v>0</v>
      </c>
      <c r="Y37" s="36">
        <f>VLOOKUP($A37,[26]HISTOJUIL25!$A$6:$BM$51,33,0)</f>
        <v>0</v>
      </c>
      <c r="Z37" s="36">
        <f>VLOOKUP($A37,[26]HISTOJUIL25!$A$6:$BM$51,64,0)</f>
        <v>0</v>
      </c>
      <c r="AA37" s="36"/>
      <c r="AB37" s="36">
        <f>VLOOKUP($A37,[26]HISTOJUIL25!$A$6:$AU$51,44,0)</f>
        <v>0</v>
      </c>
      <c r="AC37" s="36">
        <f>VLOOKUP($A37,[26]HISTOJUIL25!$A$6:$AU$51,43,0)</f>
        <v>0</v>
      </c>
      <c r="AD37" s="36">
        <f>VLOOKUP($A37,[26]HISTOJUIL25!$A$6:$BR$51,47,0)</f>
        <v>0</v>
      </c>
      <c r="AE37" s="36">
        <f>VLOOKUP(A37,[26]HISTOJUIL25!$A$6:$BR$51,54,0)</f>
        <v>0</v>
      </c>
      <c r="AF37" s="36">
        <f>VLOOKUP($A37,[26]HISTOJUIL25!$A$6:$BR$51,60,0)</f>
        <v>0</v>
      </c>
      <c r="AG37" s="36">
        <f>VLOOKUP($A37,[26]HISTOJUIL25!$A$6:$CB$51,61,0)</f>
        <v>0</v>
      </c>
      <c r="AH37" s="36">
        <f>VLOOKUP($A37,[26]HISTOJUIL25!$A$6:$CB$51,62,0)</f>
        <v>0</v>
      </c>
      <c r="AI37" s="36">
        <f>VLOOKUP($A37,[26]HISTOJUIL25!$A$6:$CB$51,63,0)</f>
        <v>0</v>
      </c>
      <c r="AJ37" s="36">
        <f>VLOOKUP($A37,[26]HISTOJUIL25!$A$6:$BR$51,64,0)</f>
        <v>0</v>
      </c>
      <c r="AK37" s="36">
        <f>VLOOKUP($A37,[26]HISTOJUIL25!$A$6:$BR$51,65,0)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VLOOKUP($A38,[26]HISTOJUIL25!$A$6:$BA$51,48,0)</f>
        <v>0</v>
      </c>
      <c r="F38" s="36">
        <f>VLOOKUP(A38,MVTJUIN25!A38:AM73,6,0)+MVTJUIN25!H38-E38+L38</f>
        <v>121000</v>
      </c>
      <c r="G38" s="5">
        <f>IF(MVTJUIL25!F38&gt;800000,(MVTJUIN25!I38-E38+L38),0)</f>
        <v>0</v>
      </c>
      <c r="H38" s="36">
        <f>VLOOKUP(A38,[27]MVTJUIL25!$A$6:$AM$42,8,0)</f>
        <v>0</v>
      </c>
      <c r="I38" s="6">
        <f t="shared" si="1"/>
        <v>121000</v>
      </c>
      <c r="J38" s="36">
        <f>VLOOKUP($A38,[26]HISTOJUIL25!$A$6:$AQ$51,22,0)</f>
        <v>0</v>
      </c>
      <c r="K38" s="36">
        <f>VLOOKUP($A38,[26]HISTOJUIL25!$A$6:$AU$51,45,0)</f>
        <v>25000</v>
      </c>
      <c r="L38" s="36">
        <f t="shared" si="2"/>
        <v>19000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VLOOKUP($A38,[26]HISTOJUIL25!$A$6:$AU$51,8,0)</f>
        <v>3000</v>
      </c>
      <c r="Q38" s="36">
        <f>VLOOKUP($A38,[26]HISTOJUIL25!$A$6:$AU$51,23,0)</f>
        <v>0</v>
      </c>
      <c r="R38" s="36">
        <f>VLOOKUP($A38,[26]HISTOJUIL25!$A$6:$AU$51,46,0)</f>
        <v>0</v>
      </c>
      <c r="S38" s="36">
        <f>VLOOKUP($A38,[26]HISTOJUIL25!$A$6:$AU$51,26,0)</f>
        <v>0</v>
      </c>
      <c r="T38" s="36">
        <f>VLOOKUP($A38,[26]HISTOJUIL25!$A$6:$BG$51,58,0)</f>
        <v>0</v>
      </c>
      <c r="U38" s="36">
        <f>VLOOKUP($A38,[26]HISTOJUIL25!$A$6:$AU$51,28,0)</f>
        <v>0</v>
      </c>
      <c r="V38" s="36">
        <f>VLOOKUP($A38,[26]HISTOJUIL25!$A$6:$AU$51,19,0)</f>
        <v>0</v>
      </c>
      <c r="W38" s="36">
        <f>VLOOKUP($A38,[26]HISTOJUIL25!$A$6:$AU$51,20,0)</f>
        <v>0</v>
      </c>
      <c r="X38" s="36">
        <f>VLOOKUP($A38,[26]HISTOJUIL25!$A$6:$AU$51,27,0)</f>
        <v>0</v>
      </c>
      <c r="Y38" s="36">
        <f>VLOOKUP($A38,[26]HISTOJUIL25!$A$6:$BM$51,33,0)</f>
        <v>0</v>
      </c>
      <c r="Z38" s="36">
        <f>VLOOKUP($A38,[26]HISTOJUIL25!$A$6:$BM$51,64,0)</f>
        <v>0</v>
      </c>
      <c r="AA38" s="36"/>
      <c r="AB38" s="36">
        <f>VLOOKUP($A38,[26]HISTOJUIL25!$A$6:$AU$51,44,0)</f>
        <v>0</v>
      </c>
      <c r="AC38" s="36">
        <f>VLOOKUP($A38,[26]HISTOJUIL25!$A$6:$AU$51,43,0)</f>
        <v>0</v>
      </c>
      <c r="AD38" s="36">
        <f>VLOOKUP($A38,[26]HISTOJUIL25!$A$6:$BR$51,47,0)</f>
        <v>0</v>
      </c>
      <c r="AE38" s="36">
        <f>VLOOKUP(A38,[26]HISTOJUIL25!$A$6:$BR$51,54,0)</f>
        <v>0</v>
      </c>
      <c r="AF38" s="36">
        <f>VLOOKUP($A38,[26]HISTOJUIL25!$A$6:$BR$51,60,0)</f>
        <v>0</v>
      </c>
      <c r="AG38" s="36">
        <f>VLOOKUP($A38,[26]HISTOJUIL25!$A$6:$CB$51,61,0)</f>
        <v>0</v>
      </c>
      <c r="AH38" s="36">
        <f>VLOOKUP($A38,[26]HISTOJUIL25!$A$6:$CB$51,62,0)</f>
        <v>0</v>
      </c>
      <c r="AI38" s="36">
        <f>VLOOKUP($A38,[26]HISTOJUIL25!$A$6:$CB$51,63,0)</f>
        <v>0</v>
      </c>
      <c r="AJ38" s="36">
        <f>VLOOKUP($A38,[26]HISTOJUIL25!$A$6:$BR$51,64,0)</f>
        <v>0</v>
      </c>
      <c r="AK38" s="36">
        <f>VLOOKUP($A38,[26]HISTOJUIL25!$A$6:$BR$51,65,0)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VLOOKUP($A39,[26]HISTOJUIL25!$A$6:$BA$51,48,0)</f>
        <v>0</v>
      </c>
      <c r="F39" s="36">
        <f>VLOOKUP(A39,MVTJUIN25!A39:AM74,6,0)+MVTJUIN25!H39-E39+L39</f>
        <v>964952.96785997297</v>
      </c>
      <c r="G39" s="5">
        <f>IF(MVTJUIL25!F39&gt;800000,(MVTJUIN25!I39-E39+L39),0)</f>
        <v>964952.96785997297</v>
      </c>
      <c r="H39" s="36">
        <f>VLOOKUP(A39,[27]MVTJUIL25!$A$6:$AM$42,8,0)</f>
        <v>1427.1818157794146</v>
      </c>
      <c r="I39" s="6">
        <f t="shared" si="1"/>
        <v>966380.14967575239</v>
      </c>
      <c r="J39" s="36">
        <f>VLOOKUP($A39,[26]HISTOJUIL25!$A$6:$AQ$51,22,0)</f>
        <v>0</v>
      </c>
      <c r="K39" s="36">
        <f>VLOOKUP($A39,[26]HISTOJUIL25!$A$6:$AU$51,45,0)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VLOOKUP($A39,[26]HISTOJUIL25!$A$6:$AU$51,8,0)</f>
        <v>0</v>
      </c>
      <c r="Q39" s="36">
        <f>VLOOKUP($A39,[26]HISTOJUIL25!$A$6:$AU$51,23,0)</f>
        <v>0</v>
      </c>
      <c r="R39" s="36">
        <f>VLOOKUP($A39,[26]HISTOJUIL25!$A$6:$AU$51,46,0)</f>
        <v>0</v>
      </c>
      <c r="S39" s="36">
        <f>VLOOKUP($A39,[26]HISTOJUIL25!$A$6:$AU$51,26,0)</f>
        <v>0</v>
      </c>
      <c r="T39" s="36">
        <f>VLOOKUP($A39,[26]HISTOJUIL25!$A$6:$BG$51,58,0)</f>
        <v>0</v>
      </c>
      <c r="U39" s="36">
        <f>VLOOKUP($A39,[26]HISTOJUIL25!$A$6:$AU$51,28,0)</f>
        <v>0</v>
      </c>
      <c r="V39" s="36">
        <f>VLOOKUP($A39,[26]HISTOJUIL25!$A$6:$AU$51,19,0)</f>
        <v>0</v>
      </c>
      <c r="W39" s="36">
        <f>VLOOKUP($A39,[26]HISTOJUIL25!$A$6:$AU$51,20,0)</f>
        <v>0</v>
      </c>
      <c r="X39" s="36">
        <f>VLOOKUP($A39,[26]HISTOJUIL25!$A$6:$AU$51,27,0)</f>
        <v>0</v>
      </c>
      <c r="Y39" s="36">
        <f>VLOOKUP($A39,[26]HISTOJUIL25!$A$6:$BM$51,33,0)</f>
        <v>0</v>
      </c>
      <c r="Z39" s="36">
        <f>VLOOKUP($A39,[26]HISTOJUIL25!$A$6:$BM$51,64,0)</f>
        <v>0</v>
      </c>
      <c r="AA39" s="36"/>
      <c r="AB39" s="36">
        <f>VLOOKUP($A39,[26]HISTOJUIL25!$A$6:$AU$51,44,0)</f>
        <v>0</v>
      </c>
      <c r="AC39" s="36">
        <f>VLOOKUP($A39,[26]HISTOJUIL25!$A$6:$AU$51,43,0)</f>
        <v>0</v>
      </c>
      <c r="AD39" s="36">
        <f>VLOOKUP($A39,[26]HISTOJUIL25!$A$6:$BR$51,47,0)</f>
        <v>0</v>
      </c>
      <c r="AE39" s="36">
        <f>VLOOKUP(A39,[26]HISTOJUIL25!$A$6:$BR$51,54,0)</f>
        <v>0</v>
      </c>
      <c r="AF39" s="36">
        <f>VLOOKUP($A39,[26]HISTOJUIL25!$A$6:$BR$51,60,0)</f>
        <v>0</v>
      </c>
      <c r="AG39" s="36">
        <f>VLOOKUP($A39,[26]HISTOJUIL25!$A$6:$CB$51,61,0)</f>
        <v>0</v>
      </c>
      <c r="AH39" s="36">
        <f>VLOOKUP($A39,[26]HISTOJUIL25!$A$6:$CB$51,62,0)</f>
        <v>0</v>
      </c>
      <c r="AI39" s="36">
        <f>VLOOKUP($A39,[26]HISTOJUIL25!$A$6:$CB$51,63,0)</f>
        <v>0</v>
      </c>
      <c r="AJ39" s="36">
        <f>VLOOKUP($A39,[26]HISTOJUIL25!$A$6:$BR$51,64,0)</f>
        <v>0</v>
      </c>
      <c r="AK39" s="36">
        <f>VLOOKUP($A39,[26]HISTOJUIL25!$A$6:$BR$51,65,0)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VLOOKUP($A40,[26]HISTOJUIL25!$A$6:$BA$51,48,0)</f>
        <v>0</v>
      </c>
      <c r="F40" s="36">
        <f>VLOOKUP(A40,MVTJUIN25!A40:AM75,6,0)+MVTJUIN25!H40-E40+L40</f>
        <v>1784287.4412185347</v>
      </c>
      <c r="G40" s="5">
        <f>IF(MVTJUIL25!F40&gt;800000,(MVTJUIN25!I40-E40+L40),0)</f>
        <v>1784287.4412185347</v>
      </c>
      <c r="H40" s="36">
        <f>VLOOKUP(A40,[27]MVTJUIL25!$A$6:$AM$42,8,0)</f>
        <v>2638.9914068850285</v>
      </c>
      <c r="I40" s="6">
        <f t="shared" si="1"/>
        <v>1786926.4326254197</v>
      </c>
      <c r="J40" s="36">
        <f>VLOOKUP($A40,[26]HISTOJUIL25!$A$6:$AQ$51,22,0)</f>
        <v>0</v>
      </c>
      <c r="K40" s="36">
        <f>VLOOKUP($A40,[26]HISTOJUIL25!$A$6:$AU$51,45,0)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VLOOKUP($A40,[26]HISTOJUIL25!$A$6:$AU$51,8,0)</f>
        <v>0</v>
      </c>
      <c r="Q40" s="36">
        <f>VLOOKUP($A40,[26]HISTOJUIL25!$A$6:$AU$51,23,0)</f>
        <v>0</v>
      </c>
      <c r="R40" s="36">
        <f>VLOOKUP($A40,[26]HISTOJUIL25!$A$6:$AU$51,46,0)</f>
        <v>0</v>
      </c>
      <c r="S40" s="36">
        <f>VLOOKUP($A40,[26]HISTOJUIL25!$A$6:$AU$51,26,0)</f>
        <v>0</v>
      </c>
      <c r="T40" s="36">
        <f>VLOOKUP($A40,[26]HISTOJUIL25!$A$6:$BG$51,58,0)</f>
        <v>0</v>
      </c>
      <c r="U40" s="36">
        <f>VLOOKUP($A40,[26]HISTOJUIL25!$A$6:$AU$51,28,0)</f>
        <v>0</v>
      </c>
      <c r="V40" s="36">
        <f>VLOOKUP($A40,[26]HISTOJUIL25!$A$6:$AU$51,19,0)</f>
        <v>0</v>
      </c>
      <c r="W40" s="36">
        <f>VLOOKUP($A40,[26]HISTOJUIL25!$A$6:$AU$51,20,0)</f>
        <v>0</v>
      </c>
      <c r="X40" s="36">
        <f>VLOOKUP($A40,[26]HISTOJUIL25!$A$6:$AU$51,27,0)</f>
        <v>0</v>
      </c>
      <c r="Y40" s="36">
        <f>VLOOKUP($A40,[26]HISTOJUIL25!$A$6:$BM$51,33,0)</f>
        <v>0</v>
      </c>
      <c r="Z40" s="36">
        <f>VLOOKUP($A40,[26]HISTOJUIL25!$A$6:$BM$51,64,0)</f>
        <v>0</v>
      </c>
      <c r="AA40" s="36"/>
      <c r="AB40" s="36">
        <f>VLOOKUP($A40,[26]HISTOJUIL25!$A$6:$AU$51,44,0)</f>
        <v>0</v>
      </c>
      <c r="AC40" s="36">
        <f>VLOOKUP($A40,[26]HISTOJUIL25!$A$6:$AU$51,43,0)</f>
        <v>0</v>
      </c>
      <c r="AD40" s="36">
        <f>VLOOKUP($A40,[26]HISTOJUIL25!$A$6:$BR$51,47,0)</f>
        <v>0</v>
      </c>
      <c r="AE40" s="36">
        <f>VLOOKUP(A40,[26]HISTOJUIL25!$A$6:$BR$51,54,0)</f>
        <v>0</v>
      </c>
      <c r="AF40" s="36">
        <f>VLOOKUP($A40,[26]HISTOJUIL25!$A$6:$BR$51,60,0)</f>
        <v>0</v>
      </c>
      <c r="AG40" s="36">
        <f>VLOOKUP($A40,[26]HISTOJUIL25!$A$6:$CB$51,61,0)</f>
        <v>0</v>
      </c>
      <c r="AH40" s="36">
        <f>VLOOKUP($A40,[26]HISTOJUIL25!$A$6:$CB$51,62,0)</f>
        <v>0</v>
      </c>
      <c r="AI40" s="36">
        <f>VLOOKUP($A40,[26]HISTOJUIL25!$A$6:$CB$51,63,0)</f>
        <v>0</v>
      </c>
      <c r="AJ40" s="36">
        <f>VLOOKUP($A40,[26]HISTOJUIL25!$A$6:$BR$51,64,0)</f>
        <v>0</v>
      </c>
      <c r="AK40" s="36">
        <f>VLOOKUP($A40,[26]HISTOJUIL25!$A$6:$BR$51,65,0)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VLOOKUP($A41,[26]HISTOJUIL25!$A$6:$BA$51,48,0)</f>
        <v>0</v>
      </c>
      <c r="F41" s="36">
        <f>VLOOKUP(A41,MVTJUIN25!A41:AM76,6,0)+MVTJUIN25!H41-E41+L41</f>
        <v>995075.68525550491</v>
      </c>
      <c r="G41" s="5">
        <f>IF(MVTJUIL25!F41&gt;800000,(MVTJUIN25!I41-E41+L41),0)</f>
        <v>995075.68525550491</v>
      </c>
      <c r="H41" s="36">
        <f>VLOOKUP(A41,[27]MVTJUIL25!$A$6:$AM$42,8,0)</f>
        <v>1471.7338260230929</v>
      </c>
      <c r="I41" s="6">
        <f t="shared" si="1"/>
        <v>996547.41908152797</v>
      </c>
      <c r="J41" s="36">
        <f>VLOOKUP($A41,[26]HISTOJUIL25!$A$6:$AQ$51,22,0)</f>
        <v>0</v>
      </c>
      <c r="K41" s="36">
        <f>VLOOKUP($A41,[26]HISTOJUIL25!$A$6:$AU$51,45,0)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VLOOKUP($A41,[26]HISTOJUIL25!$A$6:$AU$51,8,0)</f>
        <v>0</v>
      </c>
      <c r="Q41" s="36">
        <f>VLOOKUP($A41,[26]HISTOJUIL25!$A$6:$AU$51,23,0)</f>
        <v>0</v>
      </c>
      <c r="R41" s="36">
        <f>VLOOKUP($A41,[26]HISTOJUIL25!$A$6:$AU$51,46,0)</f>
        <v>0</v>
      </c>
      <c r="S41" s="36">
        <f>VLOOKUP($A41,[26]HISTOJUIL25!$A$6:$AU$51,26,0)</f>
        <v>0</v>
      </c>
      <c r="T41" s="36">
        <f>VLOOKUP($A41,[26]HISTOJUIL25!$A$6:$BG$51,58,0)</f>
        <v>0</v>
      </c>
      <c r="U41" s="36">
        <f>VLOOKUP($A41,[26]HISTOJUIL25!$A$6:$AU$51,28,0)</f>
        <v>0</v>
      </c>
      <c r="V41" s="36">
        <f>VLOOKUP($A41,[26]HISTOJUIL25!$A$6:$AU$51,19,0)</f>
        <v>0</v>
      </c>
      <c r="W41" s="36">
        <f>VLOOKUP($A41,[26]HISTOJUIL25!$A$6:$AU$51,20,0)</f>
        <v>0</v>
      </c>
      <c r="X41" s="36">
        <f>VLOOKUP($A41,[26]HISTOJUIL25!$A$6:$AU$51,27,0)</f>
        <v>0</v>
      </c>
      <c r="Y41" s="36">
        <f>VLOOKUP($A41,[26]HISTOJUIL25!$A$6:$BM$51,33,0)</f>
        <v>0</v>
      </c>
      <c r="Z41" s="36">
        <f>VLOOKUP($A41,[26]HISTOJUIL25!$A$6:$BM$51,64,0)</f>
        <v>0</v>
      </c>
      <c r="AA41" s="36"/>
      <c r="AB41" s="36">
        <f>VLOOKUP($A41,[26]HISTOJUIL25!$A$6:$AU$51,44,0)</f>
        <v>0</v>
      </c>
      <c r="AC41" s="36">
        <f>VLOOKUP($A41,[26]HISTOJUIL25!$A$6:$AU$51,43,0)</f>
        <v>0</v>
      </c>
      <c r="AD41" s="36">
        <f>VLOOKUP($A41,[26]HISTOJUIL25!$A$6:$BR$51,47,0)</f>
        <v>0</v>
      </c>
      <c r="AE41" s="36">
        <f>VLOOKUP(A41,[26]HISTOJUIL25!$A$6:$BR$51,54,0)</f>
        <v>0</v>
      </c>
      <c r="AF41" s="36">
        <f>VLOOKUP($A41,[26]HISTOJUIL25!$A$6:$BR$51,60,0)</f>
        <v>0</v>
      </c>
      <c r="AG41" s="36">
        <f>VLOOKUP($A41,[26]HISTOJUIL25!$A$6:$CB$51,61,0)</f>
        <v>0</v>
      </c>
      <c r="AH41" s="36">
        <f>VLOOKUP($A41,[26]HISTOJUIL25!$A$6:$CB$51,62,0)</f>
        <v>0</v>
      </c>
      <c r="AI41" s="36">
        <f>VLOOKUP($A41,[26]HISTOJUIL25!$A$6:$CB$51,63,0)</f>
        <v>0</v>
      </c>
      <c r="AJ41" s="36">
        <f>VLOOKUP($A41,[26]HISTOJUIL25!$A$6:$BR$51,64,0)</f>
        <v>0</v>
      </c>
      <c r="AK41" s="36">
        <f>VLOOKUP($A41,[26]HISTOJUIL25!$A$6:$BR$51,65,0)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VLOOKUP($A42,[26]HISTOJUIL25!$A$6:$BA$51,48,0)</f>
        <v>0</v>
      </c>
      <c r="F42" s="36">
        <f>VLOOKUP(A42,MVTJUIN25!A42:AM77,6,0)+MVTJUIN25!H42-E42+L42</f>
        <v>2287507.8505940586</v>
      </c>
      <c r="G42" s="5">
        <f>IF(MVTJUIL25!F42&gt;800000,(MVTJUIN25!I42-E42+L42),0)</f>
        <v>2287507.8505940586</v>
      </c>
      <c r="H42" s="36">
        <f>VLOOKUP(A42,[27]MVTJUIL25!$A$6:$AM$42,8,0)</f>
        <v>3383.2629325559446</v>
      </c>
      <c r="I42" s="6">
        <f t="shared" si="1"/>
        <v>2290891.1135266144</v>
      </c>
      <c r="J42" s="36">
        <f>VLOOKUP($A42,[26]HISTOJUIL25!$A$6:$AQ$51,22,0)</f>
        <v>0</v>
      </c>
      <c r="K42" s="36">
        <f>VLOOKUP($A42,[26]HISTOJUIL25!$A$6:$AU$51,45,0)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VLOOKUP($A42,[26]HISTOJUIL25!$A$6:$AU$51,8,0)</f>
        <v>0</v>
      </c>
      <c r="Q42" s="36">
        <f>VLOOKUP($A42,[26]HISTOJUIL25!$A$6:$AU$51,23,0)</f>
        <v>0</v>
      </c>
      <c r="R42" s="36">
        <f>VLOOKUP($A42,[26]HISTOJUIL25!$A$6:$AU$51,46,0)</f>
        <v>0</v>
      </c>
      <c r="S42" s="36">
        <f>VLOOKUP($A42,[26]HISTOJUIL25!$A$6:$AU$51,26,0)</f>
        <v>0</v>
      </c>
      <c r="T42" s="36">
        <f>VLOOKUP($A42,[26]HISTOJUIL25!$A$6:$BG$51,58,0)</f>
        <v>0</v>
      </c>
      <c r="U42" s="36">
        <f>VLOOKUP($A42,[26]HISTOJUIL25!$A$6:$AU$51,28,0)</f>
        <v>0</v>
      </c>
      <c r="V42" s="36">
        <f>VLOOKUP($A42,[26]HISTOJUIL25!$A$6:$AU$51,19,0)</f>
        <v>0</v>
      </c>
      <c r="W42" s="36">
        <f>VLOOKUP($A42,[26]HISTOJUIL25!$A$6:$AU$51,20,0)</f>
        <v>0</v>
      </c>
      <c r="X42" s="36">
        <f>VLOOKUP($A42,[26]HISTOJUIL25!$A$6:$AU$51,27,0)</f>
        <v>0</v>
      </c>
      <c r="Y42" s="36">
        <f>VLOOKUP($A42,[26]HISTOJUIL25!$A$6:$BM$51,33,0)</f>
        <v>0</v>
      </c>
      <c r="Z42" s="36">
        <f>VLOOKUP($A42,[26]HISTOJUIL25!$A$6:$BM$51,64,0)</f>
        <v>0</v>
      </c>
      <c r="AA42" s="36"/>
      <c r="AB42" s="36">
        <f>VLOOKUP($A42,[26]HISTOJUIL25!$A$6:$AU$51,44,0)</f>
        <v>0</v>
      </c>
      <c r="AC42" s="36">
        <f>VLOOKUP($A42,[26]HISTOJUIL25!$A$6:$AU$51,43,0)</f>
        <v>0</v>
      </c>
      <c r="AD42" s="36">
        <f>VLOOKUP($A42,[26]HISTOJUIL25!$A$6:$BR$51,47,0)</f>
        <v>0</v>
      </c>
      <c r="AE42" s="36">
        <f>VLOOKUP(A42,[26]HISTOJUIL25!$A$6:$BR$51,54,0)</f>
        <v>0</v>
      </c>
      <c r="AF42" s="36">
        <f>VLOOKUP($A42,[26]HISTOJUIL25!$A$6:$BR$51,60,0)</f>
        <v>0</v>
      </c>
      <c r="AG42" s="36">
        <f>VLOOKUP($A42,[26]HISTOJUIL25!$A$6:$CB$51,61,0)</f>
        <v>0</v>
      </c>
      <c r="AH42" s="36">
        <f>VLOOKUP($A42,[26]HISTOJUIL25!$A$6:$CB$51,62,0)</f>
        <v>0</v>
      </c>
      <c r="AI42" s="36">
        <f>VLOOKUP($A42,[26]HISTOJUIL25!$A$6:$CB$51,63,0)</f>
        <v>0</v>
      </c>
      <c r="AJ42" s="36">
        <f>VLOOKUP($A42,[26]HISTOJUIL25!$A$6:$BR$51,64,0)</f>
        <v>0</v>
      </c>
      <c r="AK42" s="36">
        <f>VLOOKUP($A42,[26]HISTOJUIL25!$A$6:$BR$51,65,0)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38532612</v>
      </c>
      <c r="G44" s="9">
        <f t="shared" si="9"/>
        <v>37186862</v>
      </c>
      <c r="H44" s="36">
        <f t="shared" si="9"/>
        <v>54999.999999999978</v>
      </c>
      <c r="I44" s="9">
        <f t="shared" si="9"/>
        <v>38587612</v>
      </c>
      <c r="J44" s="9">
        <f t="shared" si="9"/>
        <v>0</v>
      </c>
      <c r="K44" s="9">
        <f t="shared" si="9"/>
        <v>924000</v>
      </c>
      <c r="L44" s="9">
        <f t="shared" si="9"/>
        <v>764000</v>
      </c>
      <c r="M44" s="9">
        <f t="shared" si="9"/>
        <v>35000</v>
      </c>
      <c r="N44" s="9">
        <f t="shared" si="9"/>
        <v>35000</v>
      </c>
      <c r="O44" s="9">
        <f t="shared" si="9"/>
        <v>140000</v>
      </c>
      <c r="P44" s="9">
        <f t="shared" si="9"/>
        <v>6000</v>
      </c>
      <c r="Q44" s="9">
        <f t="shared" si="9"/>
        <v>0</v>
      </c>
      <c r="R44" s="9">
        <f t="shared" si="9"/>
        <v>0</v>
      </c>
      <c r="S44" s="9">
        <f t="shared" si="9"/>
        <v>1000000</v>
      </c>
      <c r="T44" s="9">
        <f t="shared" si="9"/>
        <v>55000</v>
      </c>
      <c r="U44" s="9">
        <f t="shared" si="9"/>
        <v>0</v>
      </c>
      <c r="V44" s="9">
        <f t="shared" si="9"/>
        <v>500000</v>
      </c>
      <c r="W44" s="9"/>
      <c r="X44" s="9">
        <f t="shared" si="9"/>
        <v>0</v>
      </c>
      <c r="Y44" s="9">
        <f t="shared" si="9"/>
        <v>0</v>
      </c>
      <c r="Z44" s="9">
        <f t="shared" si="9"/>
        <v>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0</v>
      </c>
      <c r="AF44" s="9">
        <f t="shared" si="9"/>
        <v>6000</v>
      </c>
      <c r="AG44" s="9">
        <f t="shared" si="9"/>
        <v>0</v>
      </c>
      <c r="AH44" s="9">
        <f t="shared" si="9"/>
        <v>0</v>
      </c>
      <c r="AI44" s="9">
        <f t="shared" si="9"/>
        <v>170000</v>
      </c>
      <c r="AJ44" s="9">
        <f t="shared" si="9"/>
        <v>0</v>
      </c>
      <c r="AK44" s="9">
        <f t="shared" si="9"/>
        <v>0</v>
      </c>
      <c r="AL44" s="9">
        <f t="shared" si="9"/>
        <v>0</v>
      </c>
    </row>
    <row r="46" spans="1:38" x14ac:dyDescent="0.35">
      <c r="H46">
        <v>55000.000000000015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DE3C-0535-4B40-B702-8F8BABED91BC}">
  <dimension ref="A1:AM47"/>
  <sheetViews>
    <sheetView workbookViewId="0">
      <pane xSplit="2" ySplit="5" topLeftCell="K25" activePane="bottomRight" state="frozen"/>
      <selection activeCell="F8" sqref="F8"/>
      <selection pane="topRight" activeCell="F8" sqref="F8"/>
      <selection pane="bottomLeft" activeCell="F8" sqref="F8"/>
      <selection pane="bottomRight" activeCell="A27" sqref="A27:XFD2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2">
        <v>45886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VLOOKUP(A6,MVTJUIL25!A6:AM42,6,0)+MVTJUIL25!H6-E6+L6</f>
        <v>1102077.0736550535</v>
      </c>
      <c r="G6" s="5">
        <f>IF(MVTAOUT25!F6&gt;800000,(MVTJUIL25!I6-E6+L6),0)</f>
        <v>1102077.0736550535</v>
      </c>
      <c r="H6" s="36">
        <f>VLOOKUP(A6,[27]MVTAOUT25!$A$6:$AM$42,8,0)</f>
        <v>866.32511693003198</v>
      </c>
      <c r="I6" s="6">
        <f>F6+H6</f>
        <v>1102943.3987719836</v>
      </c>
      <c r="J6" s="36">
        <f>VLOOKUP($A6,[26]HISTOAOUT25!$A$6:$AQ$51,22,0)</f>
        <v>0</v>
      </c>
      <c r="K6" s="36">
        <f>VLOOKUP($A6,[26]HISTOAOUT25!$A$6:$AU$51,45,0)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VLOOKUP($A6,[26]HISTOAOUT25!$A$6:$AU$51,8,0)</f>
        <v>0</v>
      </c>
      <c r="Q6" s="36">
        <f>VLOOKUP($A6,[26]HISTOAOUT25!$A$6:$AU$51,23,0)</f>
        <v>0</v>
      </c>
      <c r="R6" s="36">
        <f>VLOOKUP($A6,[26]HISTOAOUT25!$A$6:$AU$51,46,0)</f>
        <v>0</v>
      </c>
      <c r="S6" s="36">
        <f>VLOOKUP($A6,[26]HISTOAOUT25!$A$6:$AU$51,26,0)</f>
        <v>0</v>
      </c>
      <c r="T6" s="36">
        <f>VLOOKUP($A6,[26]HISTOAOUT25!$A$6:$BG$51,58,0)</f>
        <v>0</v>
      </c>
      <c r="U6" s="36">
        <f>VLOOKUP($A6,[26]HISTOAOUT25!$A$6:$AU$51,28,0)</f>
        <v>0</v>
      </c>
      <c r="V6" s="36">
        <f>VLOOKUP($A6,[26]HISTOAOUT25!$A$6:$AU$51,19,0)</f>
        <v>0</v>
      </c>
      <c r="W6" s="36">
        <f>VLOOKUP($A6,[26]HISTOAOUT25!$A$6:$AU$51,20,0)</f>
        <v>0</v>
      </c>
      <c r="X6" s="36">
        <f>VLOOKUP($A6,[26]HISTOAOUT25!$A$6:$AU$51,27,0)</f>
        <v>0</v>
      </c>
      <c r="Y6" s="36">
        <f>VLOOKUP($A6,[26]HISTOAOUT25!$A$6:$BM$51,33,0)</f>
        <v>0</v>
      </c>
      <c r="Z6" s="36">
        <f>VLOOKUP($A6,[26]HISTOAOUT25!$A$6:$BM$51,64,0)</f>
        <v>0</v>
      </c>
      <c r="AA6" s="36"/>
      <c r="AB6" s="36">
        <f>VLOOKUP($A6,[26]HISTOAOUT25!$A$6:$AU$51,44,0)</f>
        <v>0</v>
      </c>
      <c r="AC6" s="36">
        <f>VLOOKUP($A6,[26]HISTOAOUT25!$A$6:$AU$51,43,0)</f>
        <v>0</v>
      </c>
      <c r="AD6" s="36">
        <f>VLOOKUP($A6,[26]HISTOAOUT25!$A$6:$BR$51,47,0)</f>
        <v>0</v>
      </c>
      <c r="AE6" s="36">
        <f>VLOOKUP(A6,[26]HISTOAOUT25!$A$6:$BR$51,54,0)</f>
        <v>0</v>
      </c>
      <c r="AF6" s="36">
        <f>VLOOKUP($A6,[26]HISTOAOUT25!$A$6:$BR$51,60,0)</f>
        <v>6000</v>
      </c>
      <c r="AG6" s="36">
        <f>VLOOKUP($A6,[26]HISTOAOUT25!$A$6:$CB$51,61,0)</f>
        <v>0</v>
      </c>
      <c r="AH6" s="36">
        <f>VLOOKUP($A6,[26]HISTOAOUT25!$A$6:$CB$51,62,0)</f>
        <v>660000</v>
      </c>
      <c r="AI6" s="36">
        <f>VLOOKUP($A6,[26]HISTOAOUT25!$A$6:$CB$51,63,0)</f>
        <v>0</v>
      </c>
      <c r="AJ6" s="36">
        <f>VLOOKUP($A6,[26]HISTOAOUT25!$A$6:$BR$51,64,0)</f>
        <v>0</v>
      </c>
      <c r="AK6" s="36">
        <f>VLOOKUP($A6,[26]HISTOAOUT25!$A$6:$BR$51,65,0)</f>
        <v>0</v>
      </c>
      <c r="AL6" s="36">
        <f>VLOOKUP($A6,[26]HISTOAOUT25!$A$6:$BR$40,66,0)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VLOOKUP($A7,[26]HISTOAOUT25!$A$6:$BA$51,48,0)</f>
        <v>0</v>
      </c>
      <c r="F7" s="36">
        <f>VLOOKUP(A7,MVTJUIL25!A7:AM43,6,0)+MVTJUIL25!H7-E7+L7</f>
        <v>1030294.0958665409</v>
      </c>
      <c r="G7" s="5">
        <f>IF(MVTAOUT25!F7&gt;800000,(MVTJUIL25!I7-E7+L7),0)</f>
        <v>1030294.0958665409</v>
      </c>
      <c r="H7" s="36">
        <f>VLOOKUP(A7,[27]MVTAOUT25!$A$6:$AM$42,8,0)</f>
        <v>809.89766905655995</v>
      </c>
      <c r="I7" s="6">
        <f t="shared" ref="I7:I42" si="1">F7+H7</f>
        <v>1031103.9935355975</v>
      </c>
      <c r="J7" s="36">
        <f>VLOOKUP($A7,[26]HISTOAOUT25!$A$6:$AQ$51,22,0)</f>
        <v>0</v>
      </c>
      <c r="K7" s="36">
        <f>VLOOKUP($A7,[26]HISTOAOUT25!$A$6:$AU$51,45,0)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VLOOKUP($A7,[26]HISTOAOUT25!$A$6:$AU$51,8,0)</f>
        <v>0</v>
      </c>
      <c r="Q7" s="36">
        <f>VLOOKUP($A7,[26]HISTOAOUT25!$A$6:$AU$51,23,0)</f>
        <v>0</v>
      </c>
      <c r="R7" s="36">
        <f>VLOOKUP($A7,[26]HISTOAOUT25!$A$6:$AU$51,46,0)</f>
        <v>0</v>
      </c>
      <c r="S7" s="36">
        <f>VLOOKUP($A7,[26]HISTOAOUT25!$A$6:$AU$51,26,0)</f>
        <v>0</v>
      </c>
      <c r="T7" s="36">
        <f>VLOOKUP($A7,[26]HISTOAOUT25!$A$6:$BG$51,58,0)</f>
        <v>0</v>
      </c>
      <c r="U7" s="36">
        <f>VLOOKUP($A7,[26]HISTOAOUT25!$A$6:$AU$51,28,0)</f>
        <v>0</v>
      </c>
      <c r="V7" s="36">
        <f>VLOOKUP($A7,[26]HISTOAOUT25!$A$6:$AU$51,19,0)</f>
        <v>0</v>
      </c>
      <c r="W7" s="36">
        <f>VLOOKUP($A7,[26]HISTOAOUT25!$A$6:$AU$51,20,0)</f>
        <v>0</v>
      </c>
      <c r="X7" s="36">
        <f>VLOOKUP($A7,[26]HISTOAOUT25!$A$6:$AU$51,27,0)</f>
        <v>0</v>
      </c>
      <c r="Y7" s="36">
        <f>VLOOKUP($A7,[26]HISTOAOUT25!$A$6:$BM$51,33,0)</f>
        <v>0</v>
      </c>
      <c r="Z7" s="36">
        <f>VLOOKUP($A7,[26]HISTOAOUT25!$A$6:$BM$51,64,0)</f>
        <v>0</v>
      </c>
      <c r="AA7" s="36"/>
      <c r="AB7" s="36">
        <f>VLOOKUP($A7,[26]HISTOAOUT25!$A$6:$AU$51,44,0)</f>
        <v>0</v>
      </c>
      <c r="AC7" s="36">
        <f>VLOOKUP($A7,[26]HISTOAOUT25!$A$6:$AU$51,43,0)</f>
        <v>0</v>
      </c>
      <c r="AD7" s="36">
        <f>VLOOKUP($A7,[26]HISTOAOUT25!$A$6:$BR$51,47,0)</f>
        <v>0</v>
      </c>
      <c r="AE7" s="36">
        <f>VLOOKUP(A7,[26]HISTOAOUT25!$A$6:$BR$51,54,0)</f>
        <v>0</v>
      </c>
      <c r="AF7" s="36">
        <f>VLOOKUP($A7,[26]HISTOAOUT25!$A$6:$BR$51,60,0)</f>
        <v>0</v>
      </c>
      <c r="AG7" s="36">
        <f>VLOOKUP($A7,[26]HISTOAOUT25!$A$6:$CB$51,61,0)</f>
        <v>0</v>
      </c>
      <c r="AH7" s="36">
        <f>VLOOKUP($A7,[26]HISTOAOUT25!$A$6:$CB$51,62,0)</f>
        <v>0</v>
      </c>
      <c r="AI7" s="36">
        <f>VLOOKUP($A7,[26]HISTOAOUT25!$A$6:$CB$51,63,0)</f>
        <v>0</v>
      </c>
      <c r="AJ7" s="36">
        <f>VLOOKUP($A7,[26]HISTOAOUT25!$A$6:$BR$51,64,0)</f>
        <v>0</v>
      </c>
      <c r="AK7" s="36">
        <f>VLOOKUP($A7,[26]HISTOAOUT25!$A$6:$BR$51,65,0)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VLOOKUP($A8,[26]HISTOAOUT25!$A$6:$BA$51,48,0)</f>
        <v>0</v>
      </c>
      <c r="F8" s="36">
        <f>VLOOKUP(A8,MVTJUIL25!A8:AM44,6,0)+MVTJUIL25!H8-E8+L8</f>
        <v>1158193.3117114196</v>
      </c>
      <c r="G8" s="5">
        <f>IF(MVTAOUT25!F8&gt;800000,(MVTJUIL25!I8-E8+L8),0)</f>
        <v>1158193.3117114196</v>
      </c>
      <c r="H8" s="36">
        <f>VLOOKUP(A8,[27]MVTAOUT25!$A$6:$AM$42,8,0)</f>
        <v>910.43719190009085</v>
      </c>
      <c r="I8" s="6">
        <f t="shared" si="1"/>
        <v>1159103.7489033197</v>
      </c>
      <c r="J8" s="36">
        <f>VLOOKUP($A8,[26]HISTOAOUT25!$A$6:$AQ$51,22,0)</f>
        <v>0</v>
      </c>
      <c r="K8" s="36">
        <f>VLOOKUP($A8,[26]HISTOAOUT25!$A$6:$AU$51,45,0)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VLOOKUP($A8,[26]HISTOAOUT25!$A$6:$AU$51,8,0)</f>
        <v>0</v>
      </c>
      <c r="Q8" s="36">
        <f>VLOOKUP($A8,[26]HISTOAOUT25!$A$6:$AU$51,23,0)</f>
        <v>0</v>
      </c>
      <c r="R8" s="36">
        <f>VLOOKUP($A8,[26]HISTOAOUT25!$A$6:$AU$51,46,0)</f>
        <v>0</v>
      </c>
      <c r="S8" s="36">
        <f>VLOOKUP($A8,[26]HISTOAOUT25!$A$6:$AU$51,26,0)</f>
        <v>0</v>
      </c>
      <c r="T8" s="36">
        <f>VLOOKUP($A8,[26]HISTOAOUT25!$A$6:$BG$51,58,0)</f>
        <v>0</v>
      </c>
      <c r="U8" s="36">
        <f>VLOOKUP($A8,[26]HISTOAOUT25!$A$6:$AU$51,28,0)</f>
        <v>0</v>
      </c>
      <c r="V8" s="36">
        <f>VLOOKUP($A8,[26]HISTOAOUT25!$A$6:$AU$51,19,0)</f>
        <v>0</v>
      </c>
      <c r="W8" s="36">
        <f>VLOOKUP($A8,[26]HISTOAOUT25!$A$6:$AU$51,20,0)</f>
        <v>0</v>
      </c>
      <c r="X8" s="36">
        <f>VLOOKUP($A8,[26]HISTOAOUT25!$A$6:$AU$51,27,0)</f>
        <v>0</v>
      </c>
      <c r="Y8" s="36">
        <f>VLOOKUP($A8,[26]HISTOAOUT25!$A$6:$BM$51,33,0)</f>
        <v>0</v>
      </c>
      <c r="Z8" s="36">
        <f>VLOOKUP($A8,[26]HISTOAOUT25!$A$6:$BM$51,64,0)</f>
        <v>0</v>
      </c>
      <c r="AA8" s="36"/>
      <c r="AB8" s="36">
        <f>VLOOKUP($A8,[26]HISTOAOUT25!$A$6:$AU$51,44,0)</f>
        <v>0</v>
      </c>
      <c r="AC8" s="36">
        <f>VLOOKUP($A8,[26]HISTOAOUT25!$A$6:$AU$51,43,0)</f>
        <v>0</v>
      </c>
      <c r="AD8" s="36">
        <f>VLOOKUP($A8,[26]HISTOAOUT25!$A$6:$BR$51,47,0)</f>
        <v>0</v>
      </c>
      <c r="AE8" s="36">
        <f>VLOOKUP(A8,[26]HISTOAOUT25!$A$6:$BR$51,54,0)</f>
        <v>0</v>
      </c>
      <c r="AF8" s="36">
        <f>VLOOKUP($A8,[26]HISTOAOUT25!$A$6:$BR$51,60,0)</f>
        <v>0</v>
      </c>
      <c r="AG8" s="36">
        <f>VLOOKUP($A8,[26]HISTOAOUT25!$A$6:$CB$51,61,0)</f>
        <v>0</v>
      </c>
      <c r="AH8" s="36">
        <f>VLOOKUP($A8,[26]HISTOAOUT25!$A$6:$CB$51,62,0)</f>
        <v>0</v>
      </c>
      <c r="AI8" s="36">
        <f>VLOOKUP($A8,[26]HISTOAOUT25!$A$6:$CB$51,63,0)</f>
        <v>0</v>
      </c>
      <c r="AJ8" s="36">
        <f>VLOOKUP($A8,[26]HISTOAOUT25!$A$6:$BR$51,64,0)</f>
        <v>0</v>
      </c>
      <c r="AK8" s="36">
        <f>VLOOKUP($A8,[26]HISTOAOUT25!$A$6:$BR$51,65,0)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VLOOKUP($A9,[26]HISTOAOUT25!$A$6:$BA$51,48,0)</f>
        <v>0</v>
      </c>
      <c r="F9" s="36">
        <f>VLOOKUP(A9,MVTJUIL25!A9:AM45,6,0)+MVTJUIL25!H9-E9+L9</f>
        <v>1022443.3852262751</v>
      </c>
      <c r="G9" s="5">
        <f>IF(MVTAOUT25!F9&gt;800000,(MVTJUIL25!I9-E9+L9),0)</f>
        <v>1022443.3852262751</v>
      </c>
      <c r="H9" s="36">
        <f>VLOOKUP(A9,[27]MVTAOUT25!$A$6:$AM$42,8,0)</f>
        <v>803.7263513003021</v>
      </c>
      <c r="I9" s="6">
        <f t="shared" si="1"/>
        <v>1023247.1115775753</v>
      </c>
      <c r="J9" s="36">
        <f>VLOOKUP($A9,[26]HISTOAOUT25!$A$6:$AQ$51,22,0)</f>
        <v>0</v>
      </c>
      <c r="K9" s="36">
        <f>VLOOKUP($A9,[26]HISTOAOUT25!$A$6:$AU$51,45,0)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VLOOKUP($A9,[26]HISTOAOUT25!$A$6:$AU$51,8,0)</f>
        <v>0</v>
      </c>
      <c r="Q9" s="36">
        <f>VLOOKUP($A9,[26]HISTOAOUT25!$A$6:$AU$51,23,0)</f>
        <v>0</v>
      </c>
      <c r="R9" s="36">
        <f>VLOOKUP($A9,[26]HISTOAOUT25!$A$6:$AU$51,46,0)</f>
        <v>0</v>
      </c>
      <c r="S9" s="36">
        <f>VLOOKUP($A9,[26]HISTOAOUT25!$A$6:$AU$51,26,0)</f>
        <v>0</v>
      </c>
      <c r="T9" s="36">
        <f>VLOOKUP($A9,[26]HISTOAOUT25!$A$6:$BG$51,58,0)</f>
        <v>0</v>
      </c>
      <c r="U9" s="36">
        <f>VLOOKUP($A9,[26]HISTOAOUT25!$A$6:$AU$51,28,0)</f>
        <v>0</v>
      </c>
      <c r="V9" s="36">
        <f>VLOOKUP($A9,[26]HISTOAOUT25!$A$6:$AU$51,19,0)</f>
        <v>0</v>
      </c>
      <c r="W9" s="36">
        <f>VLOOKUP($A9,[26]HISTOAOUT25!$A$6:$AU$51,20,0)</f>
        <v>0</v>
      </c>
      <c r="X9" s="36">
        <f>VLOOKUP($A9,[26]HISTOAOUT25!$A$6:$AU$51,27,0)</f>
        <v>0</v>
      </c>
      <c r="Y9" s="36">
        <f>VLOOKUP($A9,[26]HISTOAOUT25!$A$6:$BM$51,33,0)</f>
        <v>0</v>
      </c>
      <c r="Z9" s="36">
        <f>VLOOKUP($A9,[26]HISTOAOUT25!$A$6:$BM$51,64,0)</f>
        <v>0</v>
      </c>
      <c r="AA9" s="36"/>
      <c r="AB9" s="36">
        <f>VLOOKUP($A9,[26]HISTOAOUT25!$A$6:$AU$51,44,0)</f>
        <v>0</v>
      </c>
      <c r="AC9" s="36">
        <f>VLOOKUP($A9,[26]HISTOAOUT25!$A$6:$AU$51,43,0)</f>
        <v>0</v>
      </c>
      <c r="AD9" s="36">
        <f>VLOOKUP($A9,[26]HISTOAOUT25!$A$6:$BR$51,47,0)</f>
        <v>0</v>
      </c>
      <c r="AE9" s="36">
        <f>VLOOKUP(A9,[26]HISTOAOUT25!$A$6:$BR$51,54,0)</f>
        <v>0</v>
      </c>
      <c r="AF9" s="36">
        <f>VLOOKUP($A9,[26]HISTOAOUT25!$A$6:$BR$51,60,0)</f>
        <v>0</v>
      </c>
      <c r="AG9" s="36">
        <f>VLOOKUP($A9,[26]HISTOAOUT25!$A$6:$CB$51,61,0)</f>
        <v>0</v>
      </c>
      <c r="AH9" s="36">
        <f>VLOOKUP($A9,[26]HISTOAOUT25!$A$6:$CB$51,62,0)</f>
        <v>0</v>
      </c>
      <c r="AI9" s="36">
        <f>VLOOKUP($A9,[26]HISTOAOUT25!$A$6:$CB$51,63,0)</f>
        <v>0</v>
      </c>
      <c r="AJ9" s="36">
        <f>VLOOKUP($A9,[26]HISTOAOUT25!$A$6:$BR$51,64,0)</f>
        <v>0</v>
      </c>
      <c r="AK9" s="36">
        <f>VLOOKUP($A9,[26]HISTOAOUT25!$A$6:$BR$51,65,0)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VLOOKUP($A10,[26]HISTOAOUT25!$A$6:$BA$51,48,0)</f>
        <v>0</v>
      </c>
      <c r="F10" s="36">
        <f>VLOOKUP(A10,MVTJUIL25!A10:AM46,6,0)+MVTJUIL25!H10-E10+L10</f>
        <v>1033778.8854747546</v>
      </c>
      <c r="G10" s="5">
        <f>IF(MVTAOUT25!F10&gt;800000,(MVTJUIL25!I10-E10+L10),0)</f>
        <v>1033778.8854747546</v>
      </c>
      <c r="H10" s="36">
        <f>VLOOKUP(A10,[27]MVTAOUT25!$A$6:$AM$42,8,0)</f>
        <v>812.63700629256641</v>
      </c>
      <c r="I10" s="6">
        <f t="shared" si="1"/>
        <v>1034591.5224810472</v>
      </c>
      <c r="J10" s="36">
        <f>VLOOKUP($A10,[26]HISTOAOUT25!$A$6:$AQ$51,22,0)</f>
        <v>0</v>
      </c>
      <c r="K10" s="36">
        <f>VLOOKUP($A10,[26]HISTOAOUT25!$A$6:$AU$51,45,0)</f>
        <v>25500</v>
      </c>
      <c r="L10" s="36">
        <f t="shared" si="2"/>
        <v>19500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VLOOKUP($A10,[26]HISTOAOUT25!$A$6:$AU$51,8,0)</f>
        <v>0</v>
      </c>
      <c r="Q10" s="36">
        <f>VLOOKUP($A10,[26]HISTOAOUT25!$A$6:$AU$51,23,0)</f>
        <v>0</v>
      </c>
      <c r="R10" s="36">
        <f>VLOOKUP($A10,[26]HISTOAOUT25!$A$6:$AU$51,46,0)</f>
        <v>0</v>
      </c>
      <c r="S10" s="36">
        <f>VLOOKUP($A10,[26]HISTOAOUT25!$A$6:$AU$51,26,0)</f>
        <v>0</v>
      </c>
      <c r="T10" s="36">
        <f>VLOOKUP($A10,[26]HISTOAOUT25!$A$6:$BG$51,58,0)</f>
        <v>0</v>
      </c>
      <c r="U10" s="36">
        <f>VLOOKUP($A10,[26]HISTOAOUT25!$A$6:$AU$51,28,0)</f>
        <v>0</v>
      </c>
      <c r="V10" s="36">
        <f>VLOOKUP($A10,[26]HISTOAOUT25!$A$6:$AU$51,19,0)</f>
        <v>0</v>
      </c>
      <c r="W10" s="36">
        <f>VLOOKUP($A10,[26]HISTOAOUT25!$A$6:$AU$51,20,0)</f>
        <v>0</v>
      </c>
      <c r="X10" s="36">
        <f>VLOOKUP($A10,[26]HISTOAOUT25!$A$6:$AU$51,27,0)</f>
        <v>0</v>
      </c>
      <c r="Y10" s="36">
        <f>VLOOKUP($A10,[26]HISTOAOUT25!$A$6:$BM$51,33,0)</f>
        <v>0</v>
      </c>
      <c r="Z10" s="36">
        <f>VLOOKUP($A10,[26]HISTOAOUT25!$A$6:$BM$51,64,0)</f>
        <v>0</v>
      </c>
      <c r="AA10" s="36"/>
      <c r="AB10" s="36">
        <f>VLOOKUP($A10,[26]HISTOAOUT25!$A$6:$AU$51,44,0)</f>
        <v>0</v>
      </c>
      <c r="AC10" s="36">
        <f>VLOOKUP($A10,[26]HISTOAOUT25!$A$6:$AU$51,43,0)</f>
        <v>0</v>
      </c>
      <c r="AD10" s="36">
        <f>VLOOKUP($A10,[26]HISTOAOUT25!$A$6:$BR$51,47,0)</f>
        <v>0</v>
      </c>
      <c r="AE10" s="36">
        <f>VLOOKUP(A10,[26]HISTOAOUT25!$A$6:$BR$51,54,0)</f>
        <v>0</v>
      </c>
      <c r="AF10" s="36">
        <f>VLOOKUP($A10,[26]HISTOAOUT25!$A$6:$BR$51,60,0)</f>
        <v>0</v>
      </c>
      <c r="AG10" s="36">
        <f>VLOOKUP($A10,[26]HISTOAOUT25!$A$6:$CB$51,61,0)</f>
        <v>0</v>
      </c>
      <c r="AH10" s="36">
        <f>VLOOKUP($A10,[26]HISTOAOUT25!$A$6:$CB$51,62,0)</f>
        <v>0</v>
      </c>
      <c r="AI10" s="36">
        <f>VLOOKUP($A10,[26]HISTOAOUT25!$A$6:$CB$51,63,0)</f>
        <v>0</v>
      </c>
      <c r="AJ10" s="36">
        <f>VLOOKUP($A10,[26]HISTOAOUT25!$A$6:$BR$51,64,0)</f>
        <v>0</v>
      </c>
      <c r="AK10" s="36">
        <f>VLOOKUP($A10,[26]HISTOAOUT25!$A$6:$BR$51,65,0)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VLOOKUP($A11,[26]HISTOAOUT25!$A$6:$BA$51,48,0)</f>
        <v>0</v>
      </c>
      <c r="F11" s="36">
        <f>VLOOKUP(A11,MVTJUIL25!A11:AM47,6,0)+MVTJUIL25!H11-E11+L11</f>
        <v>1272167.8347046943</v>
      </c>
      <c r="G11" s="5">
        <f>IF(MVTAOUT25!F11&gt;800000,(MVTJUIL25!I11-E11+L11),0)</f>
        <v>1272167.8347046943</v>
      </c>
      <c r="H11" s="36">
        <f>VLOOKUP(A11,[27]MVTAOUT25!$A$6:$AM$42,8,0)</f>
        <v>1000.0307369610766</v>
      </c>
      <c r="I11" s="6">
        <f t="shared" si="1"/>
        <v>1273167.8654416555</v>
      </c>
      <c r="J11" s="36">
        <f>VLOOKUP($A11,[26]HISTOAOUT25!$A$6:$AQ$51,22,0)</f>
        <v>0</v>
      </c>
      <c r="K11" s="36">
        <f>VLOOKUP($A11,[26]HISTOAOUT25!$A$6:$AU$51,45,0)</f>
        <v>275000</v>
      </c>
      <c r="L11" s="36">
        <f t="shared" si="2"/>
        <v>269000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VLOOKUP($A11,[26]HISTOAOUT25!$A$6:$AU$51,8,0)</f>
        <v>0</v>
      </c>
      <c r="Q11" s="36">
        <f>VLOOKUP($A11,[26]HISTOAOUT25!$A$6:$AU$51,23,0)</f>
        <v>0</v>
      </c>
      <c r="R11" s="36">
        <f>VLOOKUP($A11,[26]HISTOAOUT25!$A$6:$AU$51,46,0)</f>
        <v>0</v>
      </c>
      <c r="S11" s="36">
        <f>VLOOKUP($A11,[26]HISTOAOUT25!$A$6:$AU$51,26,0)</f>
        <v>0</v>
      </c>
      <c r="T11" s="36">
        <f>VLOOKUP($A11,[26]HISTOAOUT25!$A$6:$BG$51,58,0)</f>
        <v>0</v>
      </c>
      <c r="U11" s="36">
        <f>VLOOKUP($A11,[26]HISTOAOUT25!$A$6:$AU$51,28,0)</f>
        <v>0</v>
      </c>
      <c r="V11" s="36">
        <f>VLOOKUP($A11,[26]HISTOAOUT25!$A$6:$AU$51,19,0)</f>
        <v>0</v>
      </c>
      <c r="W11" s="36">
        <f>VLOOKUP($A11,[26]HISTOAOUT25!$A$6:$AU$51,20,0)</f>
        <v>0</v>
      </c>
      <c r="X11" s="36">
        <f>VLOOKUP($A11,[26]HISTOAOUT25!$A$6:$AU$51,27,0)</f>
        <v>0</v>
      </c>
      <c r="Y11" s="36">
        <f>VLOOKUP($A11,[26]HISTOAOUT25!$A$6:$BM$51,33,0)</f>
        <v>0</v>
      </c>
      <c r="Z11" s="36">
        <f>VLOOKUP($A11,[26]HISTOAOUT25!$A$6:$BM$51,64,0)</f>
        <v>0</v>
      </c>
      <c r="AA11" s="36"/>
      <c r="AB11" s="36">
        <f>VLOOKUP($A11,[26]HISTOAOUT25!$A$6:$AU$51,44,0)</f>
        <v>0</v>
      </c>
      <c r="AC11" s="36">
        <f>VLOOKUP($A11,[26]HISTOAOUT25!$A$6:$AU$51,43,0)</f>
        <v>0</v>
      </c>
      <c r="AD11" s="36">
        <f>VLOOKUP($A11,[26]HISTOAOUT25!$A$6:$BR$51,47,0)</f>
        <v>0</v>
      </c>
      <c r="AE11" s="36">
        <f>VLOOKUP(A11,[26]HISTOAOUT25!$A$6:$BR$51,54,0)</f>
        <v>0</v>
      </c>
      <c r="AF11" s="36">
        <f>VLOOKUP($A11,[26]HISTOAOUT25!$A$6:$BR$51,60,0)</f>
        <v>0</v>
      </c>
      <c r="AG11" s="36">
        <f>VLOOKUP($A11,[26]HISTOAOUT25!$A$6:$CB$51,61,0)</f>
        <v>0</v>
      </c>
      <c r="AH11" s="36">
        <f>VLOOKUP($A11,[26]HISTOAOUT25!$A$6:$CB$51,62,0)</f>
        <v>0</v>
      </c>
      <c r="AI11" s="36">
        <f>VLOOKUP($A11,[26]HISTOAOUT25!$A$6:$CB$51,63,0)</f>
        <v>0</v>
      </c>
      <c r="AJ11" s="36">
        <f>VLOOKUP($A11,[26]HISTOAOUT25!$A$6:$BR$51,64,0)</f>
        <v>0</v>
      </c>
      <c r="AK11" s="36">
        <f>VLOOKUP($A11,[26]HISTOAOUT25!$A$6:$BR$51,65,0)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VLOOKUP($A12,[26]HISTOAOUT25!$A$6:$BA$51,48,0)</f>
        <v>0</v>
      </c>
      <c r="F12" s="36">
        <f>VLOOKUP(A12,MVTJUIL25!A12:AM48,6,0)+MVTJUIL25!H12-E12+L12</f>
        <v>1781884.1706239404</v>
      </c>
      <c r="G12" s="5">
        <f>IF(MVTAOUT25!F12&gt;800000,(MVTJUIL25!I12-E12+L12),0)</f>
        <v>1781884.1706239404</v>
      </c>
      <c r="H12" s="36">
        <f>VLOOKUP(A12,[27]MVTAOUT25!$A$6:$AM$42,8,0)</f>
        <v>1400.7105758510029</v>
      </c>
      <c r="I12" s="6">
        <f t="shared" si="1"/>
        <v>1783284.8811997913</v>
      </c>
      <c r="J12" s="36">
        <f>VLOOKUP($A12,[26]HISTOAOUT25!$A$6:$AQ$51,22,0)</f>
        <v>0</v>
      </c>
      <c r="K12" s="36">
        <f>VLOOKUP($A12,[26]HISTOAOUT25!$A$6:$AU$51,45,0)</f>
        <v>37500</v>
      </c>
      <c r="L12" s="36">
        <f t="shared" si="2"/>
        <v>31500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VLOOKUP($A12,[26]HISTOAOUT25!$A$6:$AU$51,8,0)</f>
        <v>0</v>
      </c>
      <c r="Q12" s="36">
        <f>VLOOKUP($A12,[26]HISTOAOUT25!$A$6:$AU$51,23,0)</f>
        <v>0</v>
      </c>
      <c r="R12" s="36">
        <f>VLOOKUP($A12,[26]HISTOAOUT25!$A$6:$AU$51,46,0)</f>
        <v>0</v>
      </c>
      <c r="S12" s="36">
        <f>VLOOKUP($A12,[26]HISTOAOUT25!$A$6:$AU$51,26,0)</f>
        <v>1000000</v>
      </c>
      <c r="T12" s="36">
        <f>VLOOKUP($A12,[26]HISTOAOUT25!$A$6:$BG$51,58,0)</f>
        <v>30000</v>
      </c>
      <c r="U12" s="36">
        <f>VLOOKUP($A12,[26]HISTOAOUT25!$A$6:$AU$51,28,0)</f>
        <v>0</v>
      </c>
      <c r="V12" s="36">
        <f>VLOOKUP($A12,[26]HISTOAOUT25!$A$6:$AU$51,19,0)</f>
        <v>1000000</v>
      </c>
      <c r="W12" s="36">
        <f>VLOOKUP($A12,[26]HISTOAOUT25!$A$6:$AU$51,20,0)</f>
        <v>0</v>
      </c>
      <c r="X12" s="36">
        <f>VLOOKUP($A12,[26]HISTOAOUT25!$A$6:$AU$51,27,0)</f>
        <v>0</v>
      </c>
      <c r="Y12" s="36">
        <f>VLOOKUP($A12,[26]HISTOAOUT25!$A$6:$BM$51,33,0)</f>
        <v>0</v>
      </c>
      <c r="Z12" s="36">
        <f>VLOOKUP($A12,[26]HISTOAOUT25!$A$6:$BM$51,64,0)</f>
        <v>0</v>
      </c>
      <c r="AA12" s="36"/>
      <c r="AB12" s="36">
        <f>VLOOKUP($A12,[26]HISTOAOUT25!$A$6:$AU$51,44,0)</f>
        <v>0</v>
      </c>
      <c r="AC12" s="36">
        <f>VLOOKUP($A12,[26]HISTOAOUT25!$A$6:$AU$51,43,0)</f>
        <v>0</v>
      </c>
      <c r="AD12" s="36">
        <f>VLOOKUP($A12,[26]HISTOAOUT25!$A$6:$BR$51,47,0)</f>
        <v>0</v>
      </c>
      <c r="AE12" s="36">
        <f>VLOOKUP(A12,[26]HISTOAOUT25!$A$6:$BR$51,54,0)</f>
        <v>0</v>
      </c>
      <c r="AF12" s="36">
        <f>VLOOKUP($A12,[26]HISTOAOUT25!$A$6:$BR$51,60,0)</f>
        <v>0</v>
      </c>
      <c r="AG12" s="36">
        <f>VLOOKUP($A12,[26]HISTOAOUT25!$A$6:$CB$51,61,0)</f>
        <v>0</v>
      </c>
      <c r="AH12" s="36">
        <f>VLOOKUP($A12,[26]HISTOAOUT25!$A$6:$CB$51,62,0)</f>
        <v>0</v>
      </c>
      <c r="AI12" s="36">
        <f>VLOOKUP($A12,[26]HISTOAOUT25!$A$6:$CB$51,63,0)</f>
        <v>0</v>
      </c>
      <c r="AJ12" s="36">
        <f>VLOOKUP($A12,[26]HISTOAOUT25!$A$6:$BR$51,64,0)</f>
        <v>0</v>
      </c>
      <c r="AK12" s="36">
        <f>VLOOKUP($A12,[26]HISTOAOUT25!$A$6:$BR$51,65,0)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VLOOKUP($A13,[26]HISTOAOUT25!$A$6:$BA$51,48,0)</f>
        <v>0</v>
      </c>
      <c r="F13" s="36">
        <f>VLOOKUP(A13,MVTJUIL25!A13:AM49,6,0)+MVTJUIL25!H13-E13+L13</f>
        <v>1022143.9352749725</v>
      </c>
      <c r="G13" s="5">
        <f>IF(MVTAOUT25!F13&gt;800000,(MVTJUIL25!I13-E13+L13),0)</f>
        <v>1022143.9352749725</v>
      </c>
      <c r="H13" s="36">
        <f>VLOOKUP(A13,[27]MVTAOUT25!$A$6:$AM$42,8,0)</f>
        <v>803.4909584949545</v>
      </c>
      <c r="I13" s="6">
        <f t="shared" si="1"/>
        <v>1022947.4262334674</v>
      </c>
      <c r="J13" s="36">
        <f>VLOOKUP($A13,[26]HISTOAOUT25!$A$6:$AQ$51,22,0)</f>
        <v>0</v>
      </c>
      <c r="K13" s="36">
        <f>VLOOKUP($A13,[26]HISTOAOUT25!$A$6:$AU$51,45,0)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VLOOKUP($A13,[26]HISTOAOUT25!$A$6:$AU$51,8,0)</f>
        <v>0</v>
      </c>
      <c r="Q13" s="36">
        <f>VLOOKUP($A13,[26]HISTOAOUT25!$A$6:$AU$51,23,0)</f>
        <v>0</v>
      </c>
      <c r="R13" s="36">
        <f>VLOOKUP($A13,[26]HISTOAOUT25!$A$6:$AU$51,46,0)</f>
        <v>0</v>
      </c>
      <c r="S13" s="36">
        <f>VLOOKUP($A13,[26]HISTOAOUT25!$A$6:$AU$51,26,0)</f>
        <v>0</v>
      </c>
      <c r="T13" s="36">
        <f>VLOOKUP($A13,[26]HISTOAOUT25!$A$6:$BG$51,58,0)</f>
        <v>0</v>
      </c>
      <c r="U13" s="36">
        <f>VLOOKUP($A13,[26]HISTOAOUT25!$A$6:$AU$51,28,0)</f>
        <v>0</v>
      </c>
      <c r="V13" s="36">
        <f>VLOOKUP($A13,[26]HISTOAOUT25!$A$6:$AU$51,19,0)</f>
        <v>0</v>
      </c>
      <c r="W13" s="36">
        <f>VLOOKUP($A13,[26]HISTOAOUT25!$A$6:$AU$51,20,0)</f>
        <v>0</v>
      </c>
      <c r="X13" s="36">
        <f>VLOOKUP($A13,[26]HISTOAOUT25!$A$6:$AU$51,27,0)</f>
        <v>0</v>
      </c>
      <c r="Y13" s="36">
        <f>VLOOKUP($A13,[26]HISTOAOUT25!$A$6:$BM$51,33,0)</f>
        <v>0</v>
      </c>
      <c r="Z13" s="36">
        <f>VLOOKUP($A13,[26]HISTOAOUT25!$A$6:$BM$51,64,0)</f>
        <v>0</v>
      </c>
      <c r="AA13" s="36"/>
      <c r="AB13" s="36">
        <f>VLOOKUP($A13,[26]HISTOAOUT25!$A$6:$AU$51,44,0)</f>
        <v>0</v>
      </c>
      <c r="AC13" s="36">
        <f>VLOOKUP($A13,[26]HISTOAOUT25!$A$6:$AU$51,43,0)</f>
        <v>0</v>
      </c>
      <c r="AD13" s="36">
        <f>VLOOKUP($A13,[26]HISTOAOUT25!$A$6:$BR$51,47,0)</f>
        <v>0</v>
      </c>
      <c r="AE13" s="36">
        <f>VLOOKUP(A13,[26]HISTOAOUT25!$A$6:$BR$51,54,0)</f>
        <v>0</v>
      </c>
      <c r="AF13" s="36">
        <f>VLOOKUP($A13,[26]HISTOAOUT25!$A$6:$BR$51,60,0)</f>
        <v>0</v>
      </c>
      <c r="AG13" s="36">
        <f>VLOOKUP($A13,[26]HISTOAOUT25!$A$6:$CB$51,61,0)</f>
        <v>0</v>
      </c>
      <c r="AH13" s="36">
        <f>VLOOKUP($A13,[26]HISTOAOUT25!$A$6:$CB$51,62,0)</f>
        <v>0</v>
      </c>
      <c r="AI13" s="36">
        <f>VLOOKUP($A13,[26]HISTOAOUT25!$A$6:$CB$51,63,0)</f>
        <v>0</v>
      </c>
      <c r="AJ13" s="36">
        <f>VLOOKUP($A13,[26]HISTOAOUT25!$A$6:$BR$51,64,0)</f>
        <v>0</v>
      </c>
      <c r="AK13" s="36">
        <f>VLOOKUP($A13,[26]HISTOAOUT25!$A$6:$BR$51,65,0)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VLOOKUP($A14,[26]HISTOAOUT25!$A$6:$BA$51,48,0)</f>
        <v>0</v>
      </c>
      <c r="F14" s="36">
        <f>VLOOKUP(A14,MVTJUIL25!A14:AM50,6,0)+MVTJUIL25!H14-E14+L14</f>
        <v>1771873.9777404093</v>
      </c>
      <c r="G14" s="5">
        <f>IF(MVTAOUT25!F14&gt;800000,(MVTJUIL25!I14-E14+L14),0)</f>
        <v>1771873.9777404093</v>
      </c>
      <c r="H14" s="36">
        <f>VLOOKUP(A14,[27]MVTAOUT25!$A$6:$AM$42,8,0)</f>
        <v>1392.8417237283868</v>
      </c>
      <c r="I14" s="6">
        <f t="shared" si="1"/>
        <v>1773266.8194641378</v>
      </c>
      <c r="J14" s="36">
        <f>VLOOKUP($A14,[26]HISTOAOUT25!$A$6:$AQ$51,22,0)</f>
        <v>0</v>
      </c>
      <c r="K14" s="36">
        <f>VLOOKUP($A14,[26]HISTOAOUT25!$A$6:$AU$51,45,0)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VLOOKUP($A14,[26]HISTOAOUT25!$A$6:$AU$51,8,0)</f>
        <v>0</v>
      </c>
      <c r="Q14" s="36">
        <f>VLOOKUP($A14,[26]HISTOAOUT25!$A$6:$AU$51,23,0)</f>
        <v>0</v>
      </c>
      <c r="R14" s="36">
        <f>VLOOKUP($A14,[26]HISTOAOUT25!$A$6:$AU$51,46,0)</f>
        <v>0</v>
      </c>
      <c r="S14" s="36">
        <f>VLOOKUP($A14,[26]HISTOAOUT25!$A$6:$AU$51,26,0)</f>
        <v>0</v>
      </c>
      <c r="T14" s="36">
        <f>VLOOKUP($A14,[26]HISTOAOUT25!$A$6:$BG$51,58,0)</f>
        <v>0</v>
      </c>
      <c r="U14" s="36">
        <f>VLOOKUP($A14,[26]HISTOAOUT25!$A$6:$AU$51,28,0)</f>
        <v>0</v>
      </c>
      <c r="V14" s="36">
        <f>VLOOKUP($A14,[26]HISTOAOUT25!$A$6:$AU$51,19,0)</f>
        <v>0</v>
      </c>
      <c r="W14" s="36">
        <f>VLOOKUP($A14,[26]HISTOAOUT25!$A$6:$AU$51,20,0)</f>
        <v>0</v>
      </c>
      <c r="X14" s="36">
        <f>VLOOKUP($A14,[26]HISTOAOUT25!$A$6:$AU$51,27,0)</f>
        <v>0</v>
      </c>
      <c r="Y14" s="36">
        <f>VLOOKUP($A14,[26]HISTOAOUT25!$A$6:$BM$51,33,0)</f>
        <v>0</v>
      </c>
      <c r="Z14" s="36">
        <f>VLOOKUP($A14,[26]HISTOAOUT25!$A$6:$BM$51,64,0)</f>
        <v>0</v>
      </c>
      <c r="AA14" s="36"/>
      <c r="AB14" s="36">
        <f>VLOOKUP($A14,[26]HISTOAOUT25!$A$6:$AU$51,44,0)</f>
        <v>0</v>
      </c>
      <c r="AC14" s="36">
        <f>VLOOKUP($A14,[26]HISTOAOUT25!$A$6:$AU$51,43,0)</f>
        <v>0</v>
      </c>
      <c r="AD14" s="36">
        <f>VLOOKUP($A14,[26]HISTOAOUT25!$A$6:$BR$51,47,0)</f>
        <v>0</v>
      </c>
      <c r="AE14" s="36">
        <f>VLOOKUP(A14,[26]HISTOAOUT25!$A$6:$BR$51,54,0)</f>
        <v>0</v>
      </c>
      <c r="AF14" s="36">
        <f>VLOOKUP($A14,[26]HISTOAOUT25!$A$6:$BR$51,60,0)</f>
        <v>0</v>
      </c>
      <c r="AG14" s="36">
        <f>VLOOKUP($A14,[26]HISTOAOUT25!$A$6:$CB$51,61,0)</f>
        <v>0</v>
      </c>
      <c r="AH14" s="36">
        <f>VLOOKUP($A14,[26]HISTOAOUT25!$A$6:$CB$51,62,0)</f>
        <v>0</v>
      </c>
      <c r="AI14" s="36">
        <f>VLOOKUP($A14,[26]HISTOAOUT25!$A$6:$CB$51,63,0)</f>
        <v>0</v>
      </c>
      <c r="AJ14" s="36">
        <f>VLOOKUP($A14,[26]HISTOAOUT25!$A$6:$BR$51,64,0)</f>
        <v>0</v>
      </c>
      <c r="AK14" s="36">
        <f>VLOOKUP($A14,[26]HISTOAOUT25!$A$6:$BR$51,65,0)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VLOOKUP($A15,[26]HISTOAOUT25!$A$6:$BA$51,48,0)</f>
        <v>0</v>
      </c>
      <c r="F15" s="36">
        <f>VLOOKUP(A15,MVTJUIL25!A15:AM51,6,0)+MVTJUIL25!H15-E15+L15</f>
        <v>151000</v>
      </c>
      <c r="G15" s="5">
        <f>IF(MVTAOUT25!F15&gt;800000,(MVTJUIL25!I15-E15+L15),0)</f>
        <v>0</v>
      </c>
      <c r="H15" s="36">
        <f>VLOOKUP(A15,[27]MVTAOUT25!$A$6:$AM$42,8,0)</f>
        <v>0</v>
      </c>
      <c r="I15" s="6">
        <f t="shared" si="1"/>
        <v>151000</v>
      </c>
      <c r="J15" s="36">
        <f>VLOOKUP($A15,[26]HISTOAOUT25!$A$6:$AQ$51,22,0)</f>
        <v>0</v>
      </c>
      <c r="K15" s="36">
        <f>VLOOKUP($A15,[26]HISTOAOUT25!$A$6:$AU$51,45,0)</f>
        <v>24000</v>
      </c>
      <c r="L15" s="36">
        <f t="shared" si="2"/>
        <v>18000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VLOOKUP($A15,[26]HISTOAOUT25!$A$6:$AU$51,8,0)</f>
        <v>0</v>
      </c>
      <c r="Q15" s="36">
        <f>VLOOKUP($A15,[26]HISTOAOUT25!$A$6:$AU$51,23,0)</f>
        <v>0</v>
      </c>
      <c r="R15" s="36">
        <f>VLOOKUP($A15,[26]HISTOAOUT25!$A$6:$AU$51,46,0)</f>
        <v>0</v>
      </c>
      <c r="S15" s="36">
        <f>VLOOKUP($A15,[26]HISTOAOUT25!$A$6:$AU$51,26,0)</f>
        <v>0</v>
      </c>
      <c r="T15" s="36">
        <f>VLOOKUP($A15,[26]HISTOAOUT25!$A$6:$BG$51,58,0)</f>
        <v>0</v>
      </c>
      <c r="U15" s="36">
        <f>VLOOKUP($A15,[26]HISTOAOUT25!$A$6:$AU$51,28,0)</f>
        <v>0</v>
      </c>
      <c r="V15" s="36">
        <f>VLOOKUP($A15,[26]HISTOAOUT25!$A$6:$AU$51,19,0)</f>
        <v>0</v>
      </c>
      <c r="W15" s="36">
        <f>VLOOKUP($A15,[26]HISTOAOUT25!$A$6:$AU$51,20,0)</f>
        <v>0</v>
      </c>
      <c r="X15" s="36">
        <f>VLOOKUP($A15,[26]HISTOAOUT25!$A$6:$AU$51,27,0)</f>
        <v>0</v>
      </c>
      <c r="Y15" s="36">
        <f>VLOOKUP($A15,[26]HISTOAOUT25!$A$6:$BM$51,33,0)</f>
        <v>0</v>
      </c>
      <c r="Z15" s="36">
        <f>VLOOKUP($A15,[26]HISTOAOUT25!$A$6:$BM$51,64,0)</f>
        <v>0</v>
      </c>
      <c r="AA15" s="36"/>
      <c r="AB15" s="36">
        <f>VLOOKUP($A15,[26]HISTOAOUT25!$A$6:$AU$51,44,0)</f>
        <v>0</v>
      </c>
      <c r="AC15" s="36">
        <f>VLOOKUP($A15,[26]HISTOAOUT25!$A$6:$AU$51,43,0)</f>
        <v>0</v>
      </c>
      <c r="AD15" s="36">
        <f>VLOOKUP($A15,[26]HISTOAOUT25!$A$6:$BR$51,47,0)</f>
        <v>0</v>
      </c>
      <c r="AE15" s="36">
        <f>VLOOKUP(A15,[26]HISTOAOUT25!$A$6:$BR$51,54,0)</f>
        <v>0</v>
      </c>
      <c r="AF15" s="36">
        <f>VLOOKUP($A15,[26]HISTOAOUT25!$A$6:$BR$51,60,0)</f>
        <v>0</v>
      </c>
      <c r="AG15" s="36">
        <f>VLOOKUP($A15,[26]HISTOAOUT25!$A$6:$CB$51,61,0)</f>
        <v>0</v>
      </c>
      <c r="AH15" s="36">
        <f>VLOOKUP($A15,[26]HISTOAOUT25!$A$6:$CB$51,62,0)</f>
        <v>0</v>
      </c>
      <c r="AI15" s="36">
        <f>VLOOKUP($A15,[26]HISTOAOUT25!$A$6:$CB$51,63,0)</f>
        <v>0</v>
      </c>
      <c r="AJ15" s="36">
        <f>VLOOKUP($A15,[26]HISTOAOUT25!$A$6:$BR$51,64,0)</f>
        <v>0</v>
      </c>
      <c r="AK15" s="36">
        <f>VLOOKUP($A15,[26]HISTOAOUT25!$A$6:$BR$51,65,0)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VLOOKUP($A16,[26]HISTOAOUT25!$A$6:$BA$51,48,0)</f>
        <v>0</v>
      </c>
      <c r="F16" s="36">
        <f>VLOOKUP(A16,MVTJUIL25!A16:AM52,6,0)+MVTJUIL25!H16-E16+L16</f>
        <v>1017958.8538398126</v>
      </c>
      <c r="G16" s="5">
        <f>IF(MVTAOUT25!F16&gt;800000,(MVTJUIL25!I16-E16+L16),0)</f>
        <v>1017958.8538398126</v>
      </c>
      <c r="H16" s="36">
        <f>VLOOKUP(A16,[27]MVTAOUT25!$A$6:$AM$42,8,0)</f>
        <v>800.20113308224347</v>
      </c>
      <c r="I16" s="6">
        <f t="shared" si="1"/>
        <v>1018759.0549728948</v>
      </c>
      <c r="J16" s="36">
        <f>VLOOKUP($A16,[26]HISTOAOUT25!$A$6:$AQ$51,22,0)</f>
        <v>0</v>
      </c>
      <c r="K16" s="36">
        <f>VLOOKUP($A16,[26]HISTOAOUT25!$A$6:$AU$51,45,0)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VLOOKUP($A16,[26]HISTOAOUT25!$A$6:$AU$51,8,0)</f>
        <v>0</v>
      </c>
      <c r="Q16" s="36">
        <f>VLOOKUP($A16,[26]HISTOAOUT25!$A$6:$AU$51,23,0)</f>
        <v>0</v>
      </c>
      <c r="R16" s="36">
        <f>VLOOKUP($A16,[26]HISTOAOUT25!$A$6:$AU$51,46,0)</f>
        <v>0</v>
      </c>
      <c r="S16" s="36">
        <f>VLOOKUP($A16,[26]HISTOAOUT25!$A$6:$AU$51,26,0)</f>
        <v>0</v>
      </c>
      <c r="T16" s="36">
        <f>VLOOKUP($A16,[26]HISTOAOUT25!$A$6:$BG$51,58,0)</f>
        <v>0</v>
      </c>
      <c r="U16" s="36">
        <f>VLOOKUP($A16,[26]HISTOAOUT25!$A$6:$AU$51,28,0)</f>
        <v>0</v>
      </c>
      <c r="V16" s="36">
        <f>VLOOKUP($A16,[26]HISTOAOUT25!$A$6:$AU$51,19,0)</f>
        <v>0</v>
      </c>
      <c r="W16" s="36">
        <f>VLOOKUP($A16,[26]HISTOAOUT25!$A$6:$AU$51,20,0)</f>
        <v>0</v>
      </c>
      <c r="X16" s="36">
        <f>VLOOKUP($A16,[26]HISTOAOUT25!$A$6:$AU$51,27,0)</f>
        <v>0</v>
      </c>
      <c r="Y16" s="36">
        <f>VLOOKUP($A16,[26]HISTOAOUT25!$A$6:$BM$51,33,0)</f>
        <v>0</v>
      </c>
      <c r="Z16" s="36">
        <f>VLOOKUP($A16,[26]HISTOAOUT25!$A$6:$BM$51,64,0)</f>
        <v>0</v>
      </c>
      <c r="AA16" s="36"/>
      <c r="AB16" s="36">
        <f>VLOOKUP($A16,[26]HISTOAOUT25!$A$6:$AU$51,44,0)</f>
        <v>0</v>
      </c>
      <c r="AC16" s="36">
        <f>VLOOKUP($A16,[26]HISTOAOUT25!$A$6:$AU$51,43,0)</f>
        <v>0</v>
      </c>
      <c r="AD16" s="36">
        <f>VLOOKUP($A16,[26]HISTOAOUT25!$A$6:$BR$51,47,0)</f>
        <v>0</v>
      </c>
      <c r="AE16" s="36">
        <f>VLOOKUP(A16,[26]HISTOAOUT25!$A$6:$BR$51,54,0)</f>
        <v>0</v>
      </c>
      <c r="AF16" s="36">
        <f>VLOOKUP($A16,[26]HISTOAOUT25!$A$6:$BR$51,60,0)</f>
        <v>0</v>
      </c>
      <c r="AG16" s="36">
        <f>VLOOKUP($A16,[26]HISTOAOUT25!$A$6:$CB$51,61,0)</f>
        <v>0</v>
      </c>
      <c r="AH16" s="36">
        <f>VLOOKUP($A16,[26]HISTOAOUT25!$A$6:$CB$51,62,0)</f>
        <v>0</v>
      </c>
      <c r="AI16" s="36">
        <f>VLOOKUP($A16,[26]HISTOAOUT25!$A$6:$CB$51,63,0)</f>
        <v>0</v>
      </c>
      <c r="AJ16" s="36">
        <f>VLOOKUP($A16,[26]HISTOAOUT25!$A$6:$BR$51,64,0)</f>
        <v>0</v>
      </c>
      <c r="AK16" s="36">
        <f>VLOOKUP($A16,[26]HISTOAOUT25!$A$6:$BR$51,65,0)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VLOOKUP($A17,[26]HISTOAOUT25!$A$6:$BA$51,48,0)</f>
        <v>0</v>
      </c>
      <c r="F17" s="36">
        <f>VLOOKUP(A17,MVTJUIL25!A17:AM53,6,0)+MVTJUIL25!H17-E17+L17</f>
        <v>1219371.4628828936</v>
      </c>
      <c r="G17" s="5">
        <f>IF(MVTAOUT25!F17&gt;800000,(MVTJUIL25!I17-E17+L17),0)</f>
        <v>1219371.4628828936</v>
      </c>
      <c r="H17" s="36">
        <f>VLOOKUP(A17,[27]MVTAOUT25!$A$6:$AM$42,8,0)</f>
        <v>958.52835560737549</v>
      </c>
      <c r="I17" s="6">
        <f t="shared" si="1"/>
        <v>1220329.9912385009</v>
      </c>
      <c r="J17" s="36">
        <f>VLOOKUP($A17,[26]HISTOAOUT25!$A$6:$AQ$51,22,0)</f>
        <v>0</v>
      </c>
      <c r="K17" s="36">
        <f>VLOOKUP($A17,[26]HISTOAOUT25!$A$6:$AU$51,45,0)</f>
        <v>50000</v>
      </c>
      <c r="L17" s="36">
        <f t="shared" si="2"/>
        <v>44000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VLOOKUP($A17,[26]HISTOAOUT25!$A$6:$AU$51,8,0)</f>
        <v>0</v>
      </c>
      <c r="Q17" s="36">
        <f>VLOOKUP($A17,[26]HISTOAOUT25!$A$6:$AU$51,23,0)</f>
        <v>0</v>
      </c>
      <c r="R17" s="36">
        <f>VLOOKUP($A17,[26]HISTOAOUT25!$A$6:$AU$51,46,0)</f>
        <v>0</v>
      </c>
      <c r="S17" s="36">
        <f>VLOOKUP($A17,[26]HISTOAOUT25!$A$6:$AU$51,26,0)</f>
        <v>0</v>
      </c>
      <c r="T17" s="36">
        <f>VLOOKUP($A17,[26]HISTOAOUT25!$A$6:$BG$51,58,0)</f>
        <v>0</v>
      </c>
      <c r="U17" s="36">
        <f>VLOOKUP($A17,[26]HISTOAOUT25!$A$6:$AU$51,28,0)</f>
        <v>0</v>
      </c>
      <c r="V17" s="36">
        <f>VLOOKUP($A17,[26]HISTOAOUT25!$A$6:$AU$51,19,0)</f>
        <v>100000</v>
      </c>
      <c r="W17" s="36" t="str">
        <f>VLOOKUP($A17,[26]HISTOAOUT25!$A$6:$AU$51,20,0)</f>
        <v>BANQUE</v>
      </c>
      <c r="X17" s="36">
        <f>VLOOKUP($A17,[26]HISTOAOUT25!$A$6:$AU$51,27,0)</f>
        <v>0</v>
      </c>
      <c r="Y17" s="36">
        <f>VLOOKUP($A17,[26]HISTOAOUT25!$A$6:$BM$51,33,0)</f>
        <v>0</v>
      </c>
      <c r="Z17" s="36">
        <f>VLOOKUP($A17,[26]HISTOAOUT25!$A$6:$BM$51,64,0)</f>
        <v>0</v>
      </c>
      <c r="AA17" s="36"/>
      <c r="AB17" s="36">
        <f>VLOOKUP($A17,[26]HISTOAOUT25!$A$6:$AU$51,44,0)</f>
        <v>0</v>
      </c>
      <c r="AC17" s="36">
        <f>VLOOKUP($A17,[26]HISTOAOUT25!$A$6:$AU$51,43,0)</f>
        <v>0</v>
      </c>
      <c r="AD17" s="36">
        <f>VLOOKUP($A17,[26]HISTOAOUT25!$A$6:$BR$51,47,0)</f>
        <v>0</v>
      </c>
      <c r="AE17" s="36">
        <f>VLOOKUP(A17,[26]HISTOAOUT25!$A$6:$BR$51,54,0)</f>
        <v>0</v>
      </c>
      <c r="AF17" s="36">
        <f>VLOOKUP($A17,[26]HISTOAOUT25!$A$6:$BR$51,60,0)</f>
        <v>0</v>
      </c>
      <c r="AG17" s="36">
        <f>VLOOKUP($A17,[26]HISTOAOUT25!$A$6:$CB$51,61,0)</f>
        <v>0</v>
      </c>
      <c r="AH17" s="36">
        <f>VLOOKUP($A17,[26]HISTOAOUT25!$A$6:$CB$51,62,0)</f>
        <v>0</v>
      </c>
      <c r="AI17" s="36">
        <f>VLOOKUP($A17,[26]HISTOAOUT25!$A$6:$CB$51,63,0)</f>
        <v>0</v>
      </c>
      <c r="AJ17" s="36">
        <f>VLOOKUP($A17,[26]HISTOAOUT25!$A$6:$BR$51,64,0)</f>
        <v>0</v>
      </c>
      <c r="AK17" s="36">
        <f>VLOOKUP($A17,[26]HISTOAOUT25!$A$6:$BR$51,65,0)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VLOOKUP($A18,[26]HISTOAOUT25!$A$6:$BA$51,48,0)</f>
        <v>0</v>
      </c>
      <c r="F18" s="36">
        <f>VLOOKUP(A18,MVTJUIL25!A18:AM54,6,0)+MVTJUIL25!H18-E18+L18</f>
        <v>1022131.0093777941</v>
      </c>
      <c r="G18" s="5">
        <f>IF(MVTAOUT25!F18&gt;800000,(MVTJUIL25!I18-E18+L18),0)</f>
        <v>1022131.0093777941</v>
      </c>
      <c r="H18" s="36">
        <f>VLOOKUP(A18,[27]MVTAOUT25!$A$6:$AM$42,8,0)</f>
        <v>803.48079765443606</v>
      </c>
      <c r="I18" s="6">
        <f t="shared" si="1"/>
        <v>1022934.4901754486</v>
      </c>
      <c r="J18" s="36">
        <f>VLOOKUP($A18,[26]HISTOAOUT25!$A$6:$AQ$51,22,0)</f>
        <v>0</v>
      </c>
      <c r="K18" s="36">
        <f>VLOOKUP($A18,[26]HISTOAOUT25!$A$6:$AU$51,45,0)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VLOOKUP($A18,[26]HISTOAOUT25!$A$6:$AU$51,8,0)</f>
        <v>0</v>
      </c>
      <c r="Q18" s="36">
        <f>VLOOKUP($A18,[26]HISTOAOUT25!$A$6:$AU$51,23,0)</f>
        <v>0</v>
      </c>
      <c r="R18" s="36">
        <f>VLOOKUP($A18,[26]HISTOAOUT25!$A$6:$AU$51,46,0)</f>
        <v>0</v>
      </c>
      <c r="S18" s="36">
        <f>VLOOKUP($A18,[26]HISTOAOUT25!$A$6:$AU$51,26,0)</f>
        <v>0</v>
      </c>
      <c r="T18" s="36">
        <f>VLOOKUP($A18,[26]HISTOAOUT25!$A$6:$BG$51,58,0)</f>
        <v>0</v>
      </c>
      <c r="U18" s="36">
        <f>VLOOKUP($A18,[26]HISTOAOUT25!$A$6:$AU$51,28,0)</f>
        <v>0</v>
      </c>
      <c r="V18" s="36">
        <f>VLOOKUP($A18,[26]HISTOAOUT25!$A$6:$AU$51,19,0)</f>
        <v>0</v>
      </c>
      <c r="W18" s="36">
        <f>VLOOKUP($A18,[26]HISTOAOUT25!$A$6:$AU$51,20,0)</f>
        <v>0</v>
      </c>
      <c r="X18" s="36">
        <f>VLOOKUP($A18,[26]HISTOAOUT25!$A$6:$AU$51,27,0)</f>
        <v>0</v>
      </c>
      <c r="Y18" s="36">
        <f>VLOOKUP($A18,[26]HISTOAOUT25!$A$6:$BM$51,33,0)</f>
        <v>0</v>
      </c>
      <c r="Z18" s="36">
        <f>VLOOKUP($A18,[26]HISTOAOUT25!$A$6:$BM$51,64,0)</f>
        <v>0</v>
      </c>
      <c r="AA18" s="36"/>
      <c r="AB18" s="36">
        <f>VLOOKUP($A18,[26]HISTOAOUT25!$A$6:$AU$51,44,0)</f>
        <v>0</v>
      </c>
      <c r="AC18" s="36">
        <f>VLOOKUP($A18,[26]HISTOAOUT25!$A$6:$AU$51,43,0)</f>
        <v>0</v>
      </c>
      <c r="AD18" s="36">
        <f>VLOOKUP($A18,[26]HISTOAOUT25!$A$6:$BR$51,47,0)</f>
        <v>0</v>
      </c>
      <c r="AE18" s="36">
        <f>VLOOKUP(A18,[26]HISTOAOUT25!$A$6:$BR$51,54,0)</f>
        <v>0</v>
      </c>
      <c r="AF18" s="36">
        <f>VLOOKUP($A18,[26]HISTOAOUT25!$A$6:$BR$51,60,0)</f>
        <v>0</v>
      </c>
      <c r="AG18" s="36">
        <f>VLOOKUP($A18,[26]HISTOAOUT25!$A$6:$CB$51,61,0)</f>
        <v>0</v>
      </c>
      <c r="AH18" s="36">
        <f>VLOOKUP($A18,[26]HISTOAOUT25!$A$6:$CB$51,62,0)</f>
        <v>0</v>
      </c>
      <c r="AI18" s="36">
        <f>VLOOKUP($A18,[26]HISTOAOUT25!$A$6:$CB$51,63,0)</f>
        <v>0</v>
      </c>
      <c r="AJ18" s="36">
        <f>VLOOKUP($A18,[26]HISTOAOUT25!$A$6:$BR$51,64,0)</f>
        <v>0</v>
      </c>
      <c r="AK18" s="36">
        <f>VLOOKUP($A18,[26]HISTOAOUT25!$A$6:$BR$51,65,0)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VLOOKUP($A19,[26]HISTOAOUT25!$A$6:$BA$51,48,0)</f>
        <v>0</v>
      </c>
      <c r="F19" s="36">
        <f>VLOOKUP(A19,MVTJUIL25!A19:AM55,6,0)+MVTJUIL25!H19-E19+L19</f>
        <v>1098295.4947901606</v>
      </c>
      <c r="G19" s="5">
        <f>IF(MVTAOUT25!F19&gt;800000,(MVTJUIL25!I19-E19+L19),0)</f>
        <v>1098295.4947901606</v>
      </c>
      <c r="H19" s="36">
        <f>VLOOKUP(A19,[27]MVTAOUT25!$A$6:$AM$42,8,0)</f>
        <v>863.35247841805983</v>
      </c>
      <c r="I19" s="6">
        <f t="shared" si="1"/>
        <v>1099158.8472685786</v>
      </c>
      <c r="J19" s="36">
        <f>VLOOKUP($A19,[26]HISTOAOUT25!$A$6:$AQ$51,22,0)</f>
        <v>0</v>
      </c>
      <c r="K19" s="36">
        <f>VLOOKUP($A19,[26]HISTOAOUT25!$A$6:$AU$51,45,0)</f>
        <v>38000</v>
      </c>
      <c r="L19" s="36">
        <f t="shared" si="2"/>
        <v>32000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VLOOKUP($A19,[26]HISTOAOUT25!$A$6:$AU$51,8,0)</f>
        <v>0</v>
      </c>
      <c r="Q19" s="36">
        <f>VLOOKUP($A19,[26]HISTOAOUT25!$A$6:$AU$51,23,0)</f>
        <v>0</v>
      </c>
      <c r="R19" s="36">
        <f>VLOOKUP($A19,[26]HISTOAOUT25!$A$6:$AU$51,46,0)</f>
        <v>0</v>
      </c>
      <c r="S19" s="36">
        <f>VLOOKUP($A19,[26]HISTOAOUT25!$A$6:$AU$51,26,0)</f>
        <v>0</v>
      </c>
      <c r="T19" s="36">
        <f>VLOOKUP($A19,[26]HISTOAOUT25!$A$6:$BG$51,58,0)</f>
        <v>0</v>
      </c>
      <c r="U19" s="36">
        <f>VLOOKUP($A19,[26]HISTOAOUT25!$A$6:$AU$51,28,0)</f>
        <v>0</v>
      </c>
      <c r="V19" s="36">
        <f>VLOOKUP($A19,[26]HISTOAOUT25!$A$6:$AU$51,19,0)</f>
        <v>0</v>
      </c>
      <c r="W19" s="36">
        <f>VLOOKUP($A19,[26]HISTOAOUT25!$A$6:$AU$51,20,0)</f>
        <v>0</v>
      </c>
      <c r="X19" s="36">
        <f>VLOOKUP($A19,[26]HISTOAOUT25!$A$6:$AU$51,27,0)</f>
        <v>0</v>
      </c>
      <c r="Y19" s="36">
        <f>VLOOKUP($A19,[26]HISTOAOUT25!$A$6:$BM$51,33,0)</f>
        <v>0</v>
      </c>
      <c r="Z19" s="36">
        <f>VLOOKUP($A19,[26]HISTOAOUT25!$A$6:$BM$51,64,0)</f>
        <v>0</v>
      </c>
      <c r="AA19" s="36"/>
      <c r="AB19" s="36">
        <f>VLOOKUP($A19,[26]HISTOAOUT25!$A$6:$AU$51,44,0)</f>
        <v>0</v>
      </c>
      <c r="AC19" s="36">
        <f>VLOOKUP($A19,[26]HISTOAOUT25!$A$6:$AU$51,43,0)</f>
        <v>0</v>
      </c>
      <c r="AD19" s="36">
        <f>VLOOKUP($A19,[26]HISTOAOUT25!$A$6:$BR$51,47,0)</f>
        <v>0</v>
      </c>
      <c r="AE19" s="36">
        <f>VLOOKUP(A19,[26]HISTOAOUT25!$A$6:$BR$51,54,0)</f>
        <v>0</v>
      </c>
      <c r="AF19" s="36">
        <f>VLOOKUP($A19,[26]HISTOAOUT25!$A$6:$BR$51,60,0)</f>
        <v>0</v>
      </c>
      <c r="AG19" s="36">
        <f>VLOOKUP($A19,[26]HISTOAOUT25!$A$6:$CB$51,61,0)</f>
        <v>0</v>
      </c>
      <c r="AH19" s="36">
        <f>VLOOKUP($A19,[26]HISTOAOUT25!$A$6:$CB$51,62,0)</f>
        <v>0</v>
      </c>
      <c r="AI19" s="36">
        <f>VLOOKUP($A19,[26]HISTOAOUT25!$A$6:$CB$51,63,0)</f>
        <v>0</v>
      </c>
      <c r="AJ19" s="36">
        <f>VLOOKUP($A19,[26]HISTOAOUT25!$A$6:$BR$51,64,0)</f>
        <v>0</v>
      </c>
      <c r="AK19" s="36">
        <f>VLOOKUP($A19,[26]HISTOAOUT25!$A$6:$BR$51,65,0)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VLOOKUP($A20,[26]HISTOAOUT25!$A$6:$BA$51,48,0)</f>
        <v>0</v>
      </c>
      <c r="F20" s="36">
        <f>VLOOKUP(A20,MVTJUIL25!A20:AM56,6,0)+MVTJUIL25!H20-E20+L20</f>
        <v>400000</v>
      </c>
      <c r="G20" s="5">
        <f>IF(MVTAOUT25!F20&gt;800000,(MVTJUIL25!I20-E20+L20),0)</f>
        <v>0</v>
      </c>
      <c r="H20" s="36">
        <f>VLOOKUP(A20,[27]MVTAOUT25!$A$6:$AM$42,8,0)</f>
        <v>0</v>
      </c>
      <c r="I20" s="6">
        <f t="shared" ref="I20" si="5">F20+H20</f>
        <v>400000</v>
      </c>
      <c r="J20" s="36">
        <f>VLOOKUP($A20,[26]HISTOAOUT25!$A$6:$AQ$51,22,0)</f>
        <v>0</v>
      </c>
      <c r="K20" s="36">
        <f>VLOOKUP($A20,[26]HISTOAOUT25!$A$6:$AU$51,45,0)</f>
        <v>0</v>
      </c>
      <c r="L20" s="36">
        <f>IF(K20=0,0,K20-(M20+N20+O20))+50000</f>
        <v>50000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VLOOKUP($A20,[26]HISTOAOUT25!$A$6:$AU$51,8,0)</f>
        <v>0</v>
      </c>
      <c r="Q20" s="36">
        <f>VLOOKUP($A20,[26]HISTOAOUT25!$A$6:$AU$51,23,0)</f>
        <v>0</v>
      </c>
      <c r="R20" s="36">
        <f>VLOOKUP($A20,[26]HISTOAOUT25!$A$6:$AU$51,46,0)</f>
        <v>0</v>
      </c>
      <c r="S20" s="36">
        <f>VLOOKUP($A20,[26]HISTOAOUT25!$A$6:$AU$51,26,0)</f>
        <v>0</v>
      </c>
      <c r="T20" s="36">
        <f>VLOOKUP($A20,[26]HISTOAOUT25!$A$6:$BG$51,58,0)</f>
        <v>0</v>
      </c>
      <c r="U20" s="36">
        <f>VLOOKUP($A20,[26]HISTOAOUT25!$A$6:$AU$51,28,0)</f>
        <v>0</v>
      </c>
      <c r="V20" s="36">
        <f>VLOOKUP($A20,[26]HISTOAOUT25!$A$6:$AU$51,19,0)</f>
        <v>0</v>
      </c>
      <c r="W20" s="36">
        <f>VLOOKUP($A20,[26]HISTOAOUT25!$A$6:$AU$51,20,0)</f>
        <v>0</v>
      </c>
      <c r="X20" s="36">
        <f>VLOOKUP($A20,[26]HISTOAOUT25!$A$6:$AU$51,27,0)</f>
        <v>0</v>
      </c>
      <c r="Y20" s="36">
        <f>VLOOKUP($A20,[26]HISTOAOUT25!$A$6:$BM$51,33,0)</f>
        <v>0</v>
      </c>
      <c r="Z20" s="36">
        <f>VLOOKUP($A20,[26]HISTOAOUT25!$A$6:$BM$51,64,0)</f>
        <v>0</v>
      </c>
      <c r="AA20" s="36"/>
      <c r="AB20" s="36">
        <f>VLOOKUP($A20,[26]HISTOAOUT25!$A$6:$AU$51,44,0)</f>
        <v>0</v>
      </c>
      <c r="AC20" s="36">
        <f>VLOOKUP($A20,[26]HISTOAOUT25!$A$6:$AU$51,43,0)</f>
        <v>0</v>
      </c>
      <c r="AD20" s="36">
        <f>VLOOKUP($A20,[26]HISTOAOUT25!$A$6:$BR$51,47,0)</f>
        <v>0</v>
      </c>
      <c r="AE20" s="36">
        <f>VLOOKUP(A20,[26]HISTOAOUT25!$A$6:$BR$51,54,0)</f>
        <v>0</v>
      </c>
      <c r="AF20" s="36">
        <f>VLOOKUP($A20,[26]HISTOAOUT25!$A$6:$BR$51,60,0)</f>
        <v>0</v>
      </c>
      <c r="AG20" s="36">
        <f>VLOOKUP($A20,[26]HISTOAOUT25!$A$6:$CB$51,61,0)</f>
        <v>0</v>
      </c>
      <c r="AH20" s="36">
        <f>VLOOKUP($A20,[26]HISTOAOUT25!$A$6:$CB$51,62,0)</f>
        <v>0</v>
      </c>
      <c r="AI20" s="36">
        <f>VLOOKUP($A20,[26]HISTOAOUT25!$A$6:$CB$51,63,0)</f>
        <v>0</v>
      </c>
      <c r="AJ20" s="36">
        <f>VLOOKUP($A20,[26]HISTOAOUT25!$A$6:$BR$51,64,0)</f>
        <v>0</v>
      </c>
      <c r="AK20" s="36">
        <f>VLOOKUP($A20,[26]HISTOAOUT25!$A$6:$BR$51,65,0)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VLOOKUP($A21,[26]HISTOAOUT25!$A$6:$BA$51,48,0)</f>
        <v>0</v>
      </c>
      <c r="F21" s="36">
        <f>VLOOKUP(A21,MVTJUIL25!A21:AM56,6,0)+MVTJUIL25!H21-E21+L21</f>
        <v>1178485.9951841231</v>
      </c>
      <c r="G21" s="5">
        <f>IF(MVTAOUT25!F21&gt;800000,(MVTJUIL25!I21-E21+L21),0)</f>
        <v>1178485.9951841231</v>
      </c>
      <c r="H21" s="36">
        <f>VLOOKUP(A21,[27]MVTAOUT25!$A$6:$AM$42,8,0)</f>
        <v>926.38894500571485</v>
      </c>
      <c r="I21" s="6">
        <f t="shared" si="1"/>
        <v>1179412.3841291287</v>
      </c>
      <c r="J21" s="36">
        <f>VLOOKUP($A21,[26]HISTOAOUT25!$A$6:$AQ$51,22,0)</f>
        <v>0</v>
      </c>
      <c r="K21" s="36">
        <f>VLOOKUP($A21,[26]HISTOAOUT25!$A$6:$AU$51,45,0)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VLOOKUP($A21,[26]HISTOAOUT25!$A$6:$AU$51,8,0)</f>
        <v>0</v>
      </c>
      <c r="Q21" s="36">
        <f>VLOOKUP($A21,[26]HISTOAOUT25!$A$6:$AU$51,23,0)</f>
        <v>0</v>
      </c>
      <c r="R21" s="36">
        <f>VLOOKUP($A21,[26]HISTOAOUT25!$A$6:$AU$51,46,0)</f>
        <v>0</v>
      </c>
      <c r="S21" s="36">
        <f>VLOOKUP($A21,[26]HISTOAOUT25!$A$6:$AU$51,26,0)</f>
        <v>0</v>
      </c>
      <c r="T21" s="36">
        <f>VLOOKUP($A21,[26]HISTOAOUT25!$A$6:$BG$51,58,0)</f>
        <v>0</v>
      </c>
      <c r="U21" s="36">
        <f>VLOOKUP($A21,[26]HISTOAOUT25!$A$6:$AU$51,28,0)</f>
        <v>0</v>
      </c>
      <c r="V21" s="36">
        <f>VLOOKUP($A21,[26]HISTOAOUT25!$A$6:$AU$51,19,0)</f>
        <v>0</v>
      </c>
      <c r="W21" s="36">
        <f>VLOOKUP($A21,[26]HISTOAOUT25!$A$6:$AU$51,20,0)</f>
        <v>0</v>
      </c>
      <c r="X21" s="36">
        <f>VLOOKUP($A21,[26]HISTOAOUT25!$A$6:$AU$51,27,0)</f>
        <v>0</v>
      </c>
      <c r="Y21" s="36">
        <f>VLOOKUP($A21,[26]HISTOAOUT25!$A$6:$BM$51,33,0)</f>
        <v>0</v>
      </c>
      <c r="Z21" s="36">
        <f>VLOOKUP($A21,[26]HISTOAOUT25!$A$6:$BM$51,64,0)</f>
        <v>0</v>
      </c>
      <c r="AA21" s="36"/>
      <c r="AB21" s="36">
        <f>VLOOKUP($A21,[26]HISTOAOUT25!$A$6:$AU$51,44,0)</f>
        <v>0</v>
      </c>
      <c r="AC21" s="36">
        <f>VLOOKUP($A21,[26]HISTOAOUT25!$A$6:$AU$51,43,0)</f>
        <v>0</v>
      </c>
      <c r="AD21" s="36">
        <f>VLOOKUP($A21,[26]HISTOAOUT25!$A$6:$BR$51,47,0)</f>
        <v>0</v>
      </c>
      <c r="AE21" s="36">
        <f>VLOOKUP(A21,[26]HISTOAOUT25!$A$6:$BR$51,54,0)</f>
        <v>0</v>
      </c>
      <c r="AF21" s="36">
        <f>VLOOKUP($A21,[26]HISTOAOUT25!$A$6:$BR$51,60,0)</f>
        <v>0</v>
      </c>
      <c r="AG21" s="36">
        <f>VLOOKUP($A21,[26]HISTOAOUT25!$A$6:$CB$51,61,0)</f>
        <v>0</v>
      </c>
      <c r="AH21" s="36">
        <f>VLOOKUP($A21,[26]HISTOAOUT25!$A$6:$CB$51,62,0)</f>
        <v>0</v>
      </c>
      <c r="AI21" s="36">
        <f>VLOOKUP($A21,[26]HISTOAOUT25!$A$6:$CB$51,63,0)</f>
        <v>0</v>
      </c>
      <c r="AJ21" s="36">
        <f>VLOOKUP($A21,[26]HISTOAOUT25!$A$6:$BR$51,64,0)</f>
        <v>0</v>
      </c>
      <c r="AK21" s="36">
        <f>VLOOKUP($A21,[26]HISTOAOUT25!$A$6:$BR$51,65,0)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VLOOKUP($A22,[26]HISTOAOUT25!$A$6:$BA$51,48,0)</f>
        <v>0</v>
      </c>
      <c r="F22" s="36">
        <f>VLOOKUP(A22,MVTJUIL25!A22:AM57,6,0)+MVTJUIL25!H22-E22+L22</f>
        <v>1026440.3803133718</v>
      </c>
      <c r="G22" s="5">
        <f>IF(MVTAOUT25!F22&gt;800000,(MVTJUIL25!I22-E22+L22),0)</f>
        <v>1026440.3803133718</v>
      </c>
      <c r="H22" s="36">
        <f>VLOOKUP(A22,[27]MVTAOUT25!$A$6:$AM$42,8,0)</f>
        <v>806.86832505057146</v>
      </c>
      <c r="I22" s="6">
        <f t="shared" si="1"/>
        <v>1027247.2486384223</v>
      </c>
      <c r="J22" s="36">
        <f>VLOOKUP($A22,[26]HISTOAOUT25!$A$6:$AQ$51,22,0)</f>
        <v>0</v>
      </c>
      <c r="K22" s="36">
        <f>VLOOKUP($A22,[26]HISTOAOUT25!$A$6:$AU$51,45,0)</f>
        <v>28000</v>
      </c>
      <c r="L22" s="36">
        <f t="shared" si="2"/>
        <v>22000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VLOOKUP($A22,[26]HISTOAOUT25!$A$6:$AU$51,8,0)</f>
        <v>0</v>
      </c>
      <c r="Q22" s="36">
        <f>VLOOKUP($A22,[26]HISTOAOUT25!$A$6:$AU$51,23,0)</f>
        <v>0</v>
      </c>
      <c r="R22" s="36">
        <f>VLOOKUP($A22,[26]HISTOAOUT25!$A$6:$AU$51,46,0)</f>
        <v>0</v>
      </c>
      <c r="S22" s="36">
        <f>VLOOKUP($A22,[26]HISTOAOUT25!$A$6:$AU$51,26,0)</f>
        <v>0</v>
      </c>
      <c r="T22" s="36">
        <f>VLOOKUP($A22,[26]HISTOAOUT25!$A$6:$BG$51,58,0)</f>
        <v>0</v>
      </c>
      <c r="U22" s="36">
        <f>VLOOKUP($A22,[26]HISTOAOUT25!$A$6:$AU$51,28,0)</f>
        <v>0</v>
      </c>
      <c r="V22" s="36">
        <f>VLOOKUP($A22,[26]HISTOAOUT25!$A$6:$AU$51,19,0)</f>
        <v>0</v>
      </c>
      <c r="W22" s="36">
        <f>VLOOKUP($A22,[26]HISTOAOUT25!$A$6:$AU$51,20,0)</f>
        <v>0</v>
      </c>
      <c r="X22" s="36">
        <f>VLOOKUP($A22,[26]HISTOAOUT25!$A$6:$AU$51,27,0)</f>
        <v>0</v>
      </c>
      <c r="Y22" s="36">
        <f>VLOOKUP($A22,[26]HISTOAOUT25!$A$6:$BM$51,33,0)</f>
        <v>0</v>
      </c>
      <c r="Z22" s="36">
        <f>VLOOKUP($A22,[26]HISTOAOUT25!$A$6:$BM$51,64,0)</f>
        <v>0</v>
      </c>
      <c r="AA22" s="36"/>
      <c r="AB22" s="36">
        <f>VLOOKUP($A22,[26]HISTOAOUT25!$A$6:$AU$51,44,0)</f>
        <v>0</v>
      </c>
      <c r="AC22" s="36">
        <f>VLOOKUP($A22,[26]HISTOAOUT25!$A$6:$AU$51,43,0)</f>
        <v>0</v>
      </c>
      <c r="AD22" s="36">
        <f>VLOOKUP($A22,[26]HISTOAOUT25!$A$6:$BR$51,47,0)</f>
        <v>0</v>
      </c>
      <c r="AE22" s="36">
        <f>VLOOKUP(A22,[26]HISTOAOUT25!$A$6:$BR$51,54,0)</f>
        <v>0</v>
      </c>
      <c r="AF22" s="36">
        <f>VLOOKUP($A22,[26]HISTOAOUT25!$A$6:$BR$51,60,0)</f>
        <v>0</v>
      </c>
      <c r="AG22" s="36">
        <f>VLOOKUP($A22,[26]HISTOAOUT25!$A$6:$CB$51,61,0)</f>
        <v>0</v>
      </c>
      <c r="AH22" s="36">
        <f>VLOOKUP($A22,[26]HISTOAOUT25!$A$6:$CB$51,62,0)</f>
        <v>0</v>
      </c>
      <c r="AI22" s="36">
        <f>VLOOKUP($A22,[26]HISTOAOUT25!$A$6:$CB$51,63,0)</f>
        <v>0</v>
      </c>
      <c r="AJ22" s="36">
        <f>VLOOKUP($A22,[26]HISTOAOUT25!$A$6:$BR$51,64,0)</f>
        <v>0</v>
      </c>
      <c r="AK22" s="36">
        <f>VLOOKUP($A22,[26]HISTOAOUT25!$A$6:$BR$51,65,0)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VLOOKUP($A23,[26]HISTOAOUT25!$A$6:$BA$51,48,0)</f>
        <v>0</v>
      </c>
      <c r="F23" s="36">
        <f>VLOOKUP(A23,MVTJUIL25!A23:AM58,6,0)+MVTJUIL25!H23-E23+L23</f>
        <v>1023710.1231497714</v>
      </c>
      <c r="G23" s="5">
        <f>IF(MVTAOUT25!F23&gt;800000,(MVTJUIL25!I23-E23+L23),0)</f>
        <v>1023710.1231497714</v>
      </c>
      <c r="H23" s="36">
        <f>VLOOKUP(A23,[27]MVTAOUT25!$A$6:$AM$42,8,0)</f>
        <v>804.72211367112527</v>
      </c>
      <c r="I23" s="6">
        <f t="shared" si="1"/>
        <v>1024514.8452634425</v>
      </c>
      <c r="J23" s="36">
        <f>VLOOKUP($A23,[26]HISTOAOUT25!$A$6:$AQ$51,22,0)</f>
        <v>0</v>
      </c>
      <c r="K23" s="36">
        <f>VLOOKUP($A23,[26]HISTOAOUT25!$A$6:$AU$51,45,0)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VLOOKUP($A23,[26]HISTOAOUT25!$A$6:$AU$51,8,0)</f>
        <v>0</v>
      </c>
      <c r="Q23" s="36">
        <f>VLOOKUP($A23,[26]HISTOAOUT25!$A$6:$AU$51,23,0)</f>
        <v>0</v>
      </c>
      <c r="R23" s="36">
        <f>VLOOKUP($A23,[26]HISTOAOUT25!$A$6:$AU$51,46,0)</f>
        <v>0</v>
      </c>
      <c r="S23" s="36">
        <f>VLOOKUP($A23,[26]HISTOAOUT25!$A$6:$AU$51,26,0)</f>
        <v>0</v>
      </c>
      <c r="T23" s="36">
        <f>VLOOKUP($A23,[26]HISTOAOUT25!$A$6:$BG$51,58,0)</f>
        <v>0</v>
      </c>
      <c r="U23" s="36">
        <f>VLOOKUP($A23,[26]HISTOAOUT25!$A$6:$AU$51,28,0)</f>
        <v>0</v>
      </c>
      <c r="V23" s="36">
        <f>VLOOKUP($A23,[26]HISTOAOUT25!$A$6:$AU$51,19,0)</f>
        <v>0</v>
      </c>
      <c r="W23" s="36">
        <f>VLOOKUP($A23,[26]HISTOAOUT25!$A$6:$AU$51,20,0)</f>
        <v>0</v>
      </c>
      <c r="X23" s="36">
        <f>VLOOKUP($A23,[26]HISTOAOUT25!$A$6:$AU$51,27,0)</f>
        <v>0</v>
      </c>
      <c r="Y23" s="36">
        <f>VLOOKUP($A23,[26]HISTOAOUT25!$A$6:$BM$51,33,0)</f>
        <v>0</v>
      </c>
      <c r="Z23" s="36">
        <f>VLOOKUP($A23,[26]HISTOAOUT25!$A$6:$BM$51,64,0)</f>
        <v>0</v>
      </c>
      <c r="AA23" s="36"/>
      <c r="AB23" s="36">
        <f>VLOOKUP($A23,[26]HISTOAOUT25!$A$6:$AU$51,44,0)</f>
        <v>0</v>
      </c>
      <c r="AC23" s="36">
        <f>VLOOKUP($A23,[26]HISTOAOUT25!$A$6:$AU$51,43,0)</f>
        <v>0</v>
      </c>
      <c r="AD23" s="36">
        <f>VLOOKUP($A23,[26]HISTOAOUT25!$A$6:$BR$51,47,0)</f>
        <v>0</v>
      </c>
      <c r="AE23" s="36">
        <f>VLOOKUP(A23,[26]HISTOAOUT25!$A$6:$BR$51,54,0)</f>
        <v>0</v>
      </c>
      <c r="AF23" s="36">
        <f>VLOOKUP($A23,[26]HISTOAOUT25!$A$6:$BR$51,60,0)</f>
        <v>0</v>
      </c>
      <c r="AG23" s="36">
        <f>VLOOKUP($A23,[26]HISTOAOUT25!$A$6:$CB$51,61,0)</f>
        <v>0</v>
      </c>
      <c r="AH23" s="36">
        <f>VLOOKUP($A23,[26]HISTOAOUT25!$A$6:$CB$51,62,0)</f>
        <v>0</v>
      </c>
      <c r="AI23" s="36">
        <f>VLOOKUP($A23,[26]HISTOAOUT25!$A$6:$CB$51,63,0)</f>
        <v>0</v>
      </c>
      <c r="AJ23" s="36">
        <f>VLOOKUP($A23,[26]HISTOAOUT25!$A$6:$BR$51,64,0)</f>
        <v>0</v>
      </c>
      <c r="AK23" s="36">
        <f>VLOOKUP($A23,[26]HISTOAOUT25!$A$6:$BR$51,65,0)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VLOOKUP($A24,[26]HISTOAOUT25!$A$6:$BA$51,48,0)</f>
        <v>0</v>
      </c>
      <c r="F24" s="36">
        <f>VLOOKUP(A24,MVTJUIL25!A24:AM59,6,0)+MVTJUIL25!H24-E24+L24</f>
        <v>970592.80722127366</v>
      </c>
      <c r="G24" s="5">
        <f>IF(MVTAOUT25!F24&gt;800000,(MVTJUIL25!I24-E24+L24),0)</f>
        <v>970592.80722127366</v>
      </c>
      <c r="H24" s="36">
        <f>VLOOKUP(A24,[27]MVTAOUT25!$A$6:$AM$42,8,0)</f>
        <v>762.96744330115769</v>
      </c>
      <c r="I24" s="6">
        <f t="shared" si="1"/>
        <v>971355.77466457477</v>
      </c>
      <c r="J24" s="36">
        <f>VLOOKUP($A24,[26]HISTOAOUT25!$A$6:$AQ$51,22,0)</f>
        <v>0</v>
      </c>
      <c r="K24" s="36">
        <f>VLOOKUP($A24,[26]HISTOAOUT25!$A$6:$AU$51,45,0)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VLOOKUP($A24,[26]HISTOAOUT25!$A$6:$AU$51,8,0)</f>
        <v>0</v>
      </c>
      <c r="Q24" s="36">
        <f>VLOOKUP($A24,[26]HISTOAOUT25!$A$6:$AU$51,23,0)</f>
        <v>0</v>
      </c>
      <c r="R24" s="36">
        <f>VLOOKUP($A24,[26]HISTOAOUT25!$A$6:$AU$51,46,0)</f>
        <v>0</v>
      </c>
      <c r="S24" s="36">
        <f>VLOOKUP($A24,[26]HISTOAOUT25!$A$6:$AU$51,26,0)</f>
        <v>0</v>
      </c>
      <c r="T24" s="36">
        <f>VLOOKUP($A24,[26]HISTOAOUT25!$A$6:$BG$51,58,0)</f>
        <v>0</v>
      </c>
      <c r="U24" s="36">
        <f>VLOOKUP($A24,[26]HISTOAOUT25!$A$6:$AU$51,28,0)</f>
        <v>0</v>
      </c>
      <c r="V24" s="36">
        <f>VLOOKUP($A24,[26]HISTOAOUT25!$A$6:$AU$51,19,0)</f>
        <v>0</v>
      </c>
      <c r="W24" s="36">
        <f>VLOOKUP($A24,[26]HISTOAOUT25!$A$6:$AU$51,20,0)</f>
        <v>0</v>
      </c>
      <c r="X24" s="36">
        <f>VLOOKUP($A24,[26]HISTOAOUT25!$A$6:$AU$51,27,0)</f>
        <v>0</v>
      </c>
      <c r="Y24" s="36">
        <f>VLOOKUP($A24,[26]HISTOAOUT25!$A$6:$BM$51,33,0)</f>
        <v>0</v>
      </c>
      <c r="Z24" s="36">
        <f>VLOOKUP($A24,[26]HISTOAOUT25!$A$6:$BM$51,64,0)</f>
        <v>0</v>
      </c>
      <c r="AA24" s="36"/>
      <c r="AB24" s="36">
        <f>VLOOKUP($A24,[26]HISTOAOUT25!$A$6:$AU$51,44,0)</f>
        <v>0</v>
      </c>
      <c r="AC24" s="36">
        <f>VLOOKUP($A24,[26]HISTOAOUT25!$A$6:$AU$51,43,0)</f>
        <v>0</v>
      </c>
      <c r="AD24" s="36">
        <f>VLOOKUP($A24,[26]HISTOAOUT25!$A$6:$BR$51,47,0)</f>
        <v>0</v>
      </c>
      <c r="AE24" s="36">
        <f>VLOOKUP(A24,[26]HISTOAOUT25!$A$6:$BR$51,54,0)</f>
        <v>0</v>
      </c>
      <c r="AF24" s="36">
        <f>VLOOKUP($A24,[26]HISTOAOUT25!$A$6:$BR$51,60,0)</f>
        <v>0</v>
      </c>
      <c r="AG24" s="36">
        <f>VLOOKUP($A24,[26]HISTOAOUT25!$A$6:$CB$51,61,0)</f>
        <v>0</v>
      </c>
      <c r="AH24" s="36">
        <f>VLOOKUP($A24,[26]HISTOAOUT25!$A$6:$CB$51,62,0)</f>
        <v>0</v>
      </c>
      <c r="AI24" s="36">
        <f>VLOOKUP($A24,[26]HISTOAOUT25!$A$6:$CB$51,63,0)</f>
        <v>0</v>
      </c>
      <c r="AJ24" s="36">
        <f>VLOOKUP($A24,[26]HISTOAOUT25!$A$6:$BR$51,64,0)</f>
        <v>0</v>
      </c>
      <c r="AK24" s="36">
        <f>VLOOKUP($A24,[26]HISTOAOUT25!$A$6:$BR$51,65,0)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VLOOKUP($A25,[26]HISTOAOUT25!$A$6:$BA$51,48,0)</f>
        <v>0</v>
      </c>
      <c r="F25" s="36">
        <f>VLOOKUP(A25,MVTJUIL25!A25:AM60,6,0)+MVTJUIL25!H25-E25+L25</f>
        <v>1372032.2488440489</v>
      </c>
      <c r="G25" s="5">
        <f>IF(MVTAOUT25!F25&gt;800000,(MVTJUIL25!I25-E25+L25),0)</f>
        <v>1372032.2488440489</v>
      </c>
      <c r="H25" s="36">
        <f>VLOOKUP(A25,[27]MVTAOUT25!$A$6:$AM$42,8,0)</f>
        <v>1078.5325516930511</v>
      </c>
      <c r="I25" s="6">
        <f t="shared" si="1"/>
        <v>1373110.781395742</v>
      </c>
      <c r="J25" s="36">
        <f>VLOOKUP($A25,[26]HISTOAOUT25!$A$6:$AQ$51,22,0)</f>
        <v>0</v>
      </c>
      <c r="K25" s="36">
        <f>VLOOKUP($A25,[26]HISTOAOUT25!$A$6:$AU$51,45,0)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VLOOKUP($A25,[26]HISTOAOUT25!$A$6:$AU$51,8,0)</f>
        <v>0</v>
      </c>
      <c r="Q25" s="36">
        <f>VLOOKUP($A25,[26]HISTOAOUT25!$A$6:$AU$51,23,0)</f>
        <v>0</v>
      </c>
      <c r="R25" s="36">
        <f>VLOOKUP($A25,[26]HISTOAOUT25!$A$6:$AU$51,46,0)</f>
        <v>0</v>
      </c>
      <c r="S25" s="36">
        <f>VLOOKUP($A25,[26]HISTOAOUT25!$A$6:$AU$51,26,0)</f>
        <v>0</v>
      </c>
      <c r="T25" s="36">
        <f>VLOOKUP($A25,[26]HISTOAOUT25!$A$6:$BG$51,58,0)</f>
        <v>0</v>
      </c>
      <c r="U25" s="36">
        <f>VLOOKUP($A25,[26]HISTOAOUT25!$A$6:$AU$51,28,0)</f>
        <v>0</v>
      </c>
      <c r="V25" s="36">
        <f>VLOOKUP($A25,[26]HISTOAOUT25!$A$6:$AU$51,19,0)</f>
        <v>0</v>
      </c>
      <c r="W25" s="36">
        <f>VLOOKUP($A25,[26]HISTOAOUT25!$A$6:$AU$51,20,0)</f>
        <v>0</v>
      </c>
      <c r="X25" s="36">
        <f>VLOOKUP($A25,[26]HISTOAOUT25!$A$6:$AU$51,27,0)</f>
        <v>0</v>
      </c>
      <c r="Y25" s="36">
        <f>VLOOKUP($A25,[26]HISTOAOUT25!$A$6:$BM$51,33,0)</f>
        <v>0</v>
      </c>
      <c r="Z25" s="36">
        <f>VLOOKUP($A25,[26]HISTOAOUT25!$A$6:$BM$51,64,0)</f>
        <v>0</v>
      </c>
      <c r="AA25" s="36"/>
      <c r="AB25" s="36">
        <f>VLOOKUP($A25,[26]HISTOAOUT25!$A$6:$AU$51,44,0)</f>
        <v>0</v>
      </c>
      <c r="AC25" s="36">
        <f>VLOOKUP($A25,[26]HISTOAOUT25!$A$6:$AU$51,43,0)</f>
        <v>0</v>
      </c>
      <c r="AD25" s="36">
        <f>VLOOKUP($A25,[26]HISTOAOUT25!$A$6:$BR$51,47,0)</f>
        <v>0</v>
      </c>
      <c r="AE25" s="36">
        <f>VLOOKUP(A25,[26]HISTOAOUT25!$A$6:$BR$51,54,0)</f>
        <v>0</v>
      </c>
      <c r="AF25" s="36">
        <f>VLOOKUP($A25,[26]HISTOAOUT25!$A$6:$BR$51,60,0)</f>
        <v>0</v>
      </c>
      <c r="AG25" s="36">
        <f>VLOOKUP($A25,[26]HISTOAOUT25!$A$6:$CB$51,61,0)</f>
        <v>0</v>
      </c>
      <c r="AH25" s="36">
        <f>VLOOKUP($A25,[26]HISTOAOUT25!$A$6:$CB$51,62,0)</f>
        <v>0</v>
      </c>
      <c r="AI25" s="36">
        <f>VLOOKUP($A25,[26]HISTOAOUT25!$A$6:$CB$51,63,0)</f>
        <v>0</v>
      </c>
      <c r="AJ25" s="36">
        <f>VLOOKUP($A25,[26]HISTOAOUT25!$A$6:$BR$51,64,0)</f>
        <v>0</v>
      </c>
      <c r="AK25" s="36">
        <f>VLOOKUP($A25,[26]HISTOAOUT25!$A$6:$BR$51,65,0)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VLOOKUP($A26,[26]HISTOAOUT25!$A$6:$BA$51,48,0)</f>
        <v>0</v>
      </c>
      <c r="F26" s="36">
        <f>VLOOKUP(A26,MVTJUIL25!A26:AM61,6,0)+MVTJUIL25!H26-E26+L26</f>
        <v>1516640.7420452887</v>
      </c>
      <c r="G26" s="5">
        <f>IF(MVTAOUT25!F26&gt;800000,(MVTJUIL25!I26-E26+L26),0)</f>
        <v>1516640.7420452887</v>
      </c>
      <c r="H26" s="36">
        <f>VLOOKUP(A26,[27]MVTAOUT25!$A$6:$AM$42,8,0)</f>
        <v>1192.2069695503735</v>
      </c>
      <c r="I26" s="6">
        <f t="shared" si="1"/>
        <v>1517832.949014839</v>
      </c>
      <c r="J26" s="36">
        <f>VLOOKUP($A26,[26]HISTOAOUT25!$A$6:$AQ$51,22,0)</f>
        <v>0</v>
      </c>
      <c r="K26" s="36">
        <f>VLOOKUP($A26,[26]HISTOAOUT25!$A$6:$AU$51,45,0)</f>
        <v>39500</v>
      </c>
      <c r="L26" s="36">
        <f t="shared" si="2"/>
        <v>33500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VLOOKUP($A26,[26]HISTOAOUT25!$A$6:$AU$51,8,0)</f>
        <v>0</v>
      </c>
      <c r="Q26" s="36">
        <f>VLOOKUP($A26,[26]HISTOAOUT25!$A$6:$AU$51,23,0)</f>
        <v>0</v>
      </c>
      <c r="R26" s="36">
        <f>VLOOKUP($A26,[26]HISTOAOUT25!$A$6:$AU$51,46,0)</f>
        <v>0</v>
      </c>
      <c r="S26" s="36">
        <f>VLOOKUP($A26,[26]HISTOAOUT25!$A$6:$AU$51,26,0)</f>
        <v>0</v>
      </c>
      <c r="T26" s="36">
        <f>VLOOKUP($A26,[26]HISTOAOUT25!$A$6:$BG$51,58,0)</f>
        <v>0</v>
      </c>
      <c r="U26" s="36">
        <f>VLOOKUP($A26,[26]HISTOAOUT25!$A$6:$AU$51,28,0)</f>
        <v>0</v>
      </c>
      <c r="V26" s="36">
        <f>VLOOKUP($A26,[26]HISTOAOUT25!$A$6:$AU$51,19,0)</f>
        <v>0</v>
      </c>
      <c r="W26" s="36">
        <f>VLOOKUP($A26,[26]HISTOAOUT25!$A$6:$AU$51,20,0)</f>
        <v>0</v>
      </c>
      <c r="X26" s="36">
        <f>VLOOKUP($A26,[26]HISTOAOUT25!$A$6:$AU$51,27,0)</f>
        <v>0</v>
      </c>
      <c r="Y26" s="36">
        <f>VLOOKUP($A26,[26]HISTOAOUT25!$A$6:$BM$51,33,0)</f>
        <v>0</v>
      </c>
      <c r="Z26" s="36">
        <f>VLOOKUP($A26,[26]HISTOAOUT25!$A$6:$BM$51,64,0)</f>
        <v>0</v>
      </c>
      <c r="AA26" s="36"/>
      <c r="AB26" s="36">
        <f>VLOOKUP($A26,[26]HISTOAOUT25!$A$6:$AU$51,44,0)</f>
        <v>0</v>
      </c>
      <c r="AC26" s="36">
        <f>VLOOKUP($A26,[26]HISTOAOUT25!$A$6:$AU$51,43,0)</f>
        <v>0</v>
      </c>
      <c r="AD26" s="36">
        <f>VLOOKUP($A26,[26]HISTOAOUT25!$A$6:$BR$51,47,0)</f>
        <v>0</v>
      </c>
      <c r="AE26" s="36">
        <f>VLOOKUP(A26,[26]HISTOAOUT25!$A$6:$BR$51,54,0)</f>
        <v>0</v>
      </c>
      <c r="AF26" s="36">
        <f>VLOOKUP($A26,[26]HISTOAOUT25!$A$6:$BR$51,60,0)</f>
        <v>0</v>
      </c>
      <c r="AG26" s="36">
        <f>VLOOKUP($A26,[26]HISTOAOUT25!$A$6:$CB$51,61,0)</f>
        <v>0</v>
      </c>
      <c r="AH26" s="36">
        <f>VLOOKUP($A26,[26]HISTOAOUT25!$A$6:$CB$51,62,0)</f>
        <v>0</v>
      </c>
      <c r="AI26" s="36">
        <f>VLOOKUP($A26,[26]HISTOAOUT25!$A$6:$CB$51,63,0)</f>
        <v>0</v>
      </c>
      <c r="AJ26" s="36">
        <f>VLOOKUP($A26,[26]HISTOAOUT25!$A$6:$BR$51,64,0)</f>
        <v>0</v>
      </c>
      <c r="AK26" s="36">
        <f>VLOOKUP($A26,[26]HISTOAOUT25!$A$6:$BR$51,65,0)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VLOOKUP($A27,[26]HISTOAOUT25!$A$6:$BA$51,48,0)</f>
        <v>0</v>
      </c>
      <c r="F27" s="36">
        <f>VLOOKUP(A27,MVTJUIL25!A27:AM62,6,0)+MVTJUIL25!H27-E27+L27</f>
        <v>1007023.788948538</v>
      </c>
      <c r="G27" s="5">
        <f>IF(MVTAOUT25!F27&gt;800000,(MVTJUIL25!I27-E27+L27),0)</f>
        <v>1007023.788948538</v>
      </c>
      <c r="H27" s="36">
        <f>VLOOKUP(A27,[27]MVTAOUT25!$A$6:$AM$42,8,0)</f>
        <v>791.60525390370969</v>
      </c>
      <c r="I27" s="6">
        <f t="shared" si="1"/>
        <v>1007815.3942024417</v>
      </c>
      <c r="J27" s="36">
        <f>VLOOKUP($A27,[26]HISTOAOUT25!$A$6:$AQ$51,22,0)</f>
        <v>0</v>
      </c>
      <c r="K27" s="36">
        <f>VLOOKUP($A27,[26]HISTOAOUT25!$A$6:$AU$51,45,0)</f>
        <v>25000</v>
      </c>
      <c r="L27" s="36">
        <f t="shared" si="2"/>
        <v>19000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VLOOKUP($A27,[26]HISTOAOUT25!$A$6:$AU$51,8,0)</f>
        <v>0</v>
      </c>
      <c r="Q27" s="36">
        <f>VLOOKUP($A27,[26]HISTOAOUT25!$A$6:$AU$51,23,0)</f>
        <v>0</v>
      </c>
      <c r="R27" s="36">
        <f>VLOOKUP($A27,[26]HISTOAOUT25!$A$6:$AU$51,46,0)</f>
        <v>0</v>
      </c>
      <c r="S27" s="36">
        <f>VLOOKUP($A27,[26]HISTOAOUT25!$A$6:$AU$51,26,0)</f>
        <v>0</v>
      </c>
      <c r="T27" s="36">
        <f>VLOOKUP($A27,[26]HISTOAOUT25!$A$6:$BG$51,58,0)</f>
        <v>0</v>
      </c>
      <c r="U27" s="36">
        <f>VLOOKUP($A27,[26]HISTOAOUT25!$A$6:$AU$51,28,0)</f>
        <v>0</v>
      </c>
      <c r="V27" s="36">
        <f>VLOOKUP($A27,[26]HISTOAOUT25!$A$6:$AU$51,19,0)</f>
        <v>0</v>
      </c>
      <c r="W27" s="36">
        <f>VLOOKUP($A27,[26]HISTOAOUT25!$A$6:$AU$51,20,0)</f>
        <v>0</v>
      </c>
      <c r="X27" s="36">
        <f>VLOOKUP($A27,[26]HISTOAOUT25!$A$6:$AU$51,27,0)</f>
        <v>0</v>
      </c>
      <c r="Y27" s="36">
        <f>VLOOKUP($A27,[26]HISTOAOUT25!$A$6:$BM$51,33,0)</f>
        <v>0</v>
      </c>
      <c r="Z27" s="36">
        <f>VLOOKUP($A27,[26]HISTOAOUT25!$A$6:$BM$51,64,0)</f>
        <v>0</v>
      </c>
      <c r="AA27" s="36"/>
      <c r="AB27" s="36">
        <f>VLOOKUP($A27,[26]HISTOAOUT25!$A$6:$AU$51,44,0)</f>
        <v>0</v>
      </c>
      <c r="AC27" s="36">
        <f>VLOOKUP($A27,[26]HISTOAOUT25!$A$6:$AU$51,43,0)</f>
        <v>0</v>
      </c>
      <c r="AD27" s="36">
        <f>VLOOKUP($A27,[26]HISTOAOUT25!$A$6:$BR$51,47,0)</f>
        <v>0</v>
      </c>
      <c r="AE27" s="36">
        <f>VLOOKUP(A27,[26]HISTOAOUT25!$A$6:$BR$51,54,0)</f>
        <v>0</v>
      </c>
      <c r="AF27" s="36">
        <f>VLOOKUP($A27,[26]HISTOAOUT25!$A$6:$BR$51,60,0)</f>
        <v>0</v>
      </c>
      <c r="AG27" s="36">
        <f>VLOOKUP($A27,[26]HISTOAOUT25!$A$6:$CB$51,61,0)</f>
        <v>0</v>
      </c>
      <c r="AH27" s="36">
        <f>VLOOKUP($A27,[26]HISTOAOUT25!$A$6:$CB$51,62,0)</f>
        <v>0</v>
      </c>
      <c r="AI27" s="36">
        <f>VLOOKUP($A27,[26]HISTOAOUT25!$A$6:$CB$51,63,0)</f>
        <v>0</v>
      </c>
      <c r="AJ27" s="36">
        <f>VLOOKUP($A27,[26]HISTOAOUT25!$A$6:$BR$51,64,0)</f>
        <v>0</v>
      </c>
      <c r="AK27" s="36">
        <f>VLOOKUP($A27,[26]HISTOAOUT25!$A$6:$BR$51,65,0)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VLOOKUP($A28,[26]HISTOAOUT25!$A$6:$BA$51,48,0)</f>
        <v>0</v>
      </c>
      <c r="F28" s="36">
        <f>VLOOKUP(A28,MVTJUIL25!A28:AM63,6,0)+MVTJUIL25!H28-E28+L28</f>
        <v>1034793.3615425439</v>
      </c>
      <c r="G28" s="5">
        <f>IF(MVTAOUT25!F28&gt;800000,(MVTJUIL25!I28-E28+L28),0)</f>
        <v>1034793.3615425439</v>
      </c>
      <c r="H28" s="36">
        <f>VLOOKUP(A28,[27]MVTAOUT25!$A$6:$AM$42,8,0)</f>
        <v>813.43446966337717</v>
      </c>
      <c r="I28" s="6">
        <f t="shared" si="1"/>
        <v>1035606.7960122073</v>
      </c>
      <c r="J28" s="36">
        <f>VLOOKUP($A28,[26]HISTOAOUT25!$A$6:$AQ$51,22,0)</f>
        <v>0</v>
      </c>
      <c r="K28" s="36">
        <f>VLOOKUP($A28,[26]HISTOAOUT25!$A$6:$AU$51,45,0)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VLOOKUP($A28,[26]HISTOAOUT25!$A$6:$AU$51,8,0)</f>
        <v>0</v>
      </c>
      <c r="Q28" s="36">
        <f>VLOOKUP($A28,[26]HISTOAOUT25!$A$6:$AU$51,23,0)</f>
        <v>0</v>
      </c>
      <c r="R28" s="36">
        <f>VLOOKUP($A28,[26]HISTOAOUT25!$A$6:$AU$51,46,0)</f>
        <v>0</v>
      </c>
      <c r="S28" s="36">
        <f>VLOOKUP($A28,[26]HISTOAOUT25!$A$6:$AU$51,26,0)</f>
        <v>0</v>
      </c>
      <c r="T28" s="36">
        <f>VLOOKUP($A28,[26]HISTOAOUT25!$A$6:$BG$51,58,0)</f>
        <v>0</v>
      </c>
      <c r="U28" s="36">
        <f>VLOOKUP($A28,[26]HISTOAOUT25!$A$6:$AU$51,28,0)</f>
        <v>0</v>
      </c>
      <c r="V28" s="36">
        <f>VLOOKUP($A28,[26]HISTOAOUT25!$A$6:$AU$51,19,0)</f>
        <v>0</v>
      </c>
      <c r="W28" s="36">
        <f>VLOOKUP($A28,[26]HISTOAOUT25!$A$6:$AU$51,20,0)</f>
        <v>0</v>
      </c>
      <c r="X28" s="36">
        <f>VLOOKUP($A28,[26]HISTOAOUT25!$A$6:$AU$51,27,0)</f>
        <v>0</v>
      </c>
      <c r="Y28" s="36">
        <f>VLOOKUP($A28,[26]HISTOAOUT25!$A$6:$BM$51,33,0)</f>
        <v>0</v>
      </c>
      <c r="Z28" s="36">
        <f>VLOOKUP($A28,[26]HISTOAOUT25!$A$6:$BM$51,64,0)</f>
        <v>0</v>
      </c>
      <c r="AA28" s="36"/>
      <c r="AB28" s="36">
        <f>VLOOKUP($A28,[26]HISTOAOUT25!$A$6:$AU$51,44,0)</f>
        <v>0</v>
      </c>
      <c r="AC28" s="36">
        <f>VLOOKUP($A28,[26]HISTOAOUT25!$A$6:$AU$51,43,0)</f>
        <v>0</v>
      </c>
      <c r="AD28" s="36">
        <f>VLOOKUP($A28,[26]HISTOAOUT25!$A$6:$BR$51,47,0)</f>
        <v>0</v>
      </c>
      <c r="AE28" s="36">
        <f>VLOOKUP(A28,[26]HISTOAOUT25!$A$6:$BR$51,54,0)</f>
        <v>0</v>
      </c>
      <c r="AF28" s="36">
        <f>VLOOKUP($A28,[26]HISTOAOUT25!$A$6:$BR$51,60,0)</f>
        <v>0</v>
      </c>
      <c r="AG28" s="36">
        <f>VLOOKUP($A28,[26]HISTOAOUT25!$A$6:$CB$51,61,0)</f>
        <v>0</v>
      </c>
      <c r="AH28" s="36">
        <f>VLOOKUP($A28,[26]HISTOAOUT25!$A$6:$CB$51,62,0)</f>
        <v>0</v>
      </c>
      <c r="AI28" s="36">
        <f>VLOOKUP($A28,[26]HISTOAOUT25!$A$6:$CB$51,63,0)</f>
        <v>0</v>
      </c>
      <c r="AJ28" s="36">
        <f>VLOOKUP($A28,[26]HISTOAOUT25!$A$6:$BR$51,64,0)</f>
        <v>0</v>
      </c>
      <c r="AK28" s="36">
        <f>VLOOKUP($A28,[26]HISTOAOUT25!$A$6:$BR$51,65,0)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VLOOKUP($A29,[26]HISTOAOUT25!$A$6:$BA$51,48,0)</f>
        <v>0</v>
      </c>
      <c r="F29" s="36">
        <f>VLOOKUP(A29,MVTJUIL25!A29:AM64,6,0)+MVTJUIL25!H29-E29+L29</f>
        <v>996804.86817265605</v>
      </c>
      <c r="G29" s="5">
        <f>IF(MVTAOUT25!F29&gt;800000,(MVTJUIL25!I29-E29+L29),0)</f>
        <v>996804.86817265605</v>
      </c>
      <c r="H29" s="36">
        <f>VLOOKUP(A29,[27]MVTAOUT25!$A$6:$AM$42,8,0)</f>
        <v>783.57232413165309</v>
      </c>
      <c r="I29" s="6">
        <f t="shared" si="1"/>
        <v>997588.44049678766</v>
      </c>
      <c r="J29" s="36">
        <f>VLOOKUP($A29,[26]HISTOAOUT25!$A$6:$AQ$51,22,0)</f>
        <v>0</v>
      </c>
      <c r="K29" s="36">
        <f>VLOOKUP($A29,[26]HISTOAOUT25!$A$6:$AU$51,45,0)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VLOOKUP($A29,[26]HISTOAOUT25!$A$6:$AU$51,8,0)</f>
        <v>0</v>
      </c>
      <c r="Q29" s="36">
        <f>VLOOKUP($A29,[26]HISTOAOUT25!$A$6:$AU$51,23,0)</f>
        <v>0</v>
      </c>
      <c r="R29" s="36">
        <f>VLOOKUP($A29,[26]HISTOAOUT25!$A$6:$AU$51,46,0)</f>
        <v>0</v>
      </c>
      <c r="S29" s="36">
        <f>VLOOKUP($A29,[26]HISTOAOUT25!$A$6:$AU$51,26,0)</f>
        <v>0</v>
      </c>
      <c r="T29" s="36">
        <f>VLOOKUP($A29,[26]HISTOAOUT25!$A$6:$BG$51,58,0)</f>
        <v>0</v>
      </c>
      <c r="U29" s="36">
        <f>VLOOKUP($A29,[26]HISTOAOUT25!$A$6:$AU$51,28,0)</f>
        <v>0</v>
      </c>
      <c r="V29" s="36">
        <f>VLOOKUP($A29,[26]HISTOAOUT25!$A$6:$AU$51,19,0)</f>
        <v>0</v>
      </c>
      <c r="W29" s="36">
        <f>VLOOKUP($A29,[26]HISTOAOUT25!$A$6:$AU$51,20,0)</f>
        <v>0</v>
      </c>
      <c r="X29" s="36">
        <f>VLOOKUP($A29,[26]HISTOAOUT25!$A$6:$AU$51,27,0)</f>
        <v>0</v>
      </c>
      <c r="Y29" s="36">
        <f>VLOOKUP($A29,[26]HISTOAOUT25!$A$6:$BM$51,33,0)</f>
        <v>0</v>
      </c>
      <c r="Z29" s="36">
        <f>VLOOKUP($A29,[26]HISTOAOUT25!$A$6:$BM$51,64,0)</f>
        <v>0</v>
      </c>
      <c r="AA29" s="36"/>
      <c r="AB29" s="36">
        <f>VLOOKUP($A29,[26]HISTOAOUT25!$A$6:$AU$51,44,0)</f>
        <v>0</v>
      </c>
      <c r="AC29" s="36">
        <f>VLOOKUP($A29,[26]HISTOAOUT25!$A$6:$AU$51,43,0)</f>
        <v>0</v>
      </c>
      <c r="AD29" s="36">
        <f>VLOOKUP($A29,[26]HISTOAOUT25!$A$6:$BR$51,47,0)</f>
        <v>0</v>
      </c>
      <c r="AE29" s="36">
        <f>VLOOKUP(A29,[26]HISTOAOUT25!$A$6:$BR$51,54,0)</f>
        <v>0</v>
      </c>
      <c r="AF29" s="36">
        <f>VLOOKUP($A29,[26]HISTOAOUT25!$A$6:$BR$51,60,0)</f>
        <v>0</v>
      </c>
      <c r="AG29" s="36">
        <f>VLOOKUP($A29,[26]HISTOAOUT25!$A$6:$CB$51,61,0)</f>
        <v>0</v>
      </c>
      <c r="AH29" s="36">
        <f>VLOOKUP($A29,[26]HISTOAOUT25!$A$6:$CB$51,62,0)</f>
        <v>0</v>
      </c>
      <c r="AI29" s="36">
        <f>VLOOKUP($A29,[26]HISTOAOUT25!$A$6:$CB$51,63,0)</f>
        <v>0</v>
      </c>
      <c r="AJ29" s="36">
        <f>VLOOKUP($A29,[26]HISTOAOUT25!$A$6:$BR$51,64,0)</f>
        <v>0</v>
      </c>
      <c r="AK29" s="36">
        <f>VLOOKUP($A29,[26]HISTOAOUT25!$A$6:$BR$51,65,0)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VLOOKUP($A30,[26]HISTOAOUT25!$A$6:$BA$51,48,0)</f>
        <v>0</v>
      </c>
      <c r="F30" s="36">
        <f>VLOOKUP(A30,MVTJUIL25!A30:AM65,6,0)+MVTJUIL25!H30-E30+L30</f>
        <v>1158918.2391115155</v>
      </c>
      <c r="G30" s="5">
        <f>IF(MVTAOUT25!F30&gt;800000,(MVTJUIL25!I30-E30+L30),0)</f>
        <v>1158918.2391115155</v>
      </c>
      <c r="H30" s="36">
        <f>VLOOKUP(A30,[27]MVTAOUT25!$A$6:$AM$42,8,0)</f>
        <v>911.00704570584242</v>
      </c>
      <c r="I30" s="6">
        <f t="shared" si="1"/>
        <v>1159829.2461572213</v>
      </c>
      <c r="J30" s="36">
        <f>VLOOKUP($A30,[26]HISTOAOUT25!$A$6:$AQ$51,22,0)</f>
        <v>0</v>
      </c>
      <c r="K30" s="36">
        <f>VLOOKUP($A30,[26]HISTOAOUT25!$A$6:$AU$51,45,0)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VLOOKUP($A30,[26]HISTOAOUT25!$A$6:$AU$51,8,0)</f>
        <v>0</v>
      </c>
      <c r="Q30" s="36">
        <f>VLOOKUP($A30,[26]HISTOAOUT25!$A$6:$AU$51,23,0)</f>
        <v>0</v>
      </c>
      <c r="R30" s="36">
        <f>VLOOKUP($A30,[26]HISTOAOUT25!$A$6:$AU$51,46,0)</f>
        <v>0</v>
      </c>
      <c r="S30" s="36">
        <f>VLOOKUP($A30,[26]HISTOAOUT25!$A$6:$AU$51,26,0)</f>
        <v>0</v>
      </c>
      <c r="T30" s="36">
        <f>VLOOKUP($A30,[26]HISTOAOUT25!$A$6:$BG$51,58,0)</f>
        <v>0</v>
      </c>
      <c r="U30" s="36">
        <f>VLOOKUP($A30,[26]HISTOAOUT25!$A$6:$AU$51,28,0)</f>
        <v>0</v>
      </c>
      <c r="V30" s="36">
        <f>VLOOKUP($A30,[26]HISTOAOUT25!$A$6:$AU$51,19,0)</f>
        <v>0</v>
      </c>
      <c r="W30" s="36">
        <f>VLOOKUP($A30,[26]HISTOAOUT25!$A$6:$AU$51,20,0)</f>
        <v>0</v>
      </c>
      <c r="X30" s="36">
        <f>VLOOKUP($A30,[26]HISTOAOUT25!$A$6:$AU$51,27,0)</f>
        <v>0</v>
      </c>
      <c r="Y30" s="36">
        <f>VLOOKUP($A30,[26]HISTOAOUT25!$A$6:$BM$51,33,0)</f>
        <v>0</v>
      </c>
      <c r="Z30" s="36">
        <f>VLOOKUP($A30,[26]HISTOAOUT25!$A$6:$BM$51,64,0)</f>
        <v>0</v>
      </c>
      <c r="AA30" s="36"/>
      <c r="AB30" s="36">
        <f>VLOOKUP($A30,[26]HISTOAOUT25!$A$6:$AU$51,44,0)</f>
        <v>0</v>
      </c>
      <c r="AC30" s="36">
        <f>VLOOKUP($A30,[26]HISTOAOUT25!$A$6:$AU$51,43,0)</f>
        <v>0</v>
      </c>
      <c r="AD30" s="36">
        <f>VLOOKUP($A30,[26]HISTOAOUT25!$A$6:$BR$51,47,0)</f>
        <v>0</v>
      </c>
      <c r="AE30" s="36">
        <f>VLOOKUP(A30,[26]HISTOAOUT25!$A$6:$BR$51,54,0)</f>
        <v>0</v>
      </c>
      <c r="AF30" s="36">
        <f>VLOOKUP($A30,[26]HISTOAOUT25!$A$6:$BR$51,60,0)</f>
        <v>0</v>
      </c>
      <c r="AG30" s="36">
        <f>VLOOKUP($A30,[26]HISTOAOUT25!$A$6:$CB$51,61,0)</f>
        <v>0</v>
      </c>
      <c r="AH30" s="36">
        <f>VLOOKUP($A30,[26]HISTOAOUT25!$A$6:$CB$51,62,0)</f>
        <v>0</v>
      </c>
      <c r="AI30" s="36">
        <f>VLOOKUP($A30,[26]HISTOAOUT25!$A$6:$CB$51,63,0)</f>
        <v>0</v>
      </c>
      <c r="AJ30" s="36">
        <f>VLOOKUP($A30,[26]HISTOAOUT25!$A$6:$BR$51,64,0)</f>
        <v>0</v>
      </c>
      <c r="AK30" s="36">
        <f>VLOOKUP($A30,[26]HISTOAOUT25!$A$6:$BR$51,65,0)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VLOOKUP($A31,[26]HISTOAOUT25!$A$6:$BA$51,48,0)</f>
        <v>0</v>
      </c>
      <c r="F31" s="36">
        <f>VLOOKUP(A31,MVTJUIL25!A31:AM66,6,0)+MVTJUIL25!H31-E31+L31</f>
        <v>1004541.0176340075</v>
      </c>
      <c r="G31" s="5">
        <f>IF(MVTAOUT25!F31&gt;800000,(MVTJUIL25!I31-E31+L31),0)</f>
        <v>1004541.0176340075</v>
      </c>
      <c r="H31" s="36">
        <f>VLOOKUP(A31,[27]MVTAOUT25!$A$6:$AM$42,8,0)</f>
        <v>789.65358718203686</v>
      </c>
      <c r="I31" s="6">
        <f t="shared" si="1"/>
        <v>1005330.6712211896</v>
      </c>
      <c r="J31" s="36">
        <f>VLOOKUP($A31,[26]HISTOAOUT25!$A$6:$AQ$51,22,0)</f>
        <v>0</v>
      </c>
      <c r="K31" s="36">
        <f>VLOOKUP($A31,[26]HISTOAOUT25!$A$6:$AU$51,45,0)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VLOOKUP($A31,[26]HISTOAOUT25!$A$6:$AU$51,8,0)</f>
        <v>0</v>
      </c>
      <c r="Q31" s="36">
        <f>VLOOKUP($A31,[26]HISTOAOUT25!$A$6:$AU$51,23,0)</f>
        <v>0</v>
      </c>
      <c r="R31" s="36">
        <f>VLOOKUP($A31,[26]HISTOAOUT25!$A$6:$AU$51,46,0)</f>
        <v>0</v>
      </c>
      <c r="S31" s="36">
        <f>VLOOKUP($A31,[26]HISTOAOUT25!$A$6:$AU$51,26,0)</f>
        <v>0</v>
      </c>
      <c r="T31" s="36">
        <f>VLOOKUP($A31,[26]HISTOAOUT25!$A$6:$BG$51,58,0)</f>
        <v>0</v>
      </c>
      <c r="U31" s="36">
        <f>VLOOKUP($A31,[26]HISTOAOUT25!$A$6:$AU$51,28,0)</f>
        <v>0</v>
      </c>
      <c r="V31" s="36">
        <f>VLOOKUP($A31,[26]HISTOAOUT25!$A$6:$AU$51,19,0)</f>
        <v>0</v>
      </c>
      <c r="W31" s="36">
        <f>VLOOKUP($A31,[26]HISTOAOUT25!$A$6:$AU$51,20,0)</f>
        <v>0</v>
      </c>
      <c r="X31" s="36">
        <f>VLOOKUP($A31,[26]HISTOAOUT25!$A$6:$AU$51,27,0)</f>
        <v>0</v>
      </c>
      <c r="Y31" s="36">
        <f>VLOOKUP($A31,[26]HISTOAOUT25!$A$6:$BM$51,33,0)</f>
        <v>0</v>
      </c>
      <c r="Z31" s="36">
        <f>VLOOKUP($A31,[26]HISTOAOUT25!$A$6:$BM$51,64,0)</f>
        <v>0</v>
      </c>
      <c r="AA31" s="36"/>
      <c r="AB31" s="36">
        <f>VLOOKUP($A31,[26]HISTOAOUT25!$A$6:$AU$51,44,0)</f>
        <v>0</v>
      </c>
      <c r="AC31" s="36">
        <f>VLOOKUP($A31,[26]HISTOAOUT25!$A$6:$AU$51,43,0)</f>
        <v>0</v>
      </c>
      <c r="AD31" s="36">
        <f>VLOOKUP($A31,[26]HISTOAOUT25!$A$6:$BR$51,47,0)</f>
        <v>0</v>
      </c>
      <c r="AE31" s="36">
        <f>VLOOKUP(A31,[26]HISTOAOUT25!$A$6:$BR$51,54,0)</f>
        <v>0</v>
      </c>
      <c r="AF31" s="36">
        <f>VLOOKUP($A31,[26]HISTOAOUT25!$A$6:$BR$51,60,0)</f>
        <v>0</v>
      </c>
      <c r="AG31" s="36">
        <f>VLOOKUP($A31,[26]HISTOAOUT25!$A$6:$CB$51,61,0)</f>
        <v>0</v>
      </c>
      <c r="AH31" s="36">
        <f>VLOOKUP($A31,[26]HISTOAOUT25!$A$6:$CB$51,62,0)</f>
        <v>0</v>
      </c>
      <c r="AI31" s="36">
        <f>VLOOKUP($A31,[26]HISTOAOUT25!$A$6:$CB$51,63,0)</f>
        <v>0</v>
      </c>
      <c r="AJ31" s="36">
        <f>VLOOKUP($A31,[26]HISTOAOUT25!$A$6:$BR$51,64,0)</f>
        <v>0</v>
      </c>
      <c r="AK31" s="36">
        <f>VLOOKUP($A31,[26]HISTOAOUT25!$A$6:$BR$51,65,0)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VLOOKUP($A32,[26]HISTOAOUT25!$A$6:$BA$51,48,0)</f>
        <v>0</v>
      </c>
      <c r="F32" s="36">
        <f>VLOOKUP(A32,MVTJUIL25!A32:AM67,6,0)+MVTJUIL25!H32-E32+L32</f>
        <v>1100497.4924969417</v>
      </c>
      <c r="G32" s="5">
        <f>IF(MVTAOUT25!F32&gt;800000,(MVTJUIL25!I32-E32+L32),0)</f>
        <v>1100497.4924969417</v>
      </c>
      <c r="H32" s="36">
        <f>VLOOKUP(A32,[27]MVTAOUT25!$A$6:$AM$42,8,0)</f>
        <v>865.08343350859639</v>
      </c>
      <c r="I32" s="6">
        <f t="shared" si="1"/>
        <v>1101362.5759304503</v>
      </c>
      <c r="J32" s="36">
        <f>VLOOKUP($A32,[26]HISTOAOUT25!$A$6:$AQ$51,22,0)</f>
        <v>0</v>
      </c>
      <c r="K32" s="36">
        <f>VLOOKUP($A32,[26]HISTOAOUT25!$A$6:$AU$51,45,0)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VLOOKUP($A32,[26]HISTOAOUT25!$A$6:$AU$51,8,0)</f>
        <v>0</v>
      </c>
      <c r="Q32" s="36">
        <f>VLOOKUP($A32,[26]HISTOAOUT25!$A$6:$AU$51,23,0)</f>
        <v>0</v>
      </c>
      <c r="R32" s="36">
        <f>VLOOKUP($A32,[26]HISTOAOUT25!$A$6:$AU$51,46,0)</f>
        <v>0</v>
      </c>
      <c r="S32" s="36">
        <f>VLOOKUP($A32,[26]HISTOAOUT25!$A$6:$AU$51,26,0)</f>
        <v>0</v>
      </c>
      <c r="T32" s="36">
        <f>VLOOKUP($A32,[26]HISTOAOUT25!$A$6:$BG$51,58,0)</f>
        <v>0</v>
      </c>
      <c r="U32" s="36">
        <f>VLOOKUP($A32,[26]HISTOAOUT25!$A$6:$AU$51,28,0)</f>
        <v>0</v>
      </c>
      <c r="V32" s="36">
        <f>VLOOKUP($A32,[26]HISTOAOUT25!$A$6:$AU$51,19,0)</f>
        <v>0</v>
      </c>
      <c r="W32" s="36">
        <f>VLOOKUP($A32,[26]HISTOAOUT25!$A$6:$AU$51,20,0)</f>
        <v>0</v>
      </c>
      <c r="X32" s="36">
        <f>VLOOKUP($A32,[26]HISTOAOUT25!$A$6:$AU$51,27,0)</f>
        <v>0</v>
      </c>
      <c r="Y32" s="36">
        <f>VLOOKUP($A32,[26]HISTOAOUT25!$A$6:$BM$51,33,0)</f>
        <v>0</v>
      </c>
      <c r="Z32" s="36">
        <f>VLOOKUP($A32,[26]HISTOAOUT25!$A$6:$BM$51,64,0)</f>
        <v>0</v>
      </c>
      <c r="AA32" s="36"/>
      <c r="AB32" s="36">
        <f>VLOOKUP($A32,[26]HISTOAOUT25!$A$6:$AU$51,44,0)</f>
        <v>0</v>
      </c>
      <c r="AC32" s="36">
        <f>VLOOKUP($A32,[26]HISTOAOUT25!$A$6:$AU$51,43,0)</f>
        <v>0</v>
      </c>
      <c r="AD32" s="36">
        <f>VLOOKUP($A32,[26]HISTOAOUT25!$A$6:$BR$51,47,0)</f>
        <v>0</v>
      </c>
      <c r="AE32" s="36">
        <f>VLOOKUP(A32,[26]HISTOAOUT25!$A$6:$BR$51,54,0)</f>
        <v>0</v>
      </c>
      <c r="AF32" s="36">
        <f>VLOOKUP($A32,[26]HISTOAOUT25!$A$6:$BR$51,60,0)</f>
        <v>0</v>
      </c>
      <c r="AG32" s="36">
        <f>VLOOKUP($A32,[26]HISTOAOUT25!$A$6:$CB$51,61,0)</f>
        <v>0</v>
      </c>
      <c r="AH32" s="36">
        <f>VLOOKUP($A32,[26]HISTOAOUT25!$A$6:$CB$51,62,0)</f>
        <v>0</v>
      </c>
      <c r="AI32" s="36">
        <f>VLOOKUP($A32,[26]HISTOAOUT25!$A$6:$CB$51,63,0)</f>
        <v>0</v>
      </c>
      <c r="AJ32" s="36">
        <f>VLOOKUP($A32,[26]HISTOAOUT25!$A$6:$BR$51,64,0)</f>
        <v>0</v>
      </c>
      <c r="AK32" s="36">
        <f>VLOOKUP($A32,[26]HISTOAOUT25!$A$6:$BR$51,65,0)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VLOOKUP($A33,[26]HISTOAOUT25!$A$6:$BA$51,48,0)</f>
        <v>0</v>
      </c>
      <c r="F33" s="36">
        <f>VLOOKUP(A33,MVTJUIL25!A33:AM68,6,0)+MVTJUIL25!H33-E33+L33</f>
        <v>140000</v>
      </c>
      <c r="G33" s="5">
        <f>IF(MVTAOUT25!F33&gt;800000,(MVTJUIL25!I33-E33+L33),0)</f>
        <v>0</v>
      </c>
      <c r="H33" s="36">
        <f>VLOOKUP(A33,[27]MVTAOUT25!$A$6:$AM$42,8,0)</f>
        <v>0</v>
      </c>
      <c r="I33" s="6">
        <f t="shared" si="1"/>
        <v>140000</v>
      </c>
      <c r="J33" s="36">
        <f>VLOOKUP($A33,[26]HISTOAOUT25!$A$6:$AQ$51,22,0)</f>
        <v>0</v>
      </c>
      <c r="K33" s="36">
        <f>VLOOKUP($A33,[26]HISTOAOUT25!$A$6:$AU$51,45,0)</f>
        <v>22000</v>
      </c>
      <c r="L33" s="36">
        <f t="shared" si="2"/>
        <v>16000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VLOOKUP($A33,[26]HISTOAOUT25!$A$6:$AU$51,8,0)</f>
        <v>3000</v>
      </c>
      <c r="Q33" s="36">
        <f>VLOOKUP($A33,[26]HISTOAOUT25!$A$6:$AU$51,23,0)</f>
        <v>0</v>
      </c>
      <c r="R33" s="36">
        <f>VLOOKUP($A33,[26]HISTOAOUT25!$A$6:$AU$51,46,0)</f>
        <v>0</v>
      </c>
      <c r="S33" s="36">
        <f>VLOOKUP($A33,[26]HISTOAOUT25!$A$6:$AU$51,26,0)</f>
        <v>0</v>
      </c>
      <c r="T33" s="36">
        <f>VLOOKUP($A33,[26]HISTOAOUT25!$A$6:$BG$51,58,0)</f>
        <v>0</v>
      </c>
      <c r="U33" s="36">
        <f>VLOOKUP($A33,[26]HISTOAOUT25!$A$6:$AU$51,28,0)</f>
        <v>0</v>
      </c>
      <c r="V33" s="36">
        <f>VLOOKUP($A33,[26]HISTOAOUT25!$A$6:$AU$51,19,0)</f>
        <v>0</v>
      </c>
      <c r="W33" s="36">
        <f>VLOOKUP($A33,[26]HISTOAOUT25!$A$6:$AU$51,20,0)</f>
        <v>0</v>
      </c>
      <c r="X33" s="36">
        <f>VLOOKUP($A33,[26]HISTOAOUT25!$A$6:$AU$51,27,0)</f>
        <v>0</v>
      </c>
      <c r="Y33" s="36">
        <f>VLOOKUP($A33,[26]HISTOAOUT25!$A$6:$BM$51,33,0)</f>
        <v>0</v>
      </c>
      <c r="Z33" s="36">
        <f>VLOOKUP($A33,[26]HISTOAOUT25!$A$6:$BM$51,64,0)</f>
        <v>0</v>
      </c>
      <c r="AA33" s="36"/>
      <c r="AB33" s="36">
        <f>VLOOKUP($A33,[26]HISTOAOUT25!$A$6:$AU$51,44,0)</f>
        <v>0</v>
      </c>
      <c r="AC33" s="36">
        <f>VLOOKUP($A33,[26]HISTOAOUT25!$A$6:$AU$51,43,0)</f>
        <v>0</v>
      </c>
      <c r="AD33" s="36">
        <f>VLOOKUP($A33,[26]HISTOAOUT25!$A$6:$BR$51,47,0)</f>
        <v>0</v>
      </c>
      <c r="AE33" s="36">
        <f>VLOOKUP(A33,[26]HISTOAOUT25!$A$6:$BR$51,54,0)</f>
        <v>300000</v>
      </c>
      <c r="AF33" s="36">
        <f>VLOOKUP($A33,[26]HISTOAOUT25!$A$6:$BR$51,60,0)</f>
        <v>0</v>
      </c>
      <c r="AG33" s="36">
        <f>VLOOKUP($A33,[26]HISTOAOUT25!$A$6:$CB$51,61,0)</f>
        <v>0</v>
      </c>
      <c r="AH33" s="36">
        <f>VLOOKUP($A33,[26]HISTOAOUT25!$A$6:$CB$51,62,0)</f>
        <v>0</v>
      </c>
      <c r="AI33" s="36">
        <f>VLOOKUP($A33,[26]HISTOAOUT25!$A$6:$CB$51,63,0)</f>
        <v>0</v>
      </c>
      <c r="AJ33" s="36">
        <f>VLOOKUP($A33,[26]HISTOAOUT25!$A$6:$BR$51,64,0)</f>
        <v>0</v>
      </c>
      <c r="AK33" s="36">
        <f>VLOOKUP($A33,[26]HISTOAOUT25!$A$6:$BR$51,65,0)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VLOOKUP($A34,[26]HISTOAOUT25!$A$6:$BA$51,48,0)</f>
        <v>0</v>
      </c>
      <c r="F34" s="36">
        <f>VLOOKUP(A34,MVTJUIL25!A34:AM69,6,0)+MVTJUIL25!H34-E34+L34</f>
        <v>1070583.5950731207</v>
      </c>
      <c r="G34" s="5">
        <f>IF(MVTAOUT25!F34&gt;800000,(MVTJUIL25!I34-E34+L34),0)</f>
        <v>1070583.5950731207</v>
      </c>
      <c r="H34" s="36">
        <f>VLOOKUP(A34,[27]MVTAOUT25!$A$6:$AM$42,8,0)</f>
        <v>841.56859838225012</v>
      </c>
      <c r="I34" s="6">
        <f t="shared" si="1"/>
        <v>1071425.1636715028</v>
      </c>
      <c r="J34" s="36">
        <f>VLOOKUP($A34,[26]HISTOAOUT25!$A$6:$AQ$51,22,0)</f>
        <v>0</v>
      </c>
      <c r="K34" s="36">
        <f>VLOOKUP($A34,[26]HISTOAOUT25!$A$6:$AU$51,45,0)</f>
        <v>29500</v>
      </c>
      <c r="L34" s="36">
        <f t="shared" si="2"/>
        <v>23500</v>
      </c>
      <c r="M34" s="36">
        <f t="shared" si="3"/>
        <v>1000</v>
      </c>
      <c r="N34" s="36">
        <f t="shared" si="0"/>
        <v>1000</v>
      </c>
      <c r="O34" s="36">
        <f t="shared" si="4"/>
        <v>4000</v>
      </c>
      <c r="P34" s="36">
        <f>VLOOKUP($A34,[26]HISTOAOUT25!$A$6:$AU$51,8,0)</f>
        <v>0</v>
      </c>
      <c r="Q34" s="36">
        <f>VLOOKUP($A34,[26]HISTOAOUT25!$A$6:$AU$51,23,0)</f>
        <v>0</v>
      </c>
      <c r="R34" s="36">
        <f>VLOOKUP($A34,[26]HISTOAOUT25!$A$6:$AU$51,46,0)</f>
        <v>0</v>
      </c>
      <c r="S34" s="36">
        <f>VLOOKUP($A34,[26]HISTOAOUT25!$A$6:$AU$51,26,0)</f>
        <v>0</v>
      </c>
      <c r="T34" s="36">
        <f>VLOOKUP($A34,[26]HISTOAOUT25!$A$6:$BG$51,58,0)</f>
        <v>0</v>
      </c>
      <c r="U34" s="36">
        <f>VLOOKUP($A34,[26]HISTOAOUT25!$A$6:$AU$51,28,0)</f>
        <v>0</v>
      </c>
      <c r="V34" s="36">
        <f>VLOOKUP($A34,[26]HISTOAOUT25!$A$6:$AU$51,19,0)</f>
        <v>0</v>
      </c>
      <c r="W34" s="36">
        <f>VLOOKUP($A34,[26]HISTOAOUT25!$A$6:$AU$51,20,0)</f>
        <v>0</v>
      </c>
      <c r="X34" s="36">
        <f>VLOOKUP($A34,[26]HISTOAOUT25!$A$6:$AU$51,27,0)</f>
        <v>0</v>
      </c>
      <c r="Y34" s="36">
        <f>VLOOKUP($A34,[26]HISTOAOUT25!$A$6:$BM$51,33,0)</f>
        <v>0</v>
      </c>
      <c r="Z34" s="36">
        <f>VLOOKUP($A34,[26]HISTOAOUT25!$A$6:$BM$51,64,0)</f>
        <v>0</v>
      </c>
      <c r="AA34" s="36"/>
      <c r="AB34" s="36">
        <f>VLOOKUP($A34,[26]HISTOAOUT25!$A$6:$AU$51,44,0)</f>
        <v>0</v>
      </c>
      <c r="AC34" s="36">
        <f>VLOOKUP($A34,[26]HISTOAOUT25!$A$6:$AU$51,43,0)</f>
        <v>0</v>
      </c>
      <c r="AD34" s="36">
        <f>VLOOKUP($A34,[26]HISTOAOUT25!$A$6:$BR$51,47,0)</f>
        <v>0</v>
      </c>
      <c r="AE34" s="36">
        <f>VLOOKUP(A34,[26]HISTOAOUT25!$A$6:$BR$51,54,0)</f>
        <v>0</v>
      </c>
      <c r="AF34" s="36">
        <f>VLOOKUP($A34,[26]HISTOAOUT25!$A$6:$BR$51,60,0)</f>
        <v>0</v>
      </c>
      <c r="AG34" s="36">
        <f>VLOOKUP($A34,[26]HISTOAOUT25!$A$6:$CB$51,61,0)</f>
        <v>0</v>
      </c>
      <c r="AH34" s="36">
        <f>VLOOKUP($A34,[26]HISTOAOUT25!$A$6:$CB$51,62,0)</f>
        <v>0</v>
      </c>
      <c r="AI34" s="36">
        <f>VLOOKUP($A34,[26]HISTOAOUT25!$A$6:$CB$51,63,0)</f>
        <v>0</v>
      </c>
      <c r="AJ34" s="36">
        <f>VLOOKUP($A34,[26]HISTOAOUT25!$A$6:$BR$51,64,0)</f>
        <v>0</v>
      </c>
      <c r="AK34" s="36">
        <f>VLOOKUP($A34,[26]HISTOAOUT25!$A$6:$BR$51,65,0)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VLOOKUP($A35,[26]HISTOAOUT25!$A$6:$BA$51,48,0)</f>
        <v>0</v>
      </c>
      <c r="F35" s="36">
        <f>VLOOKUP(A35,MVTJUIL25!A35:AM70,6,0)+MVTJUIL25!H35-E35+L35</f>
        <v>1021804.6304740359</v>
      </c>
      <c r="G35" s="5">
        <f>IF(MVTAOUT25!F35&gt;800000,(MVTJUIL25!I35-E35+L35),0)</f>
        <v>1021804.6304740359</v>
      </c>
      <c r="H35" s="36">
        <f>VLOOKUP(A35,[27]MVTAOUT25!$A$6:$AM$42,8,0)</f>
        <v>803.22423643134107</v>
      </c>
      <c r="I35" s="6">
        <f t="shared" si="1"/>
        <v>1022607.8547104672</v>
      </c>
      <c r="J35" s="36">
        <f>VLOOKUP($A35,[26]HISTOAOUT25!$A$6:$AQ$51,22,0)</f>
        <v>0</v>
      </c>
      <c r="K35" s="36">
        <f>VLOOKUP($A35,[26]HISTOAOUT25!$A$6:$AU$51,45,0)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VLOOKUP($A35,[26]HISTOAOUT25!$A$6:$AU$51,8,0)</f>
        <v>0</v>
      </c>
      <c r="Q35" s="36">
        <f>VLOOKUP($A35,[26]HISTOAOUT25!$A$6:$AU$51,23,0)</f>
        <v>0</v>
      </c>
      <c r="R35" s="36">
        <f>VLOOKUP($A35,[26]HISTOAOUT25!$A$6:$AU$51,46,0)</f>
        <v>0</v>
      </c>
      <c r="S35" s="36">
        <f>VLOOKUP($A35,[26]HISTOAOUT25!$A$6:$AU$51,26,0)</f>
        <v>0</v>
      </c>
      <c r="T35" s="36">
        <f>VLOOKUP($A35,[26]HISTOAOUT25!$A$6:$BG$51,58,0)</f>
        <v>0</v>
      </c>
      <c r="U35" s="36">
        <f>VLOOKUP($A35,[26]HISTOAOUT25!$A$6:$AU$51,28,0)</f>
        <v>0</v>
      </c>
      <c r="V35" s="36">
        <f>VLOOKUP($A35,[26]HISTOAOUT25!$A$6:$AU$51,19,0)</f>
        <v>0</v>
      </c>
      <c r="W35" s="36">
        <f>VLOOKUP($A35,[26]HISTOAOUT25!$A$6:$AU$51,20,0)</f>
        <v>0</v>
      </c>
      <c r="X35" s="36">
        <f>VLOOKUP($A35,[26]HISTOAOUT25!$A$6:$AU$51,27,0)</f>
        <v>0</v>
      </c>
      <c r="Y35" s="36">
        <f>VLOOKUP($A35,[26]HISTOAOUT25!$A$6:$BM$51,33,0)</f>
        <v>0</v>
      </c>
      <c r="Z35" s="36">
        <f>VLOOKUP($A35,[26]HISTOAOUT25!$A$6:$BM$51,64,0)</f>
        <v>0</v>
      </c>
      <c r="AA35" s="36"/>
      <c r="AB35" s="36">
        <f>VLOOKUP($A35,[26]HISTOAOUT25!$A$6:$AU$51,44,0)</f>
        <v>0</v>
      </c>
      <c r="AC35" s="36">
        <f>VLOOKUP($A35,[26]HISTOAOUT25!$A$6:$AU$51,43,0)</f>
        <v>0</v>
      </c>
      <c r="AD35" s="36">
        <f>VLOOKUP($A35,[26]HISTOAOUT25!$A$6:$BR$51,47,0)</f>
        <v>0</v>
      </c>
      <c r="AE35" s="36">
        <f>VLOOKUP(A35,[26]HISTOAOUT25!$A$6:$BR$51,54,0)</f>
        <v>0</v>
      </c>
      <c r="AF35" s="36">
        <f>VLOOKUP($A35,[26]HISTOAOUT25!$A$6:$BR$51,60,0)</f>
        <v>0</v>
      </c>
      <c r="AG35" s="36">
        <f>VLOOKUP($A35,[26]HISTOAOUT25!$A$6:$CB$51,61,0)</f>
        <v>0</v>
      </c>
      <c r="AH35" s="36">
        <f>VLOOKUP($A35,[26]HISTOAOUT25!$A$6:$CB$51,62,0)</f>
        <v>0</v>
      </c>
      <c r="AI35" s="36">
        <f>VLOOKUP($A35,[26]HISTOAOUT25!$A$6:$CB$51,63,0)</f>
        <v>0</v>
      </c>
      <c r="AJ35" s="36">
        <f>VLOOKUP($A35,[26]HISTOAOUT25!$A$6:$BR$51,64,0)</f>
        <v>0</v>
      </c>
      <c r="AK35" s="36">
        <f>VLOOKUP($A35,[26]HISTOAOUT25!$A$6:$BR$51,65,0)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VLOOKUP($A36,[26]HISTOAOUT25!$A$6:$BA$51,48,0)</f>
        <v>0</v>
      </c>
      <c r="F36" s="36">
        <f>VLOOKUP(A36,MVTJUIL25!A36:AM71,6,0)+MVTJUIL25!H36-E36+L36</f>
        <v>1011634.1037107274</v>
      </c>
      <c r="G36" s="5">
        <f>IF(MVTAOUT25!F36&gt;800000,(MVTJUIL25!I36-E36+L36),0)</f>
        <v>1011634.1037107274</v>
      </c>
      <c r="H36" s="36">
        <f>VLOOKUP(A36,[27]MVTAOUT25!$A$6:$AM$42,8,0)</f>
        <v>795.22934841662038</v>
      </c>
      <c r="I36" s="6">
        <f t="shared" si="1"/>
        <v>1012429.3330591441</v>
      </c>
      <c r="J36" s="36">
        <f>VLOOKUP($A36,[26]HISTOAOUT25!$A$6:$AQ$51,22,0)</f>
        <v>0</v>
      </c>
      <c r="K36" s="36">
        <f>VLOOKUP($A36,[26]HISTOAOUT25!$A$6:$AU$51,45,0)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VLOOKUP($A36,[26]HISTOAOUT25!$A$6:$AU$51,8,0)</f>
        <v>0</v>
      </c>
      <c r="Q36" s="36">
        <f>VLOOKUP($A36,[26]HISTOAOUT25!$A$6:$AU$51,23,0)</f>
        <v>0</v>
      </c>
      <c r="R36" s="36">
        <f>VLOOKUP($A36,[26]HISTOAOUT25!$A$6:$AU$51,46,0)</f>
        <v>0</v>
      </c>
      <c r="S36" s="36">
        <f>VLOOKUP($A36,[26]HISTOAOUT25!$A$6:$AU$51,26,0)</f>
        <v>0</v>
      </c>
      <c r="T36" s="36">
        <f>VLOOKUP($A36,[26]HISTOAOUT25!$A$6:$BG$51,58,0)</f>
        <v>0</v>
      </c>
      <c r="U36" s="36">
        <f>VLOOKUP($A36,[26]HISTOAOUT25!$A$6:$AU$51,28,0)</f>
        <v>0</v>
      </c>
      <c r="V36" s="36">
        <f>VLOOKUP($A36,[26]HISTOAOUT25!$A$6:$AU$51,19,0)</f>
        <v>0</v>
      </c>
      <c r="W36" s="36">
        <f>VLOOKUP($A36,[26]HISTOAOUT25!$A$6:$AU$51,20,0)</f>
        <v>0</v>
      </c>
      <c r="X36" s="36">
        <f>VLOOKUP($A36,[26]HISTOAOUT25!$A$6:$AU$51,27,0)</f>
        <v>0</v>
      </c>
      <c r="Y36" s="36">
        <f>VLOOKUP($A36,[26]HISTOAOUT25!$A$6:$BM$51,33,0)</f>
        <v>0</v>
      </c>
      <c r="Z36" s="36">
        <f>VLOOKUP($A36,[26]HISTOAOUT25!$A$6:$BM$51,64,0)</f>
        <v>0</v>
      </c>
      <c r="AA36" s="36"/>
      <c r="AB36" s="36">
        <f>VLOOKUP($A36,[26]HISTOAOUT25!$A$6:$AU$51,44,0)</f>
        <v>0</v>
      </c>
      <c r="AC36" s="36">
        <f>VLOOKUP($A36,[26]HISTOAOUT25!$A$6:$AU$51,43,0)</f>
        <v>0</v>
      </c>
      <c r="AD36" s="36">
        <f>VLOOKUP($A36,[26]HISTOAOUT25!$A$6:$BR$51,47,0)</f>
        <v>0</v>
      </c>
      <c r="AE36" s="36">
        <f>VLOOKUP(A36,[26]HISTOAOUT25!$A$6:$BR$51,54,0)</f>
        <v>0</v>
      </c>
      <c r="AF36" s="36">
        <f>VLOOKUP($A36,[26]HISTOAOUT25!$A$6:$BR$51,60,0)</f>
        <v>0</v>
      </c>
      <c r="AG36" s="36">
        <f>VLOOKUP($A36,[26]HISTOAOUT25!$A$6:$CB$51,61,0)</f>
        <v>0</v>
      </c>
      <c r="AH36" s="36">
        <f>VLOOKUP($A36,[26]HISTOAOUT25!$A$6:$CB$51,62,0)</f>
        <v>0</v>
      </c>
      <c r="AI36" s="36">
        <f>VLOOKUP($A36,[26]HISTOAOUT25!$A$6:$CB$51,63,0)</f>
        <v>100000</v>
      </c>
      <c r="AJ36" s="36">
        <f>VLOOKUP($A36,[26]HISTOAOUT25!$A$6:$BR$51,64,0)</f>
        <v>0</v>
      </c>
      <c r="AK36" s="36">
        <f>VLOOKUP($A36,[26]HISTOAOUT25!$A$6:$BR$51,65,0)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VLOOKUP($A37,[26]HISTOAOUT25!$A$6:$BA$51,48,0)</f>
        <v>0</v>
      </c>
      <c r="F37" s="36">
        <f>VLOOKUP(A37,MVTJUIL25!A37:AM72,6,0)+MVTJUIL25!H37-E37+L37</f>
        <v>636750</v>
      </c>
      <c r="G37" s="5">
        <f>IF(MVTAOUT25!F37&gt;800000,(MVTJUIL25!I37-E37+L37),0)</f>
        <v>0</v>
      </c>
      <c r="H37" s="36">
        <f>VLOOKUP(A37,[27]MVTAOUT25!$A$6:$AM$42,8,0)</f>
        <v>0</v>
      </c>
      <c r="I37" s="6">
        <f t="shared" si="1"/>
        <v>636750</v>
      </c>
      <c r="J37" s="36">
        <f>VLOOKUP($A37,[26]HISTOAOUT25!$A$6:$AQ$51,22,0)</f>
        <v>0</v>
      </c>
      <c r="K37" s="36">
        <f>VLOOKUP($A37,[26]HISTOAOUT25!$A$6:$AU$51,45,0)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VLOOKUP($A37,[26]HISTOAOUT25!$A$6:$AU$51,8,0)</f>
        <v>0</v>
      </c>
      <c r="Q37" s="36">
        <f>VLOOKUP($A37,[26]HISTOAOUT25!$A$6:$AU$51,23,0)</f>
        <v>0</v>
      </c>
      <c r="R37" s="36">
        <f>VLOOKUP($A37,[26]HISTOAOUT25!$A$6:$AU$51,46,0)</f>
        <v>0</v>
      </c>
      <c r="S37" s="36">
        <f>VLOOKUP($A37,[26]HISTOAOUT25!$A$6:$AU$51,26,0)</f>
        <v>0</v>
      </c>
      <c r="T37" s="36">
        <f>VLOOKUP($A37,[26]HISTOAOUT25!$A$6:$BG$51,58,0)</f>
        <v>0</v>
      </c>
      <c r="U37" s="36">
        <f>VLOOKUP($A37,[26]HISTOAOUT25!$A$6:$AU$51,28,0)</f>
        <v>0</v>
      </c>
      <c r="V37" s="36">
        <f>VLOOKUP($A37,[26]HISTOAOUT25!$A$6:$AU$51,19,0)</f>
        <v>0</v>
      </c>
      <c r="W37" s="36">
        <f>VLOOKUP($A37,[26]HISTOAOUT25!$A$6:$AU$51,20,0)</f>
        <v>0</v>
      </c>
      <c r="X37" s="36">
        <f>VLOOKUP($A37,[26]HISTOAOUT25!$A$6:$AU$51,27,0)</f>
        <v>0</v>
      </c>
      <c r="Y37" s="36">
        <f>VLOOKUP($A37,[26]HISTOAOUT25!$A$6:$BM$51,33,0)</f>
        <v>0</v>
      </c>
      <c r="Z37" s="36">
        <f>VLOOKUP($A37,[26]HISTOAOUT25!$A$6:$BM$51,64,0)</f>
        <v>0</v>
      </c>
      <c r="AA37" s="36"/>
      <c r="AB37" s="36">
        <f>VLOOKUP($A37,[26]HISTOAOUT25!$A$6:$AU$51,44,0)</f>
        <v>0</v>
      </c>
      <c r="AC37" s="36">
        <f>VLOOKUP($A37,[26]HISTOAOUT25!$A$6:$AU$51,43,0)</f>
        <v>0</v>
      </c>
      <c r="AD37" s="36">
        <f>VLOOKUP($A37,[26]HISTOAOUT25!$A$6:$BR$51,47,0)</f>
        <v>0</v>
      </c>
      <c r="AE37" s="36">
        <f>VLOOKUP(A37,[26]HISTOAOUT25!$A$6:$BR$51,54,0)</f>
        <v>0</v>
      </c>
      <c r="AF37" s="36">
        <f>VLOOKUP($A37,[26]HISTOAOUT25!$A$6:$BR$51,60,0)</f>
        <v>0</v>
      </c>
      <c r="AG37" s="36">
        <f>VLOOKUP($A37,[26]HISTOAOUT25!$A$6:$CB$51,61,0)</f>
        <v>0</v>
      </c>
      <c r="AH37" s="36">
        <f>VLOOKUP($A37,[26]HISTOAOUT25!$A$6:$CB$51,62,0)</f>
        <v>0</v>
      </c>
      <c r="AI37" s="36">
        <f>VLOOKUP($A37,[26]HISTOAOUT25!$A$6:$CB$51,63,0)</f>
        <v>0</v>
      </c>
      <c r="AJ37" s="36">
        <f>VLOOKUP($A37,[26]HISTOAOUT25!$A$6:$BR$51,64,0)</f>
        <v>0</v>
      </c>
      <c r="AK37" s="36">
        <f>VLOOKUP($A37,[26]HISTOAOUT25!$A$6:$BR$51,65,0)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VLOOKUP($A38,[26]HISTOAOUT25!$A$6:$BA$51,48,0)</f>
        <v>0</v>
      </c>
      <c r="F38" s="36">
        <f>VLOOKUP(A38,MVTJUIL25!A38:AM73,6,0)+MVTJUIL25!H38-E38+L38</f>
        <v>140000</v>
      </c>
      <c r="G38" s="5">
        <f>IF(MVTAOUT25!F38&gt;800000,(MVTJUIL25!I38-E38+L38),0)</f>
        <v>0</v>
      </c>
      <c r="H38" s="36">
        <f>VLOOKUP(A38,[27]MVTAOUT25!$A$6:$AM$42,8,0)</f>
        <v>0</v>
      </c>
      <c r="I38" s="6">
        <f t="shared" si="1"/>
        <v>140000</v>
      </c>
      <c r="J38" s="36">
        <f>VLOOKUP($A38,[26]HISTOAOUT25!$A$6:$AQ$51,22,0)</f>
        <v>0</v>
      </c>
      <c r="K38" s="36">
        <f>VLOOKUP($A38,[26]HISTOAOUT25!$A$6:$AU$51,45,0)</f>
        <v>25000</v>
      </c>
      <c r="L38" s="36">
        <f t="shared" si="2"/>
        <v>19000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VLOOKUP($A38,[26]HISTOAOUT25!$A$6:$AU$51,8,0)</f>
        <v>0</v>
      </c>
      <c r="Q38" s="36">
        <f>VLOOKUP($A38,[26]HISTOAOUT25!$A$6:$AU$51,23,0)</f>
        <v>0</v>
      </c>
      <c r="R38" s="36">
        <f>VLOOKUP($A38,[26]HISTOAOUT25!$A$6:$AU$51,46,0)</f>
        <v>0</v>
      </c>
      <c r="S38" s="36">
        <f>VLOOKUP($A38,[26]HISTOAOUT25!$A$6:$AU$51,26,0)</f>
        <v>0</v>
      </c>
      <c r="T38" s="36">
        <f>VLOOKUP($A38,[26]HISTOAOUT25!$A$6:$BG$51,58,0)</f>
        <v>0</v>
      </c>
      <c r="U38" s="36">
        <f>VLOOKUP($A38,[26]HISTOAOUT25!$A$6:$AU$51,28,0)</f>
        <v>0</v>
      </c>
      <c r="V38" s="36">
        <f>VLOOKUP($A38,[26]HISTOAOUT25!$A$6:$AU$51,19,0)</f>
        <v>0</v>
      </c>
      <c r="W38" s="36">
        <f>VLOOKUP($A38,[26]HISTOAOUT25!$A$6:$AU$51,20,0)</f>
        <v>0</v>
      </c>
      <c r="X38" s="36">
        <f>VLOOKUP($A38,[26]HISTOAOUT25!$A$6:$AU$51,27,0)</f>
        <v>0</v>
      </c>
      <c r="Y38" s="36">
        <f>VLOOKUP($A38,[26]HISTOAOUT25!$A$6:$BM$51,33,0)</f>
        <v>0</v>
      </c>
      <c r="Z38" s="36">
        <f>VLOOKUP($A38,[26]HISTOAOUT25!$A$6:$BM$51,64,0)</f>
        <v>0</v>
      </c>
      <c r="AA38" s="36"/>
      <c r="AB38" s="36">
        <f>VLOOKUP($A38,[26]HISTOAOUT25!$A$6:$AU$51,44,0)</f>
        <v>0</v>
      </c>
      <c r="AC38" s="36">
        <f>VLOOKUP($A38,[26]HISTOAOUT25!$A$6:$AU$51,43,0)</f>
        <v>0</v>
      </c>
      <c r="AD38" s="36">
        <f>VLOOKUP($A38,[26]HISTOAOUT25!$A$6:$BR$51,47,0)</f>
        <v>0</v>
      </c>
      <c r="AE38" s="36">
        <f>VLOOKUP(A38,[26]HISTOAOUT25!$A$6:$BR$51,54,0)</f>
        <v>0</v>
      </c>
      <c r="AF38" s="36">
        <f>VLOOKUP($A38,[26]HISTOAOUT25!$A$6:$BR$51,60,0)</f>
        <v>0</v>
      </c>
      <c r="AG38" s="36">
        <f>VLOOKUP($A38,[26]HISTOAOUT25!$A$6:$CB$51,61,0)</f>
        <v>0</v>
      </c>
      <c r="AH38" s="36">
        <f>VLOOKUP($A38,[26]HISTOAOUT25!$A$6:$CB$51,62,0)</f>
        <v>0</v>
      </c>
      <c r="AI38" s="36">
        <f>VLOOKUP($A38,[26]HISTOAOUT25!$A$6:$CB$51,63,0)</f>
        <v>0</v>
      </c>
      <c r="AJ38" s="36">
        <f>VLOOKUP($A38,[26]HISTOAOUT25!$A$6:$BR$51,64,0)</f>
        <v>0</v>
      </c>
      <c r="AK38" s="36">
        <f>VLOOKUP($A38,[26]HISTOAOUT25!$A$6:$BR$51,65,0)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VLOOKUP($A39,[26]HISTOAOUT25!$A$6:$BA$51,48,0)</f>
        <v>0</v>
      </c>
      <c r="F39" s="36">
        <f>VLOOKUP(A39,MVTJUIL25!A39:AM74,6,0)+MVTJUIL25!H39-E39+L39</f>
        <v>985380.14967575239</v>
      </c>
      <c r="G39" s="5">
        <f>IF(MVTAOUT25!F39&gt;800000,(MVTJUIL25!I39-E39+L39),0)</f>
        <v>985380.14967575239</v>
      </c>
      <c r="H39" s="36">
        <f>VLOOKUP(A39,[27]MVTAOUT25!$A$6:$AM$42,8,0)</f>
        <v>774.59153610482531</v>
      </c>
      <c r="I39" s="6">
        <f t="shared" si="1"/>
        <v>986154.74121185718</v>
      </c>
      <c r="J39" s="36">
        <f>VLOOKUP($A39,[26]HISTOAOUT25!$A$6:$AQ$51,22,0)</f>
        <v>0</v>
      </c>
      <c r="K39" s="36">
        <f>VLOOKUP($A39,[26]HISTOAOUT25!$A$6:$AU$51,45,0)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VLOOKUP($A39,[26]HISTOAOUT25!$A$6:$AU$51,8,0)</f>
        <v>0</v>
      </c>
      <c r="Q39" s="36">
        <f>VLOOKUP($A39,[26]HISTOAOUT25!$A$6:$AU$51,23,0)</f>
        <v>0</v>
      </c>
      <c r="R39" s="36">
        <f>VLOOKUP($A39,[26]HISTOAOUT25!$A$6:$AU$51,46,0)</f>
        <v>0</v>
      </c>
      <c r="S39" s="36">
        <f>VLOOKUP($A39,[26]HISTOAOUT25!$A$6:$AU$51,26,0)</f>
        <v>0</v>
      </c>
      <c r="T39" s="36">
        <f>VLOOKUP($A39,[26]HISTOAOUT25!$A$6:$BG$51,58,0)</f>
        <v>0</v>
      </c>
      <c r="U39" s="36">
        <f>VLOOKUP($A39,[26]HISTOAOUT25!$A$6:$AU$51,28,0)</f>
        <v>0</v>
      </c>
      <c r="V39" s="36">
        <f>VLOOKUP($A39,[26]HISTOAOUT25!$A$6:$AU$51,19,0)</f>
        <v>0</v>
      </c>
      <c r="W39" s="36">
        <f>VLOOKUP($A39,[26]HISTOAOUT25!$A$6:$AU$51,20,0)</f>
        <v>0</v>
      </c>
      <c r="X39" s="36">
        <f>VLOOKUP($A39,[26]HISTOAOUT25!$A$6:$AU$51,27,0)</f>
        <v>0</v>
      </c>
      <c r="Y39" s="36">
        <f>VLOOKUP($A39,[26]HISTOAOUT25!$A$6:$BM$51,33,0)</f>
        <v>0</v>
      </c>
      <c r="Z39" s="36">
        <f>VLOOKUP($A39,[26]HISTOAOUT25!$A$6:$BM$51,64,0)</f>
        <v>0</v>
      </c>
      <c r="AA39" s="36"/>
      <c r="AB39" s="36">
        <f>VLOOKUP($A39,[26]HISTOAOUT25!$A$6:$AU$51,44,0)</f>
        <v>0</v>
      </c>
      <c r="AC39" s="36">
        <f>VLOOKUP($A39,[26]HISTOAOUT25!$A$6:$AU$51,43,0)</f>
        <v>0</v>
      </c>
      <c r="AD39" s="36">
        <f>VLOOKUP($A39,[26]HISTOAOUT25!$A$6:$BR$51,47,0)</f>
        <v>0</v>
      </c>
      <c r="AE39" s="36">
        <f>VLOOKUP(A39,[26]HISTOAOUT25!$A$6:$BR$51,54,0)</f>
        <v>0</v>
      </c>
      <c r="AF39" s="36">
        <f>VLOOKUP($A39,[26]HISTOAOUT25!$A$6:$BR$51,60,0)</f>
        <v>0</v>
      </c>
      <c r="AG39" s="36">
        <f>VLOOKUP($A39,[26]HISTOAOUT25!$A$6:$CB$51,61,0)</f>
        <v>0</v>
      </c>
      <c r="AH39" s="36">
        <f>VLOOKUP($A39,[26]HISTOAOUT25!$A$6:$CB$51,62,0)</f>
        <v>0</v>
      </c>
      <c r="AI39" s="36">
        <f>VLOOKUP($A39,[26]HISTOAOUT25!$A$6:$CB$51,63,0)</f>
        <v>0</v>
      </c>
      <c r="AJ39" s="36">
        <f>VLOOKUP($A39,[26]HISTOAOUT25!$A$6:$BR$51,64,0)</f>
        <v>0</v>
      </c>
      <c r="AK39" s="36">
        <f>VLOOKUP($A39,[26]HISTOAOUT25!$A$6:$BR$51,65,0)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VLOOKUP($A40,[26]HISTOAOUT25!$A$6:$BA$51,48,0)</f>
        <v>0</v>
      </c>
      <c r="F40" s="36">
        <f>VLOOKUP(A40,MVTJUIL25!A40:AM75,6,0)+MVTJUIL25!H40-E40+L40</f>
        <v>1805926.4326254197</v>
      </c>
      <c r="G40" s="5">
        <f>IF(MVTAOUT25!F40&gt;800000,(MVTJUIL25!I40-E40+L40),0)</f>
        <v>1805926.4326254197</v>
      </c>
      <c r="H40" s="36">
        <f>VLOOKUP(A40,[27]MVTAOUT25!$A$6:$AM$42,8,0)</f>
        <v>1419.6098125174697</v>
      </c>
      <c r="I40" s="6">
        <f t="shared" si="1"/>
        <v>1807346.0424379371</v>
      </c>
      <c r="J40" s="36">
        <f>VLOOKUP($A40,[26]HISTOAOUT25!$A$6:$AQ$51,22,0)</f>
        <v>0</v>
      </c>
      <c r="K40" s="36">
        <f>VLOOKUP($A40,[26]HISTOAOUT25!$A$6:$AU$51,45,0)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VLOOKUP($A40,[26]HISTOAOUT25!$A$6:$AU$51,8,0)</f>
        <v>0</v>
      </c>
      <c r="Q40" s="36">
        <f>VLOOKUP($A40,[26]HISTOAOUT25!$A$6:$AU$51,23,0)</f>
        <v>0</v>
      </c>
      <c r="R40" s="36">
        <f>VLOOKUP($A40,[26]HISTOAOUT25!$A$6:$AU$51,46,0)</f>
        <v>0</v>
      </c>
      <c r="S40" s="36">
        <f>VLOOKUP($A40,[26]HISTOAOUT25!$A$6:$AU$51,26,0)</f>
        <v>0</v>
      </c>
      <c r="T40" s="36">
        <f>VLOOKUP($A40,[26]HISTOAOUT25!$A$6:$BG$51,58,0)</f>
        <v>0</v>
      </c>
      <c r="U40" s="36">
        <f>VLOOKUP($A40,[26]HISTOAOUT25!$A$6:$AU$51,28,0)</f>
        <v>0</v>
      </c>
      <c r="V40" s="36">
        <f>VLOOKUP($A40,[26]HISTOAOUT25!$A$6:$AU$51,19,0)</f>
        <v>0</v>
      </c>
      <c r="W40" s="36">
        <f>VLOOKUP($A40,[26]HISTOAOUT25!$A$6:$AU$51,20,0)</f>
        <v>0</v>
      </c>
      <c r="X40" s="36">
        <f>VLOOKUP($A40,[26]HISTOAOUT25!$A$6:$AU$51,27,0)</f>
        <v>0</v>
      </c>
      <c r="Y40" s="36">
        <f>VLOOKUP($A40,[26]HISTOAOUT25!$A$6:$BM$51,33,0)</f>
        <v>0</v>
      </c>
      <c r="Z40" s="36">
        <f>VLOOKUP($A40,[26]HISTOAOUT25!$A$6:$BM$51,64,0)</f>
        <v>0</v>
      </c>
      <c r="AA40" s="36"/>
      <c r="AB40" s="36">
        <f>VLOOKUP($A40,[26]HISTOAOUT25!$A$6:$AU$51,44,0)</f>
        <v>0</v>
      </c>
      <c r="AC40" s="36">
        <f>VLOOKUP($A40,[26]HISTOAOUT25!$A$6:$AU$51,43,0)</f>
        <v>0</v>
      </c>
      <c r="AD40" s="36">
        <f>VLOOKUP($A40,[26]HISTOAOUT25!$A$6:$BR$51,47,0)</f>
        <v>0</v>
      </c>
      <c r="AE40" s="36">
        <f>VLOOKUP(A40,[26]HISTOAOUT25!$A$6:$BR$51,54,0)</f>
        <v>0</v>
      </c>
      <c r="AF40" s="36">
        <f>VLOOKUP($A40,[26]HISTOAOUT25!$A$6:$BR$51,60,0)</f>
        <v>0</v>
      </c>
      <c r="AG40" s="36">
        <f>VLOOKUP($A40,[26]HISTOAOUT25!$A$6:$CB$51,61,0)</f>
        <v>0</v>
      </c>
      <c r="AH40" s="36">
        <f>VLOOKUP($A40,[26]HISTOAOUT25!$A$6:$CB$51,62,0)</f>
        <v>0</v>
      </c>
      <c r="AI40" s="36">
        <f>VLOOKUP($A40,[26]HISTOAOUT25!$A$6:$CB$51,63,0)</f>
        <v>0</v>
      </c>
      <c r="AJ40" s="36">
        <f>VLOOKUP($A40,[26]HISTOAOUT25!$A$6:$BR$51,64,0)</f>
        <v>0</v>
      </c>
      <c r="AK40" s="36">
        <f>VLOOKUP($A40,[26]HISTOAOUT25!$A$6:$BR$51,65,0)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VLOOKUP($A41,[26]HISTOAOUT25!$A$6:$BA$51,48,0)</f>
        <v>0</v>
      </c>
      <c r="F41" s="36">
        <f>VLOOKUP(A41,MVTJUIL25!A41:AM76,6,0)+MVTJUIL25!H41-E41+L41</f>
        <v>1015547.419081528</v>
      </c>
      <c r="G41" s="5">
        <f>IF(MVTAOUT25!F41&gt;800000,(MVTJUIL25!I41-E41+L41),0)</f>
        <v>1015547.419081528</v>
      </c>
      <c r="H41" s="36">
        <f>VLOOKUP(A41,[27]MVTAOUT25!$A$6:$AM$42,8,0)</f>
        <v>798.30554288362737</v>
      </c>
      <c r="I41" s="6">
        <f t="shared" si="1"/>
        <v>1016345.7246244116</v>
      </c>
      <c r="J41" s="36">
        <f>VLOOKUP($A41,[26]HISTOAOUT25!$A$6:$AQ$51,22,0)</f>
        <v>0</v>
      </c>
      <c r="K41" s="36">
        <f>VLOOKUP($A41,[26]HISTOAOUT25!$A$6:$AU$51,45,0)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VLOOKUP($A41,[26]HISTOAOUT25!$A$6:$AU$51,8,0)</f>
        <v>3000</v>
      </c>
      <c r="Q41" s="36">
        <f>VLOOKUP($A41,[26]HISTOAOUT25!$A$6:$AU$51,23,0)</f>
        <v>0</v>
      </c>
      <c r="R41" s="36">
        <f>VLOOKUP($A41,[26]HISTOAOUT25!$A$6:$AU$51,46,0)</f>
        <v>0</v>
      </c>
      <c r="S41" s="36">
        <f>VLOOKUP($A41,[26]HISTOAOUT25!$A$6:$AU$51,26,0)</f>
        <v>0</v>
      </c>
      <c r="T41" s="36">
        <f>VLOOKUP($A41,[26]HISTOAOUT25!$A$6:$BG$51,58,0)</f>
        <v>0</v>
      </c>
      <c r="U41" s="36">
        <f>VLOOKUP($A41,[26]HISTOAOUT25!$A$6:$AU$51,28,0)</f>
        <v>0</v>
      </c>
      <c r="V41" s="36">
        <f>VLOOKUP($A41,[26]HISTOAOUT25!$A$6:$AU$51,19,0)</f>
        <v>0</v>
      </c>
      <c r="W41" s="36">
        <f>VLOOKUP($A41,[26]HISTOAOUT25!$A$6:$AU$51,20,0)</f>
        <v>0</v>
      </c>
      <c r="X41" s="36">
        <f>VLOOKUP($A41,[26]HISTOAOUT25!$A$6:$AU$51,27,0)</f>
        <v>0</v>
      </c>
      <c r="Y41" s="36">
        <f>VLOOKUP($A41,[26]HISTOAOUT25!$A$6:$BM$51,33,0)</f>
        <v>0</v>
      </c>
      <c r="Z41" s="36">
        <f>VLOOKUP($A41,[26]HISTOAOUT25!$A$6:$BM$51,64,0)</f>
        <v>0</v>
      </c>
      <c r="AA41" s="36"/>
      <c r="AB41" s="36">
        <f>VLOOKUP($A41,[26]HISTOAOUT25!$A$6:$AU$51,44,0)</f>
        <v>0</v>
      </c>
      <c r="AC41" s="36">
        <f>VLOOKUP($A41,[26]HISTOAOUT25!$A$6:$AU$51,43,0)</f>
        <v>0</v>
      </c>
      <c r="AD41" s="36">
        <f>VLOOKUP($A41,[26]HISTOAOUT25!$A$6:$BR$51,47,0)</f>
        <v>0</v>
      </c>
      <c r="AE41" s="36">
        <f>VLOOKUP(A41,[26]HISTOAOUT25!$A$6:$BR$51,54,0)</f>
        <v>0</v>
      </c>
      <c r="AF41" s="36">
        <f>VLOOKUP($A41,[26]HISTOAOUT25!$A$6:$BR$51,60,0)</f>
        <v>0</v>
      </c>
      <c r="AG41" s="36">
        <f>VLOOKUP($A41,[26]HISTOAOUT25!$A$6:$CB$51,61,0)</f>
        <v>0</v>
      </c>
      <c r="AH41" s="36">
        <f>VLOOKUP($A41,[26]HISTOAOUT25!$A$6:$CB$51,62,0)</f>
        <v>0</v>
      </c>
      <c r="AI41" s="36">
        <f>VLOOKUP($A41,[26]HISTOAOUT25!$A$6:$CB$51,63,0)</f>
        <v>0</v>
      </c>
      <c r="AJ41" s="36">
        <f>VLOOKUP($A41,[26]HISTOAOUT25!$A$6:$BR$51,64,0)</f>
        <v>0</v>
      </c>
      <c r="AK41" s="36">
        <f>VLOOKUP($A41,[26]HISTOAOUT25!$A$6:$BR$51,65,0)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VLOOKUP($A42,[26]HISTOAOUT25!$A$6:$BA$51,48,0)</f>
        <v>0</v>
      </c>
      <c r="F42" s="36">
        <f>VLOOKUP(A42,MVTJUIL25!A42:AM77,6,0)+MVTJUIL25!H42-E42+L42</f>
        <v>2309891.1135266144</v>
      </c>
      <c r="G42" s="5">
        <f>IF(MVTAOUT25!F42&gt;800000,(MVTJUIL25!I42-E42+L42),0)</f>
        <v>2309891.1135266144</v>
      </c>
      <c r="H42" s="36">
        <f>VLOOKUP(A42,[27]MVTAOUT25!$A$6:$AM$42,8,0)</f>
        <v>1815.768367619567</v>
      </c>
      <c r="I42" s="6">
        <f t="shared" si="1"/>
        <v>2311706.8818942341</v>
      </c>
      <c r="J42" s="36">
        <f>VLOOKUP($A42,[26]HISTOAOUT25!$A$6:$AQ$51,22,0)</f>
        <v>0</v>
      </c>
      <c r="K42" s="36">
        <f>VLOOKUP($A42,[26]HISTOAOUT25!$A$6:$AU$51,45,0)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VLOOKUP($A42,[26]HISTOAOUT25!$A$6:$AU$51,8,0)</f>
        <v>0</v>
      </c>
      <c r="Q42" s="36">
        <f>VLOOKUP($A42,[26]HISTOAOUT25!$A$6:$AU$51,23,0)</f>
        <v>0</v>
      </c>
      <c r="R42" s="36">
        <f>VLOOKUP($A42,[26]HISTOAOUT25!$A$6:$AU$51,46,0)</f>
        <v>0</v>
      </c>
      <c r="S42" s="36">
        <f>VLOOKUP($A42,[26]HISTOAOUT25!$A$6:$AU$51,26,0)</f>
        <v>0</v>
      </c>
      <c r="T42" s="36">
        <f>VLOOKUP($A42,[26]HISTOAOUT25!$A$6:$BG$51,58,0)</f>
        <v>0</v>
      </c>
      <c r="U42" s="36">
        <f>VLOOKUP($A42,[26]HISTOAOUT25!$A$6:$AU$51,28,0)</f>
        <v>0</v>
      </c>
      <c r="V42" s="36">
        <f>VLOOKUP($A42,[26]HISTOAOUT25!$A$6:$AU$51,19,0)</f>
        <v>0</v>
      </c>
      <c r="W42" s="36">
        <f>VLOOKUP($A42,[26]HISTOAOUT25!$A$6:$AU$51,20,0)</f>
        <v>0</v>
      </c>
      <c r="X42" s="36">
        <f>VLOOKUP($A42,[26]HISTOAOUT25!$A$6:$AU$51,27,0)</f>
        <v>0</v>
      </c>
      <c r="Y42" s="36">
        <f>VLOOKUP($A42,[26]HISTOAOUT25!$A$6:$BM$51,33,0)</f>
        <v>0</v>
      </c>
      <c r="Z42" s="36">
        <f>VLOOKUP($A42,[26]HISTOAOUT25!$A$6:$BM$51,64,0)</f>
        <v>0</v>
      </c>
      <c r="AA42" s="36"/>
      <c r="AB42" s="36">
        <f>VLOOKUP($A42,[26]HISTOAOUT25!$A$6:$AU$51,44,0)</f>
        <v>0</v>
      </c>
      <c r="AC42" s="36">
        <f>VLOOKUP($A42,[26]HISTOAOUT25!$A$6:$AU$51,43,0)</f>
        <v>0</v>
      </c>
      <c r="AD42" s="36">
        <f>VLOOKUP($A42,[26]HISTOAOUT25!$A$6:$BR$51,47,0)</f>
        <v>0</v>
      </c>
      <c r="AE42" s="36">
        <f>VLOOKUP(A42,[26]HISTOAOUT25!$A$6:$BR$51,54,0)</f>
        <v>0</v>
      </c>
      <c r="AF42" s="36">
        <f>VLOOKUP($A42,[26]HISTOAOUT25!$A$6:$BR$51,60,0)</f>
        <v>0</v>
      </c>
      <c r="AG42" s="36">
        <f>VLOOKUP($A42,[26]HISTOAOUT25!$A$6:$CB$51,61,0)</f>
        <v>0</v>
      </c>
      <c r="AH42" s="36">
        <f>VLOOKUP($A42,[26]HISTOAOUT25!$A$6:$CB$51,62,0)</f>
        <v>0</v>
      </c>
      <c r="AI42" s="36">
        <f>VLOOKUP($A42,[26]HISTOAOUT25!$A$6:$CB$51,63,0)</f>
        <v>0</v>
      </c>
      <c r="AJ42" s="36">
        <f>VLOOKUP($A42,[26]HISTOAOUT25!$A$6:$BR$51,64,0)</f>
        <v>0</v>
      </c>
      <c r="AK42" s="36">
        <f>VLOOKUP($A42,[26]HISTOAOUT25!$A$6:$BR$51,65,0)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39631612</v>
      </c>
      <c r="G44" s="9">
        <f t="shared" si="9"/>
        <v>38163862</v>
      </c>
      <c r="H44" s="36">
        <f t="shared" si="9"/>
        <v>29999.999999999996</v>
      </c>
      <c r="I44" s="9">
        <f t="shared" si="9"/>
        <v>39661611.999999985</v>
      </c>
      <c r="J44" s="9">
        <f t="shared" si="9"/>
        <v>0</v>
      </c>
      <c r="K44" s="9">
        <f t="shared" si="9"/>
        <v>1204000</v>
      </c>
      <c r="L44" s="9">
        <f t="shared" si="9"/>
        <v>1044000</v>
      </c>
      <c r="M44" s="9">
        <f t="shared" si="9"/>
        <v>35000</v>
      </c>
      <c r="N44" s="9">
        <f t="shared" si="9"/>
        <v>35000</v>
      </c>
      <c r="O44" s="9">
        <f t="shared" si="9"/>
        <v>140000</v>
      </c>
      <c r="P44" s="9">
        <f t="shared" si="9"/>
        <v>6000</v>
      </c>
      <c r="Q44" s="9">
        <f t="shared" si="9"/>
        <v>0</v>
      </c>
      <c r="R44" s="9">
        <f t="shared" si="9"/>
        <v>0</v>
      </c>
      <c r="S44" s="9">
        <f t="shared" si="9"/>
        <v>1000000</v>
      </c>
      <c r="T44" s="9">
        <f t="shared" si="9"/>
        <v>30000</v>
      </c>
      <c r="U44" s="9">
        <f t="shared" si="9"/>
        <v>0</v>
      </c>
      <c r="V44" s="9">
        <f t="shared" si="9"/>
        <v>1100000</v>
      </c>
      <c r="W44" s="9"/>
      <c r="X44" s="9">
        <f t="shared" si="9"/>
        <v>0</v>
      </c>
      <c r="Y44" s="9">
        <f t="shared" si="9"/>
        <v>0</v>
      </c>
      <c r="Z44" s="9">
        <f t="shared" si="9"/>
        <v>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300000</v>
      </c>
      <c r="AF44" s="9">
        <f t="shared" si="9"/>
        <v>6000</v>
      </c>
      <c r="AG44" s="9">
        <f t="shared" si="9"/>
        <v>0</v>
      </c>
      <c r="AH44" s="9">
        <f t="shared" si="9"/>
        <v>660000</v>
      </c>
      <c r="AI44" s="9">
        <f t="shared" si="9"/>
        <v>100000</v>
      </c>
      <c r="AJ44" s="9">
        <f t="shared" si="9"/>
        <v>0</v>
      </c>
      <c r="AK44" s="9">
        <f t="shared" si="9"/>
        <v>0</v>
      </c>
      <c r="AL44" s="9">
        <f t="shared" si="9"/>
        <v>0</v>
      </c>
    </row>
    <row r="46" spans="1:38" x14ac:dyDescent="0.35">
      <c r="H46">
        <v>30000.000000000007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16C27-4011-410C-A933-CDE4AB865A87}">
  <dimension ref="A1:AM47"/>
  <sheetViews>
    <sheetView workbookViewId="0">
      <pane xSplit="2" ySplit="5" topLeftCell="H36" activePane="bottomRight" state="frozen"/>
      <selection activeCell="F8" sqref="F8"/>
      <selection pane="topRight" activeCell="F8" sqref="F8"/>
      <selection pane="bottomLeft" activeCell="F8" sqref="F8"/>
      <selection pane="bottomRight" activeCell="A39" sqref="A39:XFD3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2">
        <v>45917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VLOOKUP(A6,MVTAOUT25!A6:AM42,6,0)+MVTAOUT25!H6-E6+L6</f>
        <v>1102943.3987719836</v>
      </c>
      <c r="G6" s="5">
        <f>IF(MVTSEPT25!F6&gt;800000,(MVTAVRIL25!I6-E6+L6),0)</f>
        <v>1097287.7862270027</v>
      </c>
      <c r="H6" s="36">
        <f>VLOOKUP(A6,[27]MVTSEPT25!$A$6:$AM$42,8,0)</f>
        <v>0</v>
      </c>
      <c r="I6" s="6">
        <f>F6+H6</f>
        <v>1102943.3987719836</v>
      </c>
      <c r="J6" s="36">
        <f>VLOOKUP($A6,[26]HISTOSEPT25!$A$6:$AQ$51,22,0)</f>
        <v>0</v>
      </c>
      <c r="K6" s="36">
        <f>VLOOKUP($A6,[26]HISTOSEPT25!$A$6:$AU$51,45,0)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VLOOKUP($A6,[26]HISTOSEPT25!$A$6:$AU$51,8,0)</f>
        <v>0</v>
      </c>
      <c r="Q6" s="36">
        <f>VLOOKUP($A6,[26]HISTOSEPT25!$A$6:$AU$51,23,0)</f>
        <v>0</v>
      </c>
      <c r="R6" s="36">
        <f>VLOOKUP($A6,[26]HISTOSEPT25!$A$6:$AU$51,46,0)</f>
        <v>0</v>
      </c>
      <c r="S6" s="36">
        <f>VLOOKUP($A6,[26]HISTOSEPT25!$A$6:$AU$51,26,0)</f>
        <v>0</v>
      </c>
      <c r="T6" s="36">
        <f>VLOOKUP($A6,[26]HISTOSEPT25!$A$6:$BG$51,58,0)</f>
        <v>0</v>
      </c>
      <c r="U6" s="36">
        <f>VLOOKUP($A6,[26]HISTOSEPT25!$A$6:$AU$51,28,0)</f>
        <v>0</v>
      </c>
      <c r="V6" s="36">
        <f>VLOOKUP($A6,[26]HISTOSEPT25!$A$6:$AU$51,19,0)</f>
        <v>0</v>
      </c>
      <c r="W6" s="36">
        <f>VLOOKUP($A6,[26]HISTOSEPT25!$A$6:$AU$51,20,0)</f>
        <v>0</v>
      </c>
      <c r="X6" s="36">
        <f>VLOOKUP($A6,[26]HISTOSEPT25!$A$6:$AU$51,27,0)</f>
        <v>0</v>
      </c>
      <c r="Y6" s="36">
        <f>VLOOKUP($A6,[26]HISTOSEPT25!$A$6:$BM$51,33,0)</f>
        <v>0</v>
      </c>
      <c r="Z6" s="36">
        <f>VLOOKUP($A6,[26]HISTOSEPT25!$A$6:$BM$51,64,0)</f>
        <v>0</v>
      </c>
      <c r="AA6" s="36"/>
      <c r="AB6" s="36">
        <f>VLOOKUP($A6,[26]HISTOSEPT25!$A$6:$AU$51,44,0)</f>
        <v>0</v>
      </c>
      <c r="AC6" s="36">
        <f>VLOOKUP($A6,[26]HISTOSEPT25!$A$6:$AU$51,43,0)</f>
        <v>0</v>
      </c>
      <c r="AD6" s="36">
        <f>VLOOKUP($A6,[26]HISTOSEPT25!$A$6:$BR$51,47,0)</f>
        <v>0</v>
      </c>
      <c r="AE6" s="36">
        <f>VLOOKUP(A6,[26]HISTOSEPT25!$A$6:$BR$51,54,0)</f>
        <v>0</v>
      </c>
      <c r="AF6" s="36">
        <f>VLOOKUP($A6,[26]HISTOSEPT25!$A$6:$BR$51,60,0)</f>
        <v>12000</v>
      </c>
      <c r="AG6" s="36">
        <f>VLOOKUP($A6,[26]HISTOSEPT25!$A$6:$CB$51,61,0)</f>
        <v>0</v>
      </c>
      <c r="AH6" s="36">
        <f>VLOOKUP($A6,[26]HISTOSEPT25!$A$6:$CB$51,62,0)</f>
        <v>0</v>
      </c>
      <c r="AI6" s="36">
        <f>VLOOKUP($A6,[26]HISTOSEPT25!$A$6:$CB$51,63,0)</f>
        <v>0</v>
      </c>
      <c r="AJ6" s="36">
        <f>VLOOKUP($A6,[26]HISTOSEPT25!$A$6:$BR$51,64,0)</f>
        <v>0</v>
      </c>
      <c r="AK6" s="36">
        <f>VLOOKUP($A6,[26]HISTOSEPT25!$A$6:$BR$51,65,0)</f>
        <v>0</v>
      </c>
      <c r="AL6" s="36">
        <f>VLOOKUP($A6,[26]HISTOSEPT25!$A$6:$BR$40,66,0)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VLOOKUP($A7,[26]HISTOSEPT25!$A$6:$BA$51,48,0)</f>
        <v>0</v>
      </c>
      <c r="F7" s="36">
        <f>VLOOKUP(A7,MVTAOUT25!A7:AM43,6,0)+MVTAOUT25!H7-E7+L7</f>
        <v>1050103.9935355973</v>
      </c>
      <c r="G7" s="5">
        <f>IF(MVTSEPT25!F7&gt;800000,(MVTAVRIL25!I7-E7+L7),0)</f>
        <v>954953.91223464545</v>
      </c>
      <c r="H7" s="36">
        <f>VLOOKUP(A7,[27]MVTSEPT25!$A$6:$AM$42,8,0)</f>
        <v>0</v>
      </c>
      <c r="I7" s="6">
        <f t="shared" ref="I7:I42" si="1">F7+H7</f>
        <v>1050103.9935355973</v>
      </c>
      <c r="J7" s="36">
        <f>VLOOKUP($A7,[26]HISTOSEPT25!$A$6:$AQ$51,22,0)</f>
        <v>0</v>
      </c>
      <c r="K7" s="36">
        <f>VLOOKUP($A7,[26]HISTOSEPT25!$A$6:$AU$51,45,0)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VLOOKUP($A7,[26]HISTOSEPT25!$A$6:$AU$51,8,0)</f>
        <v>0</v>
      </c>
      <c r="Q7" s="36">
        <f>VLOOKUP($A7,[26]HISTOSEPT25!$A$6:$AU$51,23,0)</f>
        <v>0</v>
      </c>
      <c r="R7" s="36">
        <f>VLOOKUP($A7,[26]HISTOSEPT25!$A$6:$AU$51,46,0)</f>
        <v>0</v>
      </c>
      <c r="S7" s="36">
        <f>VLOOKUP($A7,[26]HISTOSEPT25!$A$6:$AU$51,26,0)</f>
        <v>0</v>
      </c>
      <c r="T7" s="36">
        <f>VLOOKUP($A7,[26]HISTOSEPT25!$A$6:$BG$51,58,0)</f>
        <v>0</v>
      </c>
      <c r="U7" s="36">
        <f>VLOOKUP($A7,[26]HISTOSEPT25!$A$6:$AU$51,28,0)</f>
        <v>0</v>
      </c>
      <c r="V7" s="36">
        <f>VLOOKUP($A7,[26]HISTOSEPT25!$A$6:$AU$51,19,0)</f>
        <v>0</v>
      </c>
      <c r="W7" s="36">
        <f>VLOOKUP($A7,[26]HISTOSEPT25!$A$6:$AU$51,20,0)</f>
        <v>0</v>
      </c>
      <c r="X7" s="36">
        <f>VLOOKUP($A7,[26]HISTOSEPT25!$A$6:$AU$51,27,0)</f>
        <v>0</v>
      </c>
      <c r="Y7" s="36">
        <f>VLOOKUP($A7,[26]HISTOSEPT25!$A$6:$BM$51,33,0)</f>
        <v>0</v>
      </c>
      <c r="Z7" s="36">
        <f>VLOOKUP($A7,[26]HISTOSEPT25!$A$6:$BM$51,64,0)</f>
        <v>0</v>
      </c>
      <c r="AA7" s="36"/>
      <c r="AB7" s="36">
        <f>VLOOKUP($A7,[26]HISTOSEPT25!$A$6:$AU$51,44,0)</f>
        <v>0</v>
      </c>
      <c r="AC7" s="36">
        <f>VLOOKUP($A7,[26]HISTOSEPT25!$A$6:$AU$51,43,0)</f>
        <v>0</v>
      </c>
      <c r="AD7" s="36">
        <f>VLOOKUP($A7,[26]HISTOSEPT25!$A$6:$BR$51,47,0)</f>
        <v>0</v>
      </c>
      <c r="AE7" s="36">
        <f>VLOOKUP(A7,[26]HISTOSEPT25!$A$6:$BR$51,54,0)</f>
        <v>0</v>
      </c>
      <c r="AF7" s="36">
        <f>VLOOKUP($A7,[26]HISTOSEPT25!$A$6:$BR$51,60,0)</f>
        <v>0</v>
      </c>
      <c r="AG7" s="36">
        <f>VLOOKUP($A7,[26]HISTOSEPT25!$A$6:$CB$51,61,0)</f>
        <v>0</v>
      </c>
      <c r="AH7" s="36">
        <f>VLOOKUP($A7,[26]HISTOSEPT25!$A$6:$CB$51,62,0)</f>
        <v>0</v>
      </c>
      <c r="AI7" s="36">
        <f>VLOOKUP($A7,[26]HISTOSEPT25!$A$6:$CB$51,63,0)</f>
        <v>0</v>
      </c>
      <c r="AJ7" s="36">
        <f>VLOOKUP($A7,[26]HISTOSEPT25!$A$6:$BR$51,64,0)</f>
        <v>0</v>
      </c>
      <c r="AK7" s="36">
        <f>VLOOKUP($A7,[26]HISTOSEPT25!$A$6:$BR$51,65,0)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VLOOKUP($A8,[26]HISTOSEPT25!$A$6:$BA$51,48,0)</f>
        <v>0</v>
      </c>
      <c r="F8" s="36">
        <f>VLOOKUP(A8,MVTAOUT25!A8:AM44,6,0)+MVTAOUT25!H8-E8+L8</f>
        <v>1178103.7489033197</v>
      </c>
      <c r="G8" s="5">
        <f>IF(MVTSEPT25!F8&gt;800000,(MVTAVRIL25!I8-E8+L8),0)</f>
        <v>1096297.3174913663</v>
      </c>
      <c r="H8" s="36">
        <f>VLOOKUP(A8,[27]MVTSEPT25!$A$6:$AM$42,8,0)</f>
        <v>0</v>
      </c>
      <c r="I8" s="6">
        <f t="shared" si="1"/>
        <v>1178103.7489033197</v>
      </c>
      <c r="J8" s="36">
        <f>VLOOKUP($A8,[26]HISTOSEPT25!$A$6:$AQ$51,22,0)</f>
        <v>0</v>
      </c>
      <c r="K8" s="36">
        <f>VLOOKUP($A8,[26]HISTOSEPT25!$A$6:$AU$51,45,0)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VLOOKUP($A8,[26]HISTOSEPT25!$A$6:$AU$51,8,0)</f>
        <v>0</v>
      </c>
      <c r="Q8" s="36">
        <f>VLOOKUP($A8,[26]HISTOSEPT25!$A$6:$AU$51,23,0)</f>
        <v>0</v>
      </c>
      <c r="R8" s="36">
        <f>VLOOKUP($A8,[26]HISTOSEPT25!$A$6:$AU$51,46,0)</f>
        <v>0</v>
      </c>
      <c r="S8" s="36">
        <f>VLOOKUP($A8,[26]HISTOSEPT25!$A$6:$AU$51,26,0)</f>
        <v>0</v>
      </c>
      <c r="T8" s="36">
        <f>VLOOKUP($A8,[26]HISTOSEPT25!$A$6:$BG$51,58,0)</f>
        <v>0</v>
      </c>
      <c r="U8" s="36">
        <f>VLOOKUP($A8,[26]HISTOSEPT25!$A$6:$AU$51,28,0)</f>
        <v>0</v>
      </c>
      <c r="V8" s="36">
        <f>VLOOKUP($A8,[26]HISTOSEPT25!$A$6:$AU$51,19,0)</f>
        <v>0</v>
      </c>
      <c r="W8" s="36">
        <f>VLOOKUP($A8,[26]HISTOSEPT25!$A$6:$AU$51,20,0)</f>
        <v>0</v>
      </c>
      <c r="X8" s="36">
        <f>VLOOKUP($A8,[26]HISTOSEPT25!$A$6:$AU$51,27,0)</f>
        <v>0</v>
      </c>
      <c r="Y8" s="36">
        <f>VLOOKUP($A8,[26]HISTOSEPT25!$A$6:$BM$51,33,0)</f>
        <v>0</v>
      </c>
      <c r="Z8" s="36">
        <f>VLOOKUP($A8,[26]HISTOSEPT25!$A$6:$BM$51,64,0)</f>
        <v>0</v>
      </c>
      <c r="AA8" s="36"/>
      <c r="AB8" s="36">
        <f>VLOOKUP($A8,[26]HISTOSEPT25!$A$6:$AU$51,44,0)</f>
        <v>0</v>
      </c>
      <c r="AC8" s="36">
        <f>VLOOKUP($A8,[26]HISTOSEPT25!$A$6:$AU$51,43,0)</f>
        <v>0</v>
      </c>
      <c r="AD8" s="36">
        <f>VLOOKUP($A8,[26]HISTOSEPT25!$A$6:$BR$51,47,0)</f>
        <v>0</v>
      </c>
      <c r="AE8" s="36">
        <f>VLOOKUP(A8,[26]HISTOSEPT25!$A$6:$BR$51,54,0)</f>
        <v>0</v>
      </c>
      <c r="AF8" s="36">
        <f>VLOOKUP($A8,[26]HISTOSEPT25!$A$6:$BR$51,60,0)</f>
        <v>0</v>
      </c>
      <c r="AG8" s="36">
        <f>VLOOKUP($A8,[26]HISTOSEPT25!$A$6:$CB$51,61,0)</f>
        <v>0</v>
      </c>
      <c r="AH8" s="36">
        <f>VLOOKUP($A8,[26]HISTOSEPT25!$A$6:$CB$51,62,0)</f>
        <v>0</v>
      </c>
      <c r="AI8" s="36">
        <f>VLOOKUP($A8,[26]HISTOSEPT25!$A$6:$CB$51,63,0)</f>
        <v>0</v>
      </c>
      <c r="AJ8" s="36">
        <f>VLOOKUP($A8,[26]HISTOSEPT25!$A$6:$BR$51,64,0)</f>
        <v>0</v>
      </c>
      <c r="AK8" s="36">
        <f>VLOOKUP($A8,[26]HISTOSEPT25!$A$6:$BR$51,65,0)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VLOOKUP($A9,[26]HISTOSEPT25!$A$6:$BA$51,48,0)</f>
        <v>0</v>
      </c>
      <c r="F9" s="36">
        <f>VLOOKUP(A9,MVTAOUT25!A9:AM45,6,0)+MVTAOUT25!H9-E9+L9</f>
        <v>1042247.1115775753</v>
      </c>
      <c r="G9" s="5">
        <f>IF(MVTSEPT25!F9&gt;800000,(MVTAVRIL25!I9-E9+L9),0)</f>
        <v>961137.3183641315</v>
      </c>
      <c r="H9" s="36">
        <f>VLOOKUP(A9,[27]MVTSEPT25!$A$6:$AM$42,8,0)</f>
        <v>0</v>
      </c>
      <c r="I9" s="6">
        <f t="shared" si="1"/>
        <v>1042247.1115775753</v>
      </c>
      <c r="J9" s="36">
        <f>VLOOKUP($A9,[26]HISTOSEPT25!$A$6:$AQ$51,22,0)</f>
        <v>0</v>
      </c>
      <c r="K9" s="36">
        <f>VLOOKUP($A9,[26]HISTOSEPT25!$A$6:$AU$51,45,0)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VLOOKUP($A9,[26]HISTOSEPT25!$A$6:$AU$51,8,0)</f>
        <v>0</v>
      </c>
      <c r="Q9" s="36">
        <f>VLOOKUP($A9,[26]HISTOSEPT25!$A$6:$AU$51,23,0)</f>
        <v>0</v>
      </c>
      <c r="R9" s="36">
        <f>VLOOKUP($A9,[26]HISTOSEPT25!$A$6:$AU$51,46,0)</f>
        <v>0</v>
      </c>
      <c r="S9" s="36">
        <f>VLOOKUP($A9,[26]HISTOSEPT25!$A$6:$AU$51,26,0)</f>
        <v>0</v>
      </c>
      <c r="T9" s="36">
        <f>VLOOKUP($A9,[26]HISTOSEPT25!$A$6:$BG$51,58,0)</f>
        <v>0</v>
      </c>
      <c r="U9" s="36">
        <f>VLOOKUP($A9,[26]HISTOSEPT25!$A$6:$AU$51,28,0)</f>
        <v>0</v>
      </c>
      <c r="V9" s="36">
        <f>VLOOKUP($A9,[26]HISTOSEPT25!$A$6:$AU$51,19,0)</f>
        <v>0</v>
      </c>
      <c r="W9" s="36">
        <f>VLOOKUP($A9,[26]HISTOSEPT25!$A$6:$AU$51,20,0)</f>
        <v>0</v>
      </c>
      <c r="X9" s="36">
        <f>VLOOKUP($A9,[26]HISTOSEPT25!$A$6:$AU$51,27,0)</f>
        <v>0</v>
      </c>
      <c r="Y9" s="36">
        <f>VLOOKUP($A9,[26]HISTOSEPT25!$A$6:$BM$51,33,0)</f>
        <v>0</v>
      </c>
      <c r="Z9" s="36">
        <f>VLOOKUP($A9,[26]HISTOSEPT25!$A$6:$BM$51,64,0)</f>
        <v>0</v>
      </c>
      <c r="AA9" s="36"/>
      <c r="AB9" s="36">
        <f>VLOOKUP($A9,[26]HISTOSEPT25!$A$6:$AU$51,44,0)</f>
        <v>0</v>
      </c>
      <c r="AC9" s="36">
        <f>VLOOKUP($A9,[26]HISTOSEPT25!$A$6:$AU$51,43,0)</f>
        <v>0</v>
      </c>
      <c r="AD9" s="36">
        <f>VLOOKUP($A9,[26]HISTOSEPT25!$A$6:$BR$51,47,0)</f>
        <v>0</v>
      </c>
      <c r="AE9" s="36">
        <f>VLOOKUP(A9,[26]HISTOSEPT25!$A$6:$BR$51,54,0)</f>
        <v>0</v>
      </c>
      <c r="AF9" s="36">
        <f>VLOOKUP($A9,[26]HISTOSEPT25!$A$6:$BR$51,60,0)</f>
        <v>0</v>
      </c>
      <c r="AG9" s="36">
        <f>VLOOKUP($A9,[26]HISTOSEPT25!$A$6:$CB$51,61,0)</f>
        <v>0</v>
      </c>
      <c r="AH9" s="36">
        <f>VLOOKUP($A9,[26]HISTOSEPT25!$A$6:$CB$51,62,0)</f>
        <v>0</v>
      </c>
      <c r="AI9" s="36">
        <f>VLOOKUP($A9,[26]HISTOSEPT25!$A$6:$CB$51,63,0)</f>
        <v>0</v>
      </c>
      <c r="AJ9" s="36">
        <f>VLOOKUP($A9,[26]HISTOSEPT25!$A$6:$BR$51,64,0)</f>
        <v>0</v>
      </c>
      <c r="AK9" s="36">
        <f>VLOOKUP($A9,[26]HISTOSEPT25!$A$6:$BR$51,65,0)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VLOOKUP($A10,[26]HISTOSEPT25!$A$6:$BA$51,48,0)</f>
        <v>0</v>
      </c>
      <c r="F10" s="36">
        <f>VLOOKUP(A10,MVTAOUT25!A10:AM46,6,0)+MVTAOUT25!H10-E10+L10</f>
        <v>1050591.5224810471</v>
      </c>
      <c r="G10" s="5">
        <f>IF(MVTSEPT25!F10&gt;800000,(MVTAVRIL25!I10-E10+L10),0)</f>
        <v>968425.7308667925</v>
      </c>
      <c r="H10" s="36">
        <f>VLOOKUP(A10,[27]MVTSEPT25!$A$6:$AM$42,8,0)</f>
        <v>0</v>
      </c>
      <c r="I10" s="6">
        <f t="shared" si="1"/>
        <v>1050591.5224810471</v>
      </c>
      <c r="J10" s="36">
        <f>VLOOKUP($A10,[26]HISTOSEPT25!$A$6:$AQ$51,22,0)</f>
        <v>0</v>
      </c>
      <c r="K10" s="36">
        <f>VLOOKUP($A10,[26]HISTOSEPT25!$A$6:$AU$51,45,0)</f>
        <v>22000</v>
      </c>
      <c r="L10" s="36">
        <f t="shared" si="2"/>
        <v>16000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VLOOKUP($A10,[26]HISTOSEPT25!$A$6:$AU$51,8,0)</f>
        <v>3000</v>
      </c>
      <c r="Q10" s="36">
        <f>VLOOKUP($A10,[26]HISTOSEPT25!$A$6:$AU$51,23,0)</f>
        <v>0</v>
      </c>
      <c r="R10" s="36">
        <f>VLOOKUP($A10,[26]HISTOSEPT25!$A$6:$AU$51,46,0)</f>
        <v>0</v>
      </c>
      <c r="S10" s="36">
        <f>VLOOKUP($A10,[26]HISTOSEPT25!$A$6:$AU$51,26,0)</f>
        <v>0</v>
      </c>
      <c r="T10" s="36">
        <f>VLOOKUP($A10,[26]HISTOSEPT25!$A$6:$BG$51,58,0)</f>
        <v>0</v>
      </c>
      <c r="U10" s="36">
        <f>VLOOKUP($A10,[26]HISTOSEPT25!$A$6:$AU$51,28,0)</f>
        <v>0</v>
      </c>
      <c r="V10" s="36">
        <f>VLOOKUP($A10,[26]HISTOSEPT25!$A$6:$AU$51,19,0)</f>
        <v>0</v>
      </c>
      <c r="W10" s="36">
        <f>VLOOKUP($A10,[26]HISTOSEPT25!$A$6:$AU$51,20,0)</f>
        <v>0</v>
      </c>
      <c r="X10" s="36">
        <f>VLOOKUP($A10,[26]HISTOSEPT25!$A$6:$AU$51,27,0)</f>
        <v>0</v>
      </c>
      <c r="Y10" s="36">
        <f>VLOOKUP($A10,[26]HISTOSEPT25!$A$6:$BM$51,33,0)</f>
        <v>0</v>
      </c>
      <c r="Z10" s="36">
        <f>VLOOKUP($A10,[26]HISTOSEPT25!$A$6:$BM$51,64,0)</f>
        <v>0</v>
      </c>
      <c r="AA10" s="36"/>
      <c r="AB10" s="36">
        <f>VLOOKUP($A10,[26]HISTOSEPT25!$A$6:$AU$51,44,0)</f>
        <v>0</v>
      </c>
      <c r="AC10" s="36">
        <f>VLOOKUP($A10,[26]HISTOSEPT25!$A$6:$AU$51,43,0)</f>
        <v>0</v>
      </c>
      <c r="AD10" s="36">
        <f>VLOOKUP($A10,[26]HISTOSEPT25!$A$6:$BR$51,47,0)</f>
        <v>0</v>
      </c>
      <c r="AE10" s="36">
        <f>VLOOKUP(A10,[26]HISTOSEPT25!$A$6:$BR$51,54,0)</f>
        <v>0</v>
      </c>
      <c r="AF10" s="36">
        <f>VLOOKUP($A10,[26]HISTOSEPT25!$A$6:$BR$51,60,0)</f>
        <v>0</v>
      </c>
      <c r="AG10" s="36">
        <f>VLOOKUP($A10,[26]HISTOSEPT25!$A$6:$CB$51,61,0)</f>
        <v>0</v>
      </c>
      <c r="AH10" s="36">
        <f>VLOOKUP($A10,[26]HISTOSEPT25!$A$6:$CB$51,62,0)</f>
        <v>0</v>
      </c>
      <c r="AI10" s="36">
        <f>VLOOKUP($A10,[26]HISTOSEPT25!$A$6:$CB$51,63,0)</f>
        <v>0</v>
      </c>
      <c r="AJ10" s="36">
        <f>VLOOKUP($A10,[26]HISTOSEPT25!$A$6:$BR$51,64,0)</f>
        <v>0</v>
      </c>
      <c r="AK10" s="36">
        <f>VLOOKUP($A10,[26]HISTOSEPT25!$A$6:$BR$51,65,0)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VLOOKUP($A11,[26]HISTOSEPT25!$A$6:$BA$51,48,0)</f>
        <v>0</v>
      </c>
      <c r="F11" s="36">
        <f>VLOOKUP(A11,MVTAOUT25!A11:AM47,6,0)+MVTAOUT25!H11-E11+L11</f>
        <v>1292167.8654416555</v>
      </c>
      <c r="G11" s="5">
        <f>IF(MVTSEPT25!F11&gt;800000,(MVTAVRIL25!I11-E11+L11),0)</f>
        <v>960862.96530022437</v>
      </c>
      <c r="H11" s="36">
        <f>VLOOKUP(A11,[27]MVTSEPT25!$A$6:$AM$42,8,0)</f>
        <v>0</v>
      </c>
      <c r="I11" s="6">
        <f t="shared" si="1"/>
        <v>1292167.8654416555</v>
      </c>
      <c r="J11" s="36">
        <f>VLOOKUP($A11,[26]HISTOSEPT25!$A$6:$AQ$51,22,0)</f>
        <v>0</v>
      </c>
      <c r="K11" s="36">
        <f>VLOOKUP($A11,[26]HISTOSEPT25!$A$6:$AU$51,45,0)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VLOOKUP($A11,[26]HISTOSEPT25!$A$6:$AU$51,8,0)</f>
        <v>0</v>
      </c>
      <c r="Q11" s="36">
        <f>VLOOKUP($A11,[26]HISTOSEPT25!$A$6:$AU$51,23,0)</f>
        <v>0</v>
      </c>
      <c r="R11" s="36">
        <f>VLOOKUP($A11,[26]HISTOSEPT25!$A$6:$AU$51,46,0)</f>
        <v>0</v>
      </c>
      <c r="S11" s="36">
        <f>VLOOKUP($A11,[26]HISTOSEPT25!$A$6:$AU$51,26,0)</f>
        <v>0</v>
      </c>
      <c r="T11" s="36">
        <f>VLOOKUP($A11,[26]HISTOSEPT25!$A$6:$BG$51,58,0)</f>
        <v>0</v>
      </c>
      <c r="U11" s="36">
        <f>VLOOKUP($A11,[26]HISTOSEPT25!$A$6:$AU$51,28,0)</f>
        <v>0</v>
      </c>
      <c r="V11" s="36">
        <f>VLOOKUP($A11,[26]HISTOSEPT25!$A$6:$AU$51,19,0)</f>
        <v>0</v>
      </c>
      <c r="W11" s="36">
        <f>VLOOKUP($A11,[26]HISTOSEPT25!$A$6:$AU$51,20,0)</f>
        <v>0</v>
      </c>
      <c r="X11" s="36">
        <f>VLOOKUP($A11,[26]HISTOSEPT25!$A$6:$AU$51,27,0)</f>
        <v>0</v>
      </c>
      <c r="Y11" s="36">
        <f>VLOOKUP($A11,[26]HISTOSEPT25!$A$6:$BM$51,33,0)</f>
        <v>0</v>
      </c>
      <c r="Z11" s="36">
        <f>VLOOKUP($A11,[26]HISTOSEPT25!$A$6:$BM$51,64,0)</f>
        <v>0</v>
      </c>
      <c r="AA11" s="36"/>
      <c r="AB11" s="36">
        <f>VLOOKUP($A11,[26]HISTOSEPT25!$A$6:$AU$51,44,0)</f>
        <v>0</v>
      </c>
      <c r="AC11" s="36">
        <f>VLOOKUP($A11,[26]HISTOSEPT25!$A$6:$AU$51,43,0)</f>
        <v>0</v>
      </c>
      <c r="AD11" s="36">
        <f>VLOOKUP($A11,[26]HISTOSEPT25!$A$6:$BR$51,47,0)</f>
        <v>0</v>
      </c>
      <c r="AE11" s="36">
        <f>VLOOKUP(A11,[26]HISTOSEPT25!$A$6:$BR$51,54,0)</f>
        <v>0</v>
      </c>
      <c r="AF11" s="36">
        <f>VLOOKUP($A11,[26]HISTOSEPT25!$A$6:$BR$51,60,0)</f>
        <v>0</v>
      </c>
      <c r="AG11" s="36">
        <f>VLOOKUP($A11,[26]HISTOSEPT25!$A$6:$CB$51,61,0)</f>
        <v>0</v>
      </c>
      <c r="AH11" s="36">
        <f>VLOOKUP($A11,[26]HISTOSEPT25!$A$6:$CB$51,62,0)</f>
        <v>0</v>
      </c>
      <c r="AI11" s="36">
        <f>VLOOKUP($A11,[26]HISTOSEPT25!$A$6:$CB$51,63,0)</f>
        <v>0</v>
      </c>
      <c r="AJ11" s="36">
        <f>VLOOKUP($A11,[26]HISTOSEPT25!$A$6:$BR$51,64,0)</f>
        <v>0</v>
      </c>
      <c r="AK11" s="36">
        <f>VLOOKUP($A11,[26]HISTOSEPT25!$A$6:$BR$51,65,0)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VLOOKUP($A12,[26]HISTOSEPT25!$A$6:$BA$51,48,0)</f>
        <v>0</v>
      </c>
      <c r="F12" s="36">
        <f>VLOOKUP(A12,MVTAOUT25!A12:AM48,6,0)+MVTAOUT25!H12-E12+L12</f>
        <v>1812284.8811997913</v>
      </c>
      <c r="G12" s="5">
        <f>IF(MVTSEPT25!F12&gt;800000,(MVTAVRIL25!I12-E12+L12),0)</f>
        <v>1680370.9161111314</v>
      </c>
      <c r="H12" s="36">
        <f>VLOOKUP(A12,[27]MVTSEPT25!$A$6:$AM$42,8,0)</f>
        <v>0</v>
      </c>
      <c r="I12" s="6">
        <f t="shared" si="1"/>
        <v>1812284.8811997913</v>
      </c>
      <c r="J12" s="36">
        <f>VLOOKUP($A12,[26]HISTOSEPT25!$A$6:$AQ$51,22,0)</f>
        <v>0</v>
      </c>
      <c r="K12" s="36">
        <f>VLOOKUP($A12,[26]HISTOSEPT25!$A$6:$AU$51,45,0)</f>
        <v>35000</v>
      </c>
      <c r="L12" s="36">
        <f t="shared" si="2"/>
        <v>29000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VLOOKUP($A12,[26]HISTOSEPT25!$A$6:$AU$51,8,0)</f>
        <v>0</v>
      </c>
      <c r="Q12" s="36">
        <f>VLOOKUP($A12,[26]HISTOSEPT25!$A$6:$AU$51,23,0)</f>
        <v>0</v>
      </c>
      <c r="R12" s="36">
        <f>VLOOKUP($A12,[26]HISTOSEPT25!$A$6:$AU$51,46,0)</f>
        <v>0</v>
      </c>
      <c r="S12" s="36">
        <f>VLOOKUP($A12,[26]HISTOSEPT25!$A$6:$AU$51,26,0)</f>
        <v>0</v>
      </c>
      <c r="T12" s="36">
        <f>VLOOKUP($A12,[26]HISTOSEPT25!$A$6:$BG$51,58,0)</f>
        <v>0</v>
      </c>
      <c r="U12" s="36">
        <f>VLOOKUP($A12,[26]HISTOSEPT25!$A$6:$AU$51,28,0)</f>
        <v>0</v>
      </c>
      <c r="V12" s="36">
        <f>VLOOKUP($A12,[26]HISTOSEPT25!$A$6:$AU$51,19,0)</f>
        <v>0</v>
      </c>
      <c r="W12" s="36">
        <f>VLOOKUP($A12,[26]HISTOSEPT25!$A$6:$AU$51,20,0)</f>
        <v>0</v>
      </c>
      <c r="X12" s="36">
        <f>VLOOKUP($A12,[26]HISTOSEPT25!$A$6:$AU$51,27,0)</f>
        <v>0</v>
      </c>
      <c r="Y12" s="36">
        <f>VLOOKUP($A12,[26]HISTOSEPT25!$A$6:$BM$51,33,0)</f>
        <v>0</v>
      </c>
      <c r="Z12" s="36">
        <f>VLOOKUP($A12,[26]HISTOSEPT25!$A$6:$BM$51,64,0)</f>
        <v>0</v>
      </c>
      <c r="AA12" s="36"/>
      <c r="AB12" s="36">
        <f>VLOOKUP($A12,[26]HISTOSEPT25!$A$6:$AU$51,44,0)</f>
        <v>0</v>
      </c>
      <c r="AC12" s="36">
        <f>VLOOKUP($A12,[26]HISTOSEPT25!$A$6:$AU$51,43,0)</f>
        <v>0</v>
      </c>
      <c r="AD12" s="36">
        <f>VLOOKUP($A12,[26]HISTOSEPT25!$A$6:$BR$51,47,0)</f>
        <v>0</v>
      </c>
      <c r="AE12" s="36">
        <f>VLOOKUP(A12,[26]HISTOSEPT25!$A$6:$BR$51,54,0)</f>
        <v>0</v>
      </c>
      <c r="AF12" s="36">
        <f>VLOOKUP($A12,[26]HISTOSEPT25!$A$6:$BR$51,60,0)</f>
        <v>0</v>
      </c>
      <c r="AG12" s="36">
        <f>VLOOKUP($A12,[26]HISTOSEPT25!$A$6:$CB$51,61,0)</f>
        <v>0</v>
      </c>
      <c r="AH12" s="36">
        <f>VLOOKUP($A12,[26]HISTOSEPT25!$A$6:$CB$51,62,0)</f>
        <v>0</v>
      </c>
      <c r="AI12" s="36">
        <f>VLOOKUP($A12,[26]HISTOSEPT25!$A$6:$CB$51,63,0)</f>
        <v>0</v>
      </c>
      <c r="AJ12" s="36">
        <f>VLOOKUP($A12,[26]HISTOSEPT25!$A$6:$BR$51,64,0)</f>
        <v>0</v>
      </c>
      <c r="AK12" s="36">
        <f>VLOOKUP($A12,[26]HISTOSEPT25!$A$6:$BR$51,65,0)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VLOOKUP($A13,[26]HISTOSEPT25!$A$6:$BA$51,48,0)</f>
        <v>0</v>
      </c>
      <c r="F13" s="36">
        <f>VLOOKUP(A13,MVTAOUT25!A13:AM49,6,0)+MVTAOUT25!H13-E13+L13</f>
        <v>1041947.4262334674</v>
      </c>
      <c r="G13" s="5">
        <f>IF(MVTSEPT25!F13&gt;800000,(MVTAVRIL25!I13-E13+L13),0)</f>
        <v>960839.16973006097</v>
      </c>
      <c r="H13" s="36">
        <f>VLOOKUP(A13,[27]MVTSEPT25!$A$6:$AM$42,8,0)</f>
        <v>0</v>
      </c>
      <c r="I13" s="6">
        <f t="shared" si="1"/>
        <v>1041947.4262334674</v>
      </c>
      <c r="J13" s="36">
        <f>VLOOKUP($A13,[26]HISTOSEPT25!$A$6:$AQ$51,22,0)</f>
        <v>0</v>
      </c>
      <c r="K13" s="36">
        <f>VLOOKUP($A13,[26]HISTOSEPT25!$A$6:$AU$51,45,0)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VLOOKUP($A13,[26]HISTOSEPT25!$A$6:$AU$51,8,0)</f>
        <v>0</v>
      </c>
      <c r="Q13" s="36">
        <f>VLOOKUP($A13,[26]HISTOSEPT25!$A$6:$AU$51,23,0)</f>
        <v>0</v>
      </c>
      <c r="R13" s="36">
        <f>VLOOKUP($A13,[26]HISTOSEPT25!$A$6:$AU$51,46,0)</f>
        <v>0</v>
      </c>
      <c r="S13" s="36">
        <f>VLOOKUP($A13,[26]HISTOSEPT25!$A$6:$AU$51,26,0)</f>
        <v>0</v>
      </c>
      <c r="T13" s="36">
        <f>VLOOKUP($A13,[26]HISTOSEPT25!$A$6:$BG$51,58,0)</f>
        <v>0</v>
      </c>
      <c r="U13" s="36">
        <f>VLOOKUP($A13,[26]HISTOSEPT25!$A$6:$AU$51,28,0)</f>
        <v>0</v>
      </c>
      <c r="V13" s="36">
        <f>VLOOKUP($A13,[26]HISTOSEPT25!$A$6:$AU$51,19,0)</f>
        <v>0</v>
      </c>
      <c r="W13" s="36">
        <f>VLOOKUP($A13,[26]HISTOSEPT25!$A$6:$AU$51,20,0)</f>
        <v>0</v>
      </c>
      <c r="X13" s="36">
        <f>VLOOKUP($A13,[26]HISTOSEPT25!$A$6:$AU$51,27,0)</f>
        <v>0</v>
      </c>
      <c r="Y13" s="36">
        <f>VLOOKUP($A13,[26]HISTOSEPT25!$A$6:$BM$51,33,0)</f>
        <v>0</v>
      </c>
      <c r="Z13" s="36">
        <f>VLOOKUP($A13,[26]HISTOSEPT25!$A$6:$BM$51,64,0)</f>
        <v>0</v>
      </c>
      <c r="AA13" s="36"/>
      <c r="AB13" s="36">
        <f>VLOOKUP($A13,[26]HISTOSEPT25!$A$6:$AU$51,44,0)</f>
        <v>0</v>
      </c>
      <c r="AC13" s="36">
        <f>VLOOKUP($A13,[26]HISTOSEPT25!$A$6:$AU$51,43,0)</f>
        <v>0</v>
      </c>
      <c r="AD13" s="36">
        <f>VLOOKUP($A13,[26]HISTOSEPT25!$A$6:$BR$51,47,0)</f>
        <v>0</v>
      </c>
      <c r="AE13" s="36">
        <f>VLOOKUP(A13,[26]HISTOSEPT25!$A$6:$BR$51,54,0)</f>
        <v>0</v>
      </c>
      <c r="AF13" s="36">
        <f>VLOOKUP($A13,[26]HISTOSEPT25!$A$6:$BR$51,60,0)</f>
        <v>0</v>
      </c>
      <c r="AG13" s="36">
        <f>VLOOKUP($A13,[26]HISTOSEPT25!$A$6:$CB$51,61,0)</f>
        <v>0</v>
      </c>
      <c r="AH13" s="36">
        <f>VLOOKUP($A13,[26]HISTOSEPT25!$A$6:$CB$51,62,0)</f>
        <v>0</v>
      </c>
      <c r="AI13" s="36">
        <f>VLOOKUP($A13,[26]HISTOSEPT25!$A$6:$CB$51,63,0)</f>
        <v>0</v>
      </c>
      <c r="AJ13" s="36">
        <f>VLOOKUP($A13,[26]HISTOSEPT25!$A$6:$BR$51,64,0)</f>
        <v>0</v>
      </c>
      <c r="AK13" s="36">
        <f>VLOOKUP($A13,[26]HISTOSEPT25!$A$6:$BR$51,65,0)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VLOOKUP($A14,[26]HISTOSEPT25!$A$6:$BA$51,48,0)</f>
        <v>0</v>
      </c>
      <c r="F14" s="36">
        <f>VLOOKUP(A14,MVTAOUT25!A14:AM50,6,0)+MVTAOUT25!H14-E14+L14</f>
        <v>1792266.8194641378</v>
      </c>
      <c r="G14" s="5">
        <f>IF(MVTSEPT25!F14&gt;800000,(MVTAVRIL25!I14-E14+L14),0)</f>
        <v>1707311.1164119579</v>
      </c>
      <c r="H14" s="36">
        <f>VLOOKUP(A14,[27]MVTSEPT25!$A$6:$AM$42,8,0)</f>
        <v>0</v>
      </c>
      <c r="I14" s="6">
        <f t="shared" si="1"/>
        <v>1792266.8194641378</v>
      </c>
      <c r="J14" s="36">
        <f>VLOOKUP($A14,[26]HISTOSEPT25!$A$6:$AQ$51,22,0)</f>
        <v>0</v>
      </c>
      <c r="K14" s="36">
        <f>VLOOKUP($A14,[26]HISTOSEPT25!$A$6:$AU$51,45,0)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VLOOKUP($A14,[26]HISTOSEPT25!$A$6:$AU$51,8,0)</f>
        <v>0</v>
      </c>
      <c r="Q14" s="36">
        <f>VLOOKUP($A14,[26]HISTOSEPT25!$A$6:$AU$51,23,0)</f>
        <v>0</v>
      </c>
      <c r="R14" s="36">
        <f>VLOOKUP($A14,[26]HISTOSEPT25!$A$6:$AU$51,46,0)</f>
        <v>0</v>
      </c>
      <c r="S14" s="36">
        <f>VLOOKUP($A14,[26]HISTOSEPT25!$A$6:$AU$51,26,0)</f>
        <v>0</v>
      </c>
      <c r="T14" s="36">
        <f>VLOOKUP($A14,[26]HISTOSEPT25!$A$6:$BG$51,58,0)</f>
        <v>0</v>
      </c>
      <c r="U14" s="36">
        <f>VLOOKUP($A14,[26]HISTOSEPT25!$A$6:$AU$51,28,0)</f>
        <v>0</v>
      </c>
      <c r="V14" s="36">
        <f>VLOOKUP($A14,[26]HISTOSEPT25!$A$6:$AU$51,19,0)</f>
        <v>0</v>
      </c>
      <c r="W14" s="36">
        <f>VLOOKUP($A14,[26]HISTOSEPT25!$A$6:$AU$51,20,0)</f>
        <v>0</v>
      </c>
      <c r="X14" s="36">
        <f>VLOOKUP($A14,[26]HISTOSEPT25!$A$6:$AU$51,27,0)</f>
        <v>0</v>
      </c>
      <c r="Y14" s="36">
        <f>VLOOKUP($A14,[26]HISTOSEPT25!$A$6:$BM$51,33,0)</f>
        <v>0</v>
      </c>
      <c r="Z14" s="36">
        <f>VLOOKUP($A14,[26]HISTOSEPT25!$A$6:$BM$51,64,0)</f>
        <v>0</v>
      </c>
      <c r="AA14" s="36"/>
      <c r="AB14" s="36">
        <f>VLOOKUP($A14,[26]HISTOSEPT25!$A$6:$AU$51,44,0)</f>
        <v>0</v>
      </c>
      <c r="AC14" s="36">
        <f>VLOOKUP($A14,[26]HISTOSEPT25!$A$6:$AU$51,43,0)</f>
        <v>0</v>
      </c>
      <c r="AD14" s="36">
        <f>VLOOKUP($A14,[26]HISTOSEPT25!$A$6:$BR$51,47,0)</f>
        <v>0</v>
      </c>
      <c r="AE14" s="36">
        <f>VLOOKUP(A14,[26]HISTOSEPT25!$A$6:$BR$51,54,0)</f>
        <v>0</v>
      </c>
      <c r="AF14" s="36">
        <f>VLOOKUP($A14,[26]HISTOSEPT25!$A$6:$BR$51,60,0)</f>
        <v>0</v>
      </c>
      <c r="AG14" s="36">
        <f>VLOOKUP($A14,[26]HISTOSEPT25!$A$6:$CB$51,61,0)</f>
        <v>0</v>
      </c>
      <c r="AH14" s="36">
        <f>VLOOKUP($A14,[26]HISTOSEPT25!$A$6:$CB$51,62,0)</f>
        <v>0</v>
      </c>
      <c r="AI14" s="36">
        <f>VLOOKUP($A14,[26]HISTOSEPT25!$A$6:$CB$51,63,0)</f>
        <v>0</v>
      </c>
      <c r="AJ14" s="36">
        <f>VLOOKUP($A14,[26]HISTOSEPT25!$A$6:$BR$51,64,0)</f>
        <v>0</v>
      </c>
      <c r="AK14" s="36">
        <f>VLOOKUP($A14,[26]HISTOSEPT25!$A$6:$BR$51,65,0)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VLOOKUP($A15,[26]HISTOSEPT25!$A$6:$BA$51,48,0)</f>
        <v>0</v>
      </c>
      <c r="F15" s="36">
        <f>VLOOKUP(A15,MVTAOUT25!A15:AM51,6,0)+MVTAOUT25!H15-E15+L15+800000</f>
        <v>1770000</v>
      </c>
      <c r="G15" s="5">
        <f>IF(MVTSEPT25!F15&gt;800000,(MVTAVRIL25!I15-E15+L15),0)</f>
        <v>895000</v>
      </c>
      <c r="H15" s="36">
        <f>VLOOKUP(A15,[27]MVTSEPT25!$A$6:$AM$42,8,0)</f>
        <v>0</v>
      </c>
      <c r="I15" s="6">
        <f t="shared" si="1"/>
        <v>1770000</v>
      </c>
      <c r="J15" s="36">
        <f>VLOOKUP($A15,[26]HISTOSEPT25!$A$6:$AQ$51,22,0)</f>
        <v>0</v>
      </c>
      <c r="K15" s="36">
        <f>VLOOKUP($A15,[26]HISTOSEPT25!$A$6:$AU$51,45,0)</f>
        <v>825000</v>
      </c>
      <c r="L15" s="36">
        <f t="shared" si="2"/>
        <v>819000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VLOOKUP($A15,[26]HISTOSEPT25!$A$6:$AU$51,8,0)</f>
        <v>0</v>
      </c>
      <c r="Q15" s="36">
        <f>VLOOKUP($A15,[26]HISTOSEPT25!$A$6:$AU$51,23,0)</f>
        <v>0</v>
      </c>
      <c r="R15" s="36">
        <f>VLOOKUP($A15,[26]HISTOSEPT25!$A$6:$AU$51,46,0)</f>
        <v>120000</v>
      </c>
      <c r="S15" s="36">
        <f>VLOOKUP($A15,[26]HISTOSEPT25!$A$6:$AU$51,26,0)</f>
        <v>0</v>
      </c>
      <c r="T15" s="36">
        <f>VLOOKUP($A15,[26]HISTOSEPT25!$A$6:$BG$51,58,0)</f>
        <v>0</v>
      </c>
      <c r="U15" s="36">
        <f>VLOOKUP($A15,[26]HISTOSEPT25!$A$6:$AU$51,28,0)</f>
        <v>0</v>
      </c>
      <c r="V15" s="36">
        <f>VLOOKUP($A15,[26]HISTOSEPT25!$A$6:$AU$51,19,0)</f>
        <v>0</v>
      </c>
      <c r="W15" s="36">
        <f>VLOOKUP($A15,[26]HISTOSEPT25!$A$6:$AU$51,20,0)</f>
        <v>0</v>
      </c>
      <c r="X15" s="36">
        <f>VLOOKUP($A15,[26]HISTOSEPT25!$A$6:$AU$51,27,0)</f>
        <v>0</v>
      </c>
      <c r="Y15" s="36">
        <f>VLOOKUP($A15,[26]HISTOSEPT25!$A$6:$BM$51,33,0)</f>
        <v>0</v>
      </c>
      <c r="Z15" s="36">
        <f>VLOOKUP($A15,[26]HISTOSEPT25!$A$6:$BM$51,64,0)</f>
        <v>0</v>
      </c>
      <c r="AA15" s="36"/>
      <c r="AB15" s="36">
        <f>VLOOKUP($A15,[26]HISTOSEPT25!$A$6:$AU$51,44,0)</f>
        <v>0</v>
      </c>
      <c r="AC15" s="36">
        <f>VLOOKUP($A15,[26]HISTOSEPT25!$A$6:$AU$51,43,0)</f>
        <v>0</v>
      </c>
      <c r="AD15" s="36">
        <f>VLOOKUP($A15,[26]HISTOSEPT25!$A$6:$BR$51,47,0)</f>
        <v>0</v>
      </c>
      <c r="AE15" s="36">
        <f>VLOOKUP(A15,[26]HISTOSEPT25!$A$6:$BR$51,54,0)</f>
        <v>175000</v>
      </c>
      <c r="AF15" s="36">
        <f>VLOOKUP($A15,[26]HISTOSEPT25!$A$6:$BR$51,60,0)</f>
        <v>0</v>
      </c>
      <c r="AG15" s="36">
        <f>VLOOKUP($A15,[26]HISTOSEPT25!$A$6:$CB$51,61,0)</f>
        <v>0</v>
      </c>
      <c r="AH15" s="36">
        <f>VLOOKUP($A15,[26]HISTOSEPT25!$A$6:$CB$51,62,0)</f>
        <v>0</v>
      </c>
      <c r="AI15" s="36">
        <f>VLOOKUP($A15,[26]HISTOSEPT25!$A$6:$CB$51,63,0)</f>
        <v>0</v>
      </c>
      <c r="AJ15" s="36">
        <f>VLOOKUP($A15,[26]HISTOSEPT25!$A$6:$BR$51,64,0)</f>
        <v>0</v>
      </c>
      <c r="AK15" s="36">
        <f>VLOOKUP($A15,[26]HISTOSEPT25!$A$6:$BR$51,65,0)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VLOOKUP($A16,[26]HISTOSEPT25!$A$6:$BA$51,48,0)</f>
        <v>0</v>
      </c>
      <c r="F16" s="36">
        <f>VLOOKUP(A16,MVTAOUT25!A16:AM52,6,0)+MVTAOUT25!H16-E16+L16</f>
        <v>1037759.0549728948</v>
      </c>
      <c r="G16" s="5">
        <f>IF(MVTSEPT25!F16&gt;800000,(MVTAVRIL25!I16-E16+L16),0)</f>
        <v>956672.27536945511</v>
      </c>
      <c r="H16" s="36">
        <f>VLOOKUP(A16,[27]MVTSEPT25!$A$6:$AM$42,8,0)</f>
        <v>0</v>
      </c>
      <c r="I16" s="6">
        <f t="shared" si="1"/>
        <v>1037759.0549728948</v>
      </c>
      <c r="J16" s="36">
        <f>VLOOKUP($A16,[26]HISTOSEPT25!$A$6:$AQ$51,22,0)</f>
        <v>0</v>
      </c>
      <c r="K16" s="36">
        <f>VLOOKUP($A16,[26]HISTOSEPT25!$A$6:$AU$51,45,0)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VLOOKUP($A16,[26]HISTOSEPT25!$A$6:$AU$51,8,0)</f>
        <v>0</v>
      </c>
      <c r="Q16" s="36">
        <f>VLOOKUP($A16,[26]HISTOSEPT25!$A$6:$AU$51,23,0)</f>
        <v>0</v>
      </c>
      <c r="R16" s="36">
        <f>VLOOKUP($A16,[26]HISTOSEPT25!$A$6:$AU$51,46,0)</f>
        <v>0</v>
      </c>
      <c r="S16" s="36">
        <f>VLOOKUP($A16,[26]HISTOSEPT25!$A$6:$AU$51,26,0)</f>
        <v>0</v>
      </c>
      <c r="T16" s="36">
        <f>VLOOKUP($A16,[26]HISTOSEPT25!$A$6:$BG$51,58,0)</f>
        <v>0</v>
      </c>
      <c r="U16" s="36">
        <f>VLOOKUP($A16,[26]HISTOSEPT25!$A$6:$AU$51,28,0)</f>
        <v>0</v>
      </c>
      <c r="V16" s="36">
        <f>VLOOKUP($A16,[26]HISTOSEPT25!$A$6:$AU$51,19,0)</f>
        <v>0</v>
      </c>
      <c r="W16" s="36">
        <f>VLOOKUP($A16,[26]HISTOSEPT25!$A$6:$AU$51,20,0)</f>
        <v>0</v>
      </c>
      <c r="X16" s="36">
        <f>VLOOKUP($A16,[26]HISTOSEPT25!$A$6:$AU$51,27,0)</f>
        <v>0</v>
      </c>
      <c r="Y16" s="36">
        <f>VLOOKUP($A16,[26]HISTOSEPT25!$A$6:$BM$51,33,0)</f>
        <v>0</v>
      </c>
      <c r="Z16" s="36">
        <f>VLOOKUP($A16,[26]HISTOSEPT25!$A$6:$BM$51,64,0)</f>
        <v>0</v>
      </c>
      <c r="AA16" s="36"/>
      <c r="AB16" s="36">
        <f>VLOOKUP($A16,[26]HISTOSEPT25!$A$6:$AU$51,44,0)</f>
        <v>0</v>
      </c>
      <c r="AC16" s="36">
        <f>VLOOKUP($A16,[26]HISTOSEPT25!$A$6:$AU$51,43,0)</f>
        <v>0</v>
      </c>
      <c r="AD16" s="36">
        <f>VLOOKUP($A16,[26]HISTOSEPT25!$A$6:$BR$51,47,0)</f>
        <v>0</v>
      </c>
      <c r="AE16" s="36">
        <f>VLOOKUP(A16,[26]HISTOSEPT25!$A$6:$BR$51,54,0)</f>
        <v>0</v>
      </c>
      <c r="AF16" s="36">
        <f>VLOOKUP($A16,[26]HISTOSEPT25!$A$6:$BR$51,60,0)</f>
        <v>0</v>
      </c>
      <c r="AG16" s="36">
        <f>VLOOKUP($A16,[26]HISTOSEPT25!$A$6:$CB$51,61,0)</f>
        <v>0</v>
      </c>
      <c r="AH16" s="36">
        <f>VLOOKUP($A16,[26]HISTOSEPT25!$A$6:$CB$51,62,0)</f>
        <v>0</v>
      </c>
      <c r="AI16" s="36">
        <f>VLOOKUP($A16,[26]HISTOSEPT25!$A$6:$CB$51,63,0)</f>
        <v>0</v>
      </c>
      <c r="AJ16" s="36">
        <f>VLOOKUP($A16,[26]HISTOSEPT25!$A$6:$BR$51,64,0)</f>
        <v>0</v>
      </c>
      <c r="AK16" s="36">
        <f>VLOOKUP($A16,[26]HISTOSEPT25!$A$6:$BR$51,65,0)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VLOOKUP($A17,[26]HISTOSEPT25!$A$6:$BA$51,48,0)</f>
        <v>0</v>
      </c>
      <c r="F17" s="36">
        <f>VLOOKUP(A17,MVTAOUT25!A17:AM53,6,0)+MVTAOUT25!H17-E17+L17</f>
        <v>1264329.9912385009</v>
      </c>
      <c r="G17" s="5">
        <f>IF(MVTSEPT25!F17&gt;800000,(MVTAVRIL25!I17-E17+L17),0)</f>
        <v>1092859.9095470994</v>
      </c>
      <c r="H17" s="36">
        <f>VLOOKUP(A17,[27]MVTSEPT25!$A$6:$AM$42,8,0)</f>
        <v>0</v>
      </c>
      <c r="I17" s="6">
        <f t="shared" si="1"/>
        <v>1264329.9912385009</v>
      </c>
      <c r="J17" s="36">
        <f>VLOOKUP($A17,[26]HISTOSEPT25!$A$6:$AQ$51,22,0)</f>
        <v>0</v>
      </c>
      <c r="K17" s="36">
        <f>VLOOKUP($A17,[26]HISTOSEPT25!$A$6:$AU$51,45,0)</f>
        <v>50000</v>
      </c>
      <c r="L17" s="36">
        <f t="shared" si="2"/>
        <v>44000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VLOOKUP($A17,[26]HISTOSEPT25!$A$6:$AU$51,8,0)</f>
        <v>0</v>
      </c>
      <c r="Q17" s="36">
        <f>VLOOKUP($A17,[26]HISTOSEPT25!$A$6:$AU$51,23,0)</f>
        <v>0</v>
      </c>
      <c r="R17" s="36">
        <f>VLOOKUP($A17,[26]HISTOSEPT25!$A$6:$AU$51,46,0)</f>
        <v>0</v>
      </c>
      <c r="S17" s="36">
        <f>VLOOKUP($A17,[26]HISTOSEPT25!$A$6:$AU$51,26,0)</f>
        <v>0</v>
      </c>
      <c r="T17" s="36">
        <f>VLOOKUP($A17,[26]HISTOSEPT25!$A$6:$BG$51,58,0)</f>
        <v>0</v>
      </c>
      <c r="U17" s="36">
        <f>VLOOKUP($A17,[26]HISTOSEPT25!$A$6:$AU$51,28,0)</f>
        <v>0</v>
      </c>
      <c r="V17" s="36">
        <f>VLOOKUP($A17,[26]HISTOSEPT25!$A$6:$AU$51,19,0)</f>
        <v>0</v>
      </c>
      <c r="W17" s="36">
        <f>VLOOKUP($A17,[26]HISTOSEPT25!$A$6:$AU$51,20,0)</f>
        <v>0</v>
      </c>
      <c r="X17" s="36">
        <f>VLOOKUP($A17,[26]HISTOSEPT25!$A$6:$AU$51,27,0)</f>
        <v>0</v>
      </c>
      <c r="Y17" s="36">
        <f>VLOOKUP($A17,[26]HISTOSEPT25!$A$6:$BM$51,33,0)</f>
        <v>0</v>
      </c>
      <c r="Z17" s="36">
        <f>VLOOKUP($A17,[26]HISTOSEPT25!$A$6:$BM$51,64,0)</f>
        <v>0</v>
      </c>
      <c r="AA17" s="36"/>
      <c r="AB17" s="36">
        <f>VLOOKUP($A17,[26]HISTOSEPT25!$A$6:$AU$51,44,0)</f>
        <v>0</v>
      </c>
      <c r="AC17" s="36">
        <f>VLOOKUP($A17,[26]HISTOSEPT25!$A$6:$AU$51,43,0)</f>
        <v>0</v>
      </c>
      <c r="AD17" s="36">
        <f>VLOOKUP($A17,[26]HISTOSEPT25!$A$6:$BR$51,47,0)</f>
        <v>0</v>
      </c>
      <c r="AE17" s="36">
        <f>VLOOKUP(A17,[26]HISTOSEPT25!$A$6:$BR$51,54,0)</f>
        <v>0</v>
      </c>
      <c r="AF17" s="36">
        <f>VLOOKUP($A17,[26]HISTOSEPT25!$A$6:$BR$51,60,0)</f>
        <v>0</v>
      </c>
      <c r="AG17" s="36">
        <f>VLOOKUP($A17,[26]HISTOSEPT25!$A$6:$CB$51,61,0)</f>
        <v>0</v>
      </c>
      <c r="AH17" s="36">
        <f>VLOOKUP($A17,[26]HISTOSEPT25!$A$6:$CB$51,62,0)</f>
        <v>0</v>
      </c>
      <c r="AI17" s="36">
        <f>VLOOKUP($A17,[26]HISTOSEPT25!$A$6:$CB$51,63,0)</f>
        <v>0</v>
      </c>
      <c r="AJ17" s="36">
        <f>VLOOKUP($A17,[26]HISTOSEPT25!$A$6:$BR$51,64,0)</f>
        <v>0</v>
      </c>
      <c r="AK17" s="36">
        <f>VLOOKUP($A17,[26]HISTOSEPT25!$A$6:$BR$51,65,0)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VLOOKUP($A18,[26]HISTOSEPT25!$A$6:$BA$51,48,0)</f>
        <v>0</v>
      </c>
      <c r="F18" s="36">
        <f>VLOOKUP(A18,MVTAOUT25!A18:AM54,6,0)+MVTAOUT25!H18-E18+L18</f>
        <v>1041934.4901754486</v>
      </c>
      <c r="G18" s="5">
        <f>IF(MVTSEPT25!F18&gt;800000,(MVTAVRIL25!I18-E18+L18),0)</f>
        <v>960826.30000484944</v>
      </c>
      <c r="H18" s="36">
        <f>VLOOKUP(A18,[27]MVTSEPT25!$A$6:$AM$42,8,0)</f>
        <v>0</v>
      </c>
      <c r="I18" s="6">
        <f t="shared" si="1"/>
        <v>1041934.4901754486</v>
      </c>
      <c r="J18" s="36">
        <f>VLOOKUP($A18,[26]HISTOSEPT25!$A$6:$AQ$51,22,0)</f>
        <v>0</v>
      </c>
      <c r="K18" s="36">
        <f>VLOOKUP($A18,[26]HISTOSEPT25!$A$6:$AU$51,45,0)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VLOOKUP($A18,[26]HISTOSEPT25!$A$6:$AU$51,8,0)</f>
        <v>0</v>
      </c>
      <c r="Q18" s="36">
        <f>VLOOKUP($A18,[26]HISTOSEPT25!$A$6:$AU$51,23,0)</f>
        <v>0</v>
      </c>
      <c r="R18" s="36">
        <f>VLOOKUP($A18,[26]HISTOSEPT25!$A$6:$AU$51,46,0)</f>
        <v>0</v>
      </c>
      <c r="S18" s="36">
        <f>VLOOKUP($A18,[26]HISTOSEPT25!$A$6:$AU$51,26,0)</f>
        <v>0</v>
      </c>
      <c r="T18" s="36">
        <f>VLOOKUP($A18,[26]HISTOSEPT25!$A$6:$BG$51,58,0)</f>
        <v>0</v>
      </c>
      <c r="U18" s="36">
        <f>VLOOKUP($A18,[26]HISTOSEPT25!$A$6:$AU$51,28,0)</f>
        <v>0</v>
      </c>
      <c r="V18" s="36">
        <f>VLOOKUP($A18,[26]HISTOSEPT25!$A$6:$AU$51,19,0)</f>
        <v>0</v>
      </c>
      <c r="W18" s="36">
        <f>VLOOKUP($A18,[26]HISTOSEPT25!$A$6:$AU$51,20,0)</f>
        <v>0</v>
      </c>
      <c r="X18" s="36">
        <f>VLOOKUP($A18,[26]HISTOSEPT25!$A$6:$AU$51,27,0)</f>
        <v>0</v>
      </c>
      <c r="Y18" s="36">
        <f>VLOOKUP($A18,[26]HISTOSEPT25!$A$6:$BM$51,33,0)</f>
        <v>0</v>
      </c>
      <c r="Z18" s="36">
        <f>VLOOKUP($A18,[26]HISTOSEPT25!$A$6:$BM$51,64,0)</f>
        <v>0</v>
      </c>
      <c r="AA18" s="36"/>
      <c r="AB18" s="36">
        <f>VLOOKUP($A18,[26]HISTOSEPT25!$A$6:$AU$51,44,0)</f>
        <v>0</v>
      </c>
      <c r="AC18" s="36">
        <f>VLOOKUP($A18,[26]HISTOSEPT25!$A$6:$AU$51,43,0)</f>
        <v>0</v>
      </c>
      <c r="AD18" s="36">
        <f>VLOOKUP($A18,[26]HISTOSEPT25!$A$6:$BR$51,47,0)</f>
        <v>0</v>
      </c>
      <c r="AE18" s="36">
        <f>VLOOKUP(A18,[26]HISTOSEPT25!$A$6:$BR$51,54,0)</f>
        <v>0</v>
      </c>
      <c r="AF18" s="36">
        <f>VLOOKUP($A18,[26]HISTOSEPT25!$A$6:$BR$51,60,0)</f>
        <v>0</v>
      </c>
      <c r="AG18" s="36">
        <f>VLOOKUP($A18,[26]HISTOSEPT25!$A$6:$CB$51,61,0)</f>
        <v>0</v>
      </c>
      <c r="AH18" s="36">
        <f>VLOOKUP($A18,[26]HISTOSEPT25!$A$6:$CB$51,62,0)</f>
        <v>0</v>
      </c>
      <c r="AI18" s="36">
        <f>VLOOKUP($A18,[26]HISTOSEPT25!$A$6:$CB$51,63,0)</f>
        <v>0</v>
      </c>
      <c r="AJ18" s="36">
        <f>VLOOKUP($A18,[26]HISTOSEPT25!$A$6:$BR$51,64,0)</f>
        <v>0</v>
      </c>
      <c r="AK18" s="36">
        <f>VLOOKUP($A18,[26]HISTOSEPT25!$A$6:$BR$51,65,0)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VLOOKUP($A19,[26]HISTOSEPT25!$A$6:$BA$51,48,0)</f>
        <v>0</v>
      </c>
      <c r="F19" s="36">
        <f>VLOOKUP(A19,MVTAOUT25!A19:AM55,6,0)+MVTAOUT25!H19-E19+L19</f>
        <v>1128158.8472685786</v>
      </c>
      <c r="G19" s="5">
        <f>IF(MVTSEPT25!F19&gt;800000,(MVTAVRIL25!I19-E19+L19),0)</f>
        <v>1014742.1499443398</v>
      </c>
      <c r="H19" s="36">
        <f>VLOOKUP(A19,[27]MVTSEPT25!$A$6:$AM$42,8,0)</f>
        <v>0</v>
      </c>
      <c r="I19" s="6">
        <f t="shared" si="1"/>
        <v>1128158.8472685786</v>
      </c>
      <c r="J19" s="36">
        <f>VLOOKUP($A19,[26]HISTOSEPT25!$A$6:$AQ$51,22,0)</f>
        <v>0</v>
      </c>
      <c r="K19" s="36">
        <f>VLOOKUP($A19,[26]HISTOSEPT25!$A$6:$AU$51,45,0)</f>
        <v>35000</v>
      </c>
      <c r="L19" s="36">
        <f t="shared" si="2"/>
        <v>29000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VLOOKUP($A19,[26]HISTOSEPT25!$A$6:$AU$51,8,0)</f>
        <v>0</v>
      </c>
      <c r="Q19" s="36">
        <f>VLOOKUP($A19,[26]HISTOSEPT25!$A$6:$AU$51,23,0)</f>
        <v>0</v>
      </c>
      <c r="R19" s="36">
        <f>VLOOKUP($A19,[26]HISTOSEPT25!$A$6:$AU$51,46,0)</f>
        <v>0</v>
      </c>
      <c r="S19" s="36">
        <f>VLOOKUP($A19,[26]HISTOSEPT25!$A$6:$AU$51,26,0)</f>
        <v>0</v>
      </c>
      <c r="T19" s="36">
        <f>VLOOKUP($A19,[26]HISTOSEPT25!$A$6:$BG$51,58,0)</f>
        <v>0</v>
      </c>
      <c r="U19" s="36">
        <f>VLOOKUP($A19,[26]HISTOSEPT25!$A$6:$AU$51,28,0)</f>
        <v>0</v>
      </c>
      <c r="V19" s="36">
        <f>VLOOKUP($A19,[26]HISTOSEPT25!$A$6:$AU$51,19,0)</f>
        <v>0</v>
      </c>
      <c r="W19" s="36">
        <f>VLOOKUP($A19,[26]HISTOSEPT25!$A$6:$AU$51,20,0)</f>
        <v>0</v>
      </c>
      <c r="X19" s="36">
        <f>VLOOKUP($A19,[26]HISTOSEPT25!$A$6:$AU$51,27,0)</f>
        <v>0</v>
      </c>
      <c r="Y19" s="36">
        <f>VLOOKUP($A19,[26]HISTOSEPT25!$A$6:$BM$51,33,0)</f>
        <v>0</v>
      </c>
      <c r="Z19" s="36">
        <f>VLOOKUP($A19,[26]HISTOSEPT25!$A$6:$BM$51,64,0)</f>
        <v>0</v>
      </c>
      <c r="AA19" s="36"/>
      <c r="AB19" s="36">
        <f>VLOOKUP($A19,[26]HISTOSEPT25!$A$6:$AU$51,44,0)</f>
        <v>0</v>
      </c>
      <c r="AC19" s="36">
        <f>VLOOKUP($A19,[26]HISTOSEPT25!$A$6:$AU$51,43,0)</f>
        <v>0</v>
      </c>
      <c r="AD19" s="36">
        <f>VLOOKUP($A19,[26]HISTOSEPT25!$A$6:$BR$51,47,0)</f>
        <v>0</v>
      </c>
      <c r="AE19" s="36">
        <f>VLOOKUP(A19,[26]HISTOSEPT25!$A$6:$BR$51,54,0)</f>
        <v>0</v>
      </c>
      <c r="AF19" s="36">
        <f>VLOOKUP($A19,[26]HISTOSEPT25!$A$6:$BR$51,60,0)</f>
        <v>0</v>
      </c>
      <c r="AG19" s="36">
        <f>VLOOKUP($A19,[26]HISTOSEPT25!$A$6:$CB$51,61,0)</f>
        <v>0</v>
      </c>
      <c r="AH19" s="36">
        <f>VLOOKUP($A19,[26]HISTOSEPT25!$A$6:$CB$51,62,0)</f>
        <v>0</v>
      </c>
      <c r="AI19" s="36">
        <f>VLOOKUP($A19,[26]HISTOSEPT25!$A$6:$CB$51,63,0)</f>
        <v>0</v>
      </c>
      <c r="AJ19" s="36">
        <f>VLOOKUP($A19,[26]HISTOSEPT25!$A$6:$BR$51,64,0)</f>
        <v>0</v>
      </c>
      <c r="AK19" s="36">
        <f>VLOOKUP($A19,[26]HISTOSEPT25!$A$6:$BR$51,65,0)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VLOOKUP($A20,[26]HISTOSEPT25!$A$6:$BA$51,48,0)</f>
        <v>0</v>
      </c>
      <c r="F20" s="36">
        <f>VLOOKUP(A20,MVTAOUT25!A20:AM56,6,0)+MVTAOUT25!H20-E20+L20</f>
        <v>400000</v>
      </c>
      <c r="G20" s="5">
        <f>IF(MVTSEPT25!F20&gt;800000,(MVTAVRIL25!I20-E20+L20),0)</f>
        <v>0</v>
      </c>
      <c r="H20" s="36">
        <f>VLOOKUP(A20,[27]MVTSEPT25!$A$6:$AM$42,8,0)</f>
        <v>0</v>
      </c>
      <c r="I20" s="6">
        <f t="shared" ref="I20" si="5">F20+H20</f>
        <v>400000</v>
      </c>
      <c r="J20" s="36">
        <f>VLOOKUP($A20,[26]HISTOSEPT25!$A$6:$AQ$51,22,0)</f>
        <v>0</v>
      </c>
      <c r="K20" s="36">
        <f>VLOOKUP($A20,[26]HISTOSEPT25!$A$6:$AU$51,45,0)</f>
        <v>0</v>
      </c>
      <c r="L20" s="36">
        <f t="shared" ref="L20" si="6">IF(K20=0,0,K20-(M20+N20+O20))</f>
        <v>0</v>
      </c>
      <c r="M20" s="36">
        <f t="shared" ref="M20" si="7">IF(K20=0,0,1000)</f>
        <v>0</v>
      </c>
      <c r="N20" s="36">
        <f t="shared" ref="N20" si="8">IF(K20=0,0,1000)</f>
        <v>0</v>
      </c>
      <c r="O20" s="36">
        <f t="shared" ref="O20" si="9">IF(K20=0,0,4000)</f>
        <v>0</v>
      </c>
      <c r="P20" s="36">
        <f>VLOOKUP($A20,[26]HISTOSEPT25!$A$6:$AU$51,8,0)</f>
        <v>0</v>
      </c>
      <c r="Q20" s="36">
        <f>VLOOKUP($A20,[26]HISTOSEPT25!$A$6:$AU$51,23,0)</f>
        <v>0</v>
      </c>
      <c r="R20" s="36">
        <f>VLOOKUP($A20,[26]HISTOSEPT25!$A$6:$AU$51,46,0)</f>
        <v>0</v>
      </c>
      <c r="S20" s="36">
        <f>VLOOKUP($A20,[26]HISTOSEPT25!$A$6:$AU$51,26,0)</f>
        <v>0</v>
      </c>
      <c r="T20" s="36">
        <f>VLOOKUP($A20,[26]HISTOSEPT25!$A$6:$BG$51,58,0)</f>
        <v>0</v>
      </c>
      <c r="U20" s="36">
        <f>VLOOKUP($A20,[26]HISTOSEPT25!$A$6:$AU$51,28,0)</f>
        <v>0</v>
      </c>
      <c r="V20" s="36">
        <f>VLOOKUP($A20,[26]HISTOSEPT25!$A$6:$AU$51,19,0)</f>
        <v>0</v>
      </c>
      <c r="W20" s="36">
        <f>VLOOKUP($A20,[26]HISTOSEPT25!$A$6:$AU$51,20,0)</f>
        <v>0</v>
      </c>
      <c r="X20" s="36">
        <f>VLOOKUP($A20,[26]HISTOSEPT25!$A$6:$AU$51,27,0)</f>
        <v>0</v>
      </c>
      <c r="Y20" s="36">
        <f>VLOOKUP($A20,[26]HISTOSEPT25!$A$6:$BM$51,33,0)</f>
        <v>0</v>
      </c>
      <c r="Z20" s="36">
        <f>VLOOKUP($A20,[26]HISTOSEPT25!$A$6:$BM$51,64,0)</f>
        <v>0</v>
      </c>
      <c r="AA20" s="36"/>
      <c r="AB20" s="36">
        <f>VLOOKUP($A20,[26]HISTOSEPT25!$A$6:$AU$51,44,0)</f>
        <v>0</v>
      </c>
      <c r="AC20" s="36">
        <f>VLOOKUP($A20,[26]HISTOSEPT25!$A$6:$AU$51,43,0)</f>
        <v>0</v>
      </c>
      <c r="AD20" s="36">
        <f>VLOOKUP($A20,[26]HISTOSEPT25!$A$6:$BR$51,47,0)</f>
        <v>0</v>
      </c>
      <c r="AE20" s="36">
        <f>VLOOKUP(A20,[26]HISTOSEPT25!$A$6:$BR$51,54,0)</f>
        <v>0</v>
      </c>
      <c r="AF20" s="36">
        <f>VLOOKUP($A20,[26]HISTOSEPT25!$A$6:$BR$51,60,0)</f>
        <v>0</v>
      </c>
      <c r="AG20" s="36">
        <f>VLOOKUP($A20,[26]HISTOSEPT25!$A$6:$CB$51,61,0)</f>
        <v>0</v>
      </c>
      <c r="AH20" s="36">
        <f>VLOOKUP($A20,[26]HISTOSEPT25!$A$6:$CB$51,62,0)</f>
        <v>0</v>
      </c>
      <c r="AI20" s="36">
        <f>VLOOKUP($A20,[26]HISTOSEPT25!$A$6:$CB$51,63,0)</f>
        <v>0</v>
      </c>
      <c r="AJ20" s="36">
        <f>VLOOKUP($A20,[26]HISTOSEPT25!$A$6:$BR$51,64,0)</f>
        <v>0</v>
      </c>
      <c r="AK20" s="36">
        <f>VLOOKUP($A20,[26]HISTOSEPT25!$A$6:$BR$51,65,0)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VLOOKUP($A21,[26]HISTOSEPT25!$A$6:$BA$51,48,0)</f>
        <v>0</v>
      </c>
      <c r="F21" s="36">
        <f>VLOOKUP(A21,MVTAOUT25!A21:AM56,6,0)+MVTAOUT25!H21-E21+L21</f>
        <v>1198412.3841291287</v>
      </c>
      <c r="G21" s="5">
        <f>IF(MVTSEPT25!F21&gt;800000,(MVTAVRIL25!I21-E21+L21),0)</f>
        <v>1116501.8152135806</v>
      </c>
      <c r="H21" s="36">
        <f>VLOOKUP(A21,[27]MVTSEPT25!$A$6:$AM$42,8,0)</f>
        <v>0</v>
      </c>
      <c r="I21" s="6">
        <f t="shared" si="1"/>
        <v>1198412.3841291287</v>
      </c>
      <c r="J21" s="36">
        <f>VLOOKUP($A21,[26]HISTOSEPT25!$A$6:$AQ$51,22,0)</f>
        <v>0</v>
      </c>
      <c r="K21" s="36">
        <f>VLOOKUP($A21,[26]HISTOSEPT25!$A$6:$AU$51,45,0)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VLOOKUP($A21,[26]HISTOSEPT25!$A$6:$AU$51,8,0)</f>
        <v>0</v>
      </c>
      <c r="Q21" s="36">
        <f>VLOOKUP($A21,[26]HISTOSEPT25!$A$6:$AU$51,23,0)</f>
        <v>0</v>
      </c>
      <c r="R21" s="36">
        <f>VLOOKUP($A21,[26]HISTOSEPT25!$A$6:$AU$51,46,0)</f>
        <v>0</v>
      </c>
      <c r="S21" s="36">
        <f>VLOOKUP($A21,[26]HISTOSEPT25!$A$6:$AU$51,26,0)</f>
        <v>0</v>
      </c>
      <c r="T21" s="36">
        <f>VLOOKUP($A21,[26]HISTOSEPT25!$A$6:$BG$51,58,0)</f>
        <v>0</v>
      </c>
      <c r="U21" s="36">
        <f>VLOOKUP($A21,[26]HISTOSEPT25!$A$6:$AU$51,28,0)</f>
        <v>0</v>
      </c>
      <c r="V21" s="36">
        <f>VLOOKUP($A21,[26]HISTOSEPT25!$A$6:$AU$51,19,0)</f>
        <v>0</v>
      </c>
      <c r="W21" s="36">
        <f>VLOOKUP($A21,[26]HISTOSEPT25!$A$6:$AU$51,20,0)</f>
        <v>0</v>
      </c>
      <c r="X21" s="36">
        <f>VLOOKUP($A21,[26]HISTOSEPT25!$A$6:$AU$51,27,0)</f>
        <v>0</v>
      </c>
      <c r="Y21" s="36">
        <f>VLOOKUP($A21,[26]HISTOSEPT25!$A$6:$BM$51,33,0)</f>
        <v>0</v>
      </c>
      <c r="Z21" s="36">
        <f>VLOOKUP($A21,[26]HISTOSEPT25!$A$6:$BM$51,64,0)</f>
        <v>0</v>
      </c>
      <c r="AA21" s="36"/>
      <c r="AB21" s="36">
        <f>VLOOKUP($A21,[26]HISTOSEPT25!$A$6:$AU$51,44,0)</f>
        <v>0</v>
      </c>
      <c r="AC21" s="36">
        <f>VLOOKUP($A21,[26]HISTOSEPT25!$A$6:$AU$51,43,0)</f>
        <v>0</v>
      </c>
      <c r="AD21" s="36">
        <f>VLOOKUP($A21,[26]HISTOSEPT25!$A$6:$BR$51,47,0)</f>
        <v>0</v>
      </c>
      <c r="AE21" s="36">
        <f>VLOOKUP(A21,[26]HISTOSEPT25!$A$6:$BR$51,54,0)</f>
        <v>0</v>
      </c>
      <c r="AF21" s="36">
        <f>VLOOKUP($A21,[26]HISTOSEPT25!$A$6:$BR$51,60,0)</f>
        <v>0</v>
      </c>
      <c r="AG21" s="36">
        <f>VLOOKUP($A21,[26]HISTOSEPT25!$A$6:$CB$51,61,0)</f>
        <v>0</v>
      </c>
      <c r="AH21" s="36">
        <f>VLOOKUP($A21,[26]HISTOSEPT25!$A$6:$CB$51,62,0)</f>
        <v>0</v>
      </c>
      <c r="AI21" s="36">
        <f>VLOOKUP($A21,[26]HISTOSEPT25!$A$6:$CB$51,63,0)</f>
        <v>0</v>
      </c>
      <c r="AJ21" s="36">
        <f>VLOOKUP($A21,[26]HISTOSEPT25!$A$6:$BR$51,64,0)</f>
        <v>0</v>
      </c>
      <c r="AK21" s="36">
        <f>VLOOKUP($A21,[26]HISTOSEPT25!$A$6:$BR$51,65,0)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VLOOKUP($A22,[26]HISTOSEPT25!$A$6:$BA$51,48,0)</f>
        <v>0</v>
      </c>
      <c r="F22" s="36">
        <f>VLOOKUP(A22,MVTAOUT25!A22:AM57,6,0)+MVTAOUT25!H22-E22+L22</f>
        <v>1046247.2486384223</v>
      </c>
      <c r="G22" s="5">
        <f>IF(MVTSEPT25!F22&gt;800000,(MVTAVRIL25!I22-E22+L22),0)</f>
        <v>963129.9808177395</v>
      </c>
      <c r="H22" s="36">
        <f>VLOOKUP(A22,[27]MVTSEPT25!$A$6:$AM$42,8,0)</f>
        <v>0</v>
      </c>
      <c r="I22" s="6">
        <f t="shared" si="1"/>
        <v>1046247.2486384223</v>
      </c>
      <c r="J22" s="36">
        <f>VLOOKUP($A22,[26]HISTOSEPT25!$A$6:$AQ$51,22,0)</f>
        <v>0</v>
      </c>
      <c r="K22" s="36">
        <f>VLOOKUP($A22,[26]HISTOSEPT25!$A$6:$AU$51,45,0)</f>
        <v>25000</v>
      </c>
      <c r="L22" s="36">
        <f t="shared" si="2"/>
        <v>19000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VLOOKUP($A22,[26]HISTOSEPT25!$A$6:$AU$51,8,0)</f>
        <v>3000</v>
      </c>
      <c r="Q22" s="36">
        <f>VLOOKUP($A22,[26]HISTOSEPT25!$A$6:$AU$51,23,0)</f>
        <v>0</v>
      </c>
      <c r="R22" s="36">
        <f>VLOOKUP($A22,[26]HISTOSEPT25!$A$6:$AU$51,46,0)</f>
        <v>0</v>
      </c>
      <c r="S22" s="36">
        <f>VLOOKUP($A22,[26]HISTOSEPT25!$A$6:$AU$51,26,0)</f>
        <v>0</v>
      </c>
      <c r="T22" s="36">
        <f>VLOOKUP($A22,[26]HISTOSEPT25!$A$6:$BG$51,58,0)</f>
        <v>0</v>
      </c>
      <c r="U22" s="36">
        <f>VLOOKUP($A22,[26]HISTOSEPT25!$A$6:$AU$51,28,0)</f>
        <v>0</v>
      </c>
      <c r="V22" s="36">
        <f>VLOOKUP($A22,[26]HISTOSEPT25!$A$6:$AU$51,19,0)</f>
        <v>0</v>
      </c>
      <c r="W22" s="36">
        <f>VLOOKUP($A22,[26]HISTOSEPT25!$A$6:$AU$51,20,0)</f>
        <v>0</v>
      </c>
      <c r="X22" s="36">
        <f>VLOOKUP($A22,[26]HISTOSEPT25!$A$6:$AU$51,27,0)</f>
        <v>0</v>
      </c>
      <c r="Y22" s="36">
        <f>VLOOKUP($A22,[26]HISTOSEPT25!$A$6:$BM$51,33,0)</f>
        <v>0</v>
      </c>
      <c r="Z22" s="36">
        <f>VLOOKUP($A22,[26]HISTOSEPT25!$A$6:$BM$51,64,0)</f>
        <v>0</v>
      </c>
      <c r="AA22" s="36"/>
      <c r="AB22" s="36">
        <f>VLOOKUP($A22,[26]HISTOSEPT25!$A$6:$AU$51,44,0)</f>
        <v>0</v>
      </c>
      <c r="AC22" s="36">
        <f>VLOOKUP($A22,[26]HISTOSEPT25!$A$6:$AU$51,43,0)</f>
        <v>0</v>
      </c>
      <c r="AD22" s="36">
        <f>VLOOKUP($A22,[26]HISTOSEPT25!$A$6:$BR$51,47,0)</f>
        <v>0</v>
      </c>
      <c r="AE22" s="36">
        <f>VLOOKUP(A22,[26]HISTOSEPT25!$A$6:$BR$51,54,0)</f>
        <v>0</v>
      </c>
      <c r="AF22" s="36">
        <f>VLOOKUP($A22,[26]HISTOSEPT25!$A$6:$BR$51,60,0)</f>
        <v>0</v>
      </c>
      <c r="AG22" s="36">
        <f>VLOOKUP($A22,[26]HISTOSEPT25!$A$6:$CB$51,61,0)</f>
        <v>0</v>
      </c>
      <c r="AH22" s="36">
        <f>VLOOKUP($A22,[26]HISTOSEPT25!$A$6:$CB$51,62,0)</f>
        <v>0</v>
      </c>
      <c r="AI22" s="36">
        <f>VLOOKUP($A22,[26]HISTOSEPT25!$A$6:$CB$51,63,0)</f>
        <v>0</v>
      </c>
      <c r="AJ22" s="36">
        <f>VLOOKUP($A22,[26]HISTOSEPT25!$A$6:$BR$51,64,0)</f>
        <v>0</v>
      </c>
      <c r="AK22" s="36">
        <f>VLOOKUP($A22,[26]HISTOSEPT25!$A$6:$BR$51,65,0)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VLOOKUP($A23,[26]HISTOSEPT25!$A$6:$BA$51,48,0)</f>
        <v>0</v>
      </c>
      <c r="F23" s="36">
        <f>VLOOKUP(A23,MVTAOUT25!A23:AM58,6,0)+MVTAOUT25!H23-E23+L23</f>
        <v>1043514.8452634425</v>
      </c>
      <c r="G23" s="5">
        <f>IF(MVTSEPT25!F23&gt;800000,(MVTAVRIL25!I23-E23+L23),0)</f>
        <v>962398.55143487593</v>
      </c>
      <c r="H23" s="36">
        <f>VLOOKUP(A23,[27]MVTSEPT25!$A$6:$AM$42,8,0)</f>
        <v>0</v>
      </c>
      <c r="I23" s="6">
        <f t="shared" si="1"/>
        <v>1043514.8452634425</v>
      </c>
      <c r="J23" s="36">
        <f>VLOOKUP($A23,[26]HISTOSEPT25!$A$6:$AQ$51,22,0)</f>
        <v>0</v>
      </c>
      <c r="K23" s="36">
        <f>VLOOKUP($A23,[26]HISTOSEPT25!$A$6:$AU$51,45,0)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VLOOKUP($A23,[26]HISTOSEPT25!$A$6:$AU$51,8,0)</f>
        <v>0</v>
      </c>
      <c r="Q23" s="36">
        <f>VLOOKUP($A23,[26]HISTOSEPT25!$A$6:$AU$51,23,0)</f>
        <v>0</v>
      </c>
      <c r="R23" s="36">
        <f>VLOOKUP($A23,[26]HISTOSEPT25!$A$6:$AU$51,46,0)</f>
        <v>0</v>
      </c>
      <c r="S23" s="36">
        <f>VLOOKUP($A23,[26]HISTOSEPT25!$A$6:$AU$51,26,0)</f>
        <v>0</v>
      </c>
      <c r="T23" s="36">
        <f>VLOOKUP($A23,[26]HISTOSEPT25!$A$6:$BG$51,58,0)</f>
        <v>0</v>
      </c>
      <c r="U23" s="36">
        <f>VLOOKUP($A23,[26]HISTOSEPT25!$A$6:$AU$51,28,0)</f>
        <v>0</v>
      </c>
      <c r="V23" s="36">
        <f>VLOOKUP($A23,[26]HISTOSEPT25!$A$6:$AU$51,19,0)</f>
        <v>0</v>
      </c>
      <c r="W23" s="36">
        <f>VLOOKUP($A23,[26]HISTOSEPT25!$A$6:$AU$51,20,0)</f>
        <v>0</v>
      </c>
      <c r="X23" s="36">
        <f>VLOOKUP($A23,[26]HISTOSEPT25!$A$6:$AU$51,27,0)</f>
        <v>0</v>
      </c>
      <c r="Y23" s="36">
        <f>VLOOKUP($A23,[26]HISTOSEPT25!$A$6:$BM$51,33,0)</f>
        <v>0</v>
      </c>
      <c r="Z23" s="36">
        <f>VLOOKUP($A23,[26]HISTOSEPT25!$A$6:$BM$51,64,0)</f>
        <v>0</v>
      </c>
      <c r="AA23" s="36"/>
      <c r="AB23" s="36">
        <f>VLOOKUP($A23,[26]HISTOSEPT25!$A$6:$AU$51,44,0)</f>
        <v>0</v>
      </c>
      <c r="AC23" s="36">
        <f>VLOOKUP($A23,[26]HISTOSEPT25!$A$6:$AU$51,43,0)</f>
        <v>0</v>
      </c>
      <c r="AD23" s="36">
        <f>VLOOKUP($A23,[26]HISTOSEPT25!$A$6:$BR$51,47,0)</f>
        <v>0</v>
      </c>
      <c r="AE23" s="36">
        <f>VLOOKUP(A23,[26]HISTOSEPT25!$A$6:$BR$51,54,0)</f>
        <v>0</v>
      </c>
      <c r="AF23" s="36">
        <f>VLOOKUP($A23,[26]HISTOSEPT25!$A$6:$BR$51,60,0)</f>
        <v>0</v>
      </c>
      <c r="AG23" s="36">
        <f>VLOOKUP($A23,[26]HISTOSEPT25!$A$6:$CB$51,61,0)</f>
        <v>0</v>
      </c>
      <c r="AH23" s="36">
        <f>VLOOKUP($A23,[26]HISTOSEPT25!$A$6:$CB$51,62,0)</f>
        <v>0</v>
      </c>
      <c r="AI23" s="36">
        <f>VLOOKUP($A23,[26]HISTOSEPT25!$A$6:$CB$51,63,0)</f>
        <v>100000</v>
      </c>
      <c r="AJ23" s="36">
        <f>VLOOKUP($A23,[26]HISTOSEPT25!$A$6:$BR$51,64,0)</f>
        <v>0</v>
      </c>
      <c r="AK23" s="36">
        <f>VLOOKUP($A23,[26]HISTOSEPT25!$A$6:$BR$51,65,0)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VLOOKUP($A24,[26]HISTOSEPT25!$A$6:$BA$51,48,0)</f>
        <v>0</v>
      </c>
      <c r="F24" s="36">
        <f>VLOOKUP(A24,MVTAOUT25!A24:AM59,6,0)+MVTAOUT25!H24-E24+L24</f>
        <v>990355.77466457477</v>
      </c>
      <c r="G24" s="5">
        <f>IF(MVTSEPT25!F24&gt;800000,(MVTAVRIL25!I24-E24+L24),0)</f>
        <v>909512.06699672434</v>
      </c>
      <c r="H24" s="36">
        <f>VLOOKUP(A24,[27]MVTSEPT25!$A$6:$AM$42,8,0)</f>
        <v>0</v>
      </c>
      <c r="I24" s="6">
        <f t="shared" si="1"/>
        <v>990355.77466457477</v>
      </c>
      <c r="J24" s="36">
        <f>VLOOKUP($A24,[26]HISTOSEPT25!$A$6:$AQ$51,22,0)</f>
        <v>0</v>
      </c>
      <c r="K24" s="36">
        <f>VLOOKUP($A24,[26]HISTOSEPT25!$A$6:$AU$51,45,0)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VLOOKUP($A24,[26]HISTOSEPT25!$A$6:$AU$51,8,0)</f>
        <v>0</v>
      </c>
      <c r="Q24" s="36">
        <f>VLOOKUP($A24,[26]HISTOSEPT25!$A$6:$AU$51,23,0)</f>
        <v>0</v>
      </c>
      <c r="R24" s="36">
        <f>VLOOKUP($A24,[26]HISTOSEPT25!$A$6:$AU$51,46,0)</f>
        <v>0</v>
      </c>
      <c r="S24" s="36">
        <f>VLOOKUP($A24,[26]HISTOSEPT25!$A$6:$AU$51,26,0)</f>
        <v>0</v>
      </c>
      <c r="T24" s="36">
        <f>VLOOKUP($A24,[26]HISTOSEPT25!$A$6:$BG$51,58,0)</f>
        <v>0</v>
      </c>
      <c r="U24" s="36">
        <f>VLOOKUP($A24,[26]HISTOSEPT25!$A$6:$AU$51,28,0)</f>
        <v>0</v>
      </c>
      <c r="V24" s="36">
        <f>VLOOKUP($A24,[26]HISTOSEPT25!$A$6:$AU$51,19,0)</f>
        <v>0</v>
      </c>
      <c r="W24" s="36">
        <f>VLOOKUP($A24,[26]HISTOSEPT25!$A$6:$AU$51,20,0)</f>
        <v>0</v>
      </c>
      <c r="X24" s="36">
        <f>VLOOKUP($A24,[26]HISTOSEPT25!$A$6:$AU$51,27,0)</f>
        <v>0</v>
      </c>
      <c r="Y24" s="36">
        <f>VLOOKUP($A24,[26]HISTOSEPT25!$A$6:$BM$51,33,0)</f>
        <v>0</v>
      </c>
      <c r="Z24" s="36">
        <f>VLOOKUP($A24,[26]HISTOSEPT25!$A$6:$BM$51,64,0)</f>
        <v>0</v>
      </c>
      <c r="AA24" s="36"/>
      <c r="AB24" s="36">
        <f>VLOOKUP($A24,[26]HISTOSEPT25!$A$6:$AU$51,44,0)</f>
        <v>0</v>
      </c>
      <c r="AC24" s="36">
        <f>VLOOKUP($A24,[26]HISTOSEPT25!$A$6:$AU$51,43,0)</f>
        <v>0</v>
      </c>
      <c r="AD24" s="36">
        <f>VLOOKUP($A24,[26]HISTOSEPT25!$A$6:$BR$51,47,0)</f>
        <v>0</v>
      </c>
      <c r="AE24" s="36">
        <f>VLOOKUP(A24,[26]HISTOSEPT25!$A$6:$BR$51,54,0)</f>
        <v>0</v>
      </c>
      <c r="AF24" s="36">
        <f>VLOOKUP($A24,[26]HISTOSEPT25!$A$6:$BR$51,60,0)</f>
        <v>0</v>
      </c>
      <c r="AG24" s="36">
        <f>VLOOKUP($A24,[26]HISTOSEPT25!$A$6:$CB$51,61,0)</f>
        <v>0</v>
      </c>
      <c r="AH24" s="36">
        <f>VLOOKUP($A24,[26]HISTOSEPT25!$A$6:$CB$51,62,0)</f>
        <v>0</v>
      </c>
      <c r="AI24" s="36">
        <f>VLOOKUP($A24,[26]HISTOSEPT25!$A$6:$CB$51,63,0)</f>
        <v>0</v>
      </c>
      <c r="AJ24" s="36">
        <f>VLOOKUP($A24,[26]HISTOSEPT25!$A$6:$BR$51,64,0)</f>
        <v>0</v>
      </c>
      <c r="AK24" s="36">
        <f>VLOOKUP($A24,[26]HISTOSEPT25!$A$6:$BR$51,65,0)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VLOOKUP($A25,[26]HISTOSEPT25!$A$6:$BA$51,48,0)</f>
        <v>0</v>
      </c>
      <c r="F25" s="36">
        <f>VLOOKUP(A25,MVTAOUT25!A25:AM60,6,0)+MVTAOUT25!H25-E25+L25</f>
        <v>1402110.781395742</v>
      </c>
      <c r="G25" s="5">
        <f>IF(MVTSEPT25!F25&gt;800000,(MVTAVRIL25!I25-E25+L25),0)</f>
        <v>1279279.1644260087</v>
      </c>
      <c r="H25" s="36">
        <f>VLOOKUP(A25,[27]MVTSEPT25!$A$6:$AM$42,8,0)</f>
        <v>0</v>
      </c>
      <c r="I25" s="6">
        <f t="shared" si="1"/>
        <v>1402110.781395742</v>
      </c>
      <c r="J25" s="36">
        <f>VLOOKUP($A25,[26]HISTOSEPT25!$A$6:$AQ$51,22,0)</f>
        <v>0</v>
      </c>
      <c r="K25" s="36">
        <f>VLOOKUP($A25,[26]HISTOSEPT25!$A$6:$AU$51,45,0)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VLOOKUP($A25,[26]HISTOSEPT25!$A$6:$AU$51,8,0)</f>
        <v>0</v>
      </c>
      <c r="Q25" s="36">
        <f>VLOOKUP($A25,[26]HISTOSEPT25!$A$6:$AU$51,23,0)</f>
        <v>0</v>
      </c>
      <c r="R25" s="36">
        <f>VLOOKUP($A25,[26]HISTOSEPT25!$A$6:$AU$51,46,0)</f>
        <v>0</v>
      </c>
      <c r="S25" s="36">
        <f>VLOOKUP($A25,[26]HISTOSEPT25!$A$6:$AU$51,26,0)</f>
        <v>0</v>
      </c>
      <c r="T25" s="36">
        <f>VLOOKUP($A25,[26]HISTOSEPT25!$A$6:$BG$51,58,0)</f>
        <v>0</v>
      </c>
      <c r="U25" s="36">
        <f>VLOOKUP($A25,[26]HISTOSEPT25!$A$6:$AU$51,28,0)</f>
        <v>0</v>
      </c>
      <c r="V25" s="36">
        <f>VLOOKUP($A25,[26]HISTOSEPT25!$A$6:$AU$51,19,0)</f>
        <v>0</v>
      </c>
      <c r="W25" s="36">
        <f>VLOOKUP($A25,[26]HISTOSEPT25!$A$6:$AU$51,20,0)</f>
        <v>0</v>
      </c>
      <c r="X25" s="36">
        <f>VLOOKUP($A25,[26]HISTOSEPT25!$A$6:$AU$51,27,0)</f>
        <v>0</v>
      </c>
      <c r="Y25" s="36">
        <f>VLOOKUP($A25,[26]HISTOSEPT25!$A$6:$BM$51,33,0)</f>
        <v>0</v>
      </c>
      <c r="Z25" s="36">
        <f>VLOOKUP($A25,[26]HISTOSEPT25!$A$6:$BM$51,64,0)</f>
        <v>0</v>
      </c>
      <c r="AA25" s="36"/>
      <c r="AB25" s="36">
        <f>VLOOKUP($A25,[26]HISTOSEPT25!$A$6:$AU$51,44,0)</f>
        <v>0</v>
      </c>
      <c r="AC25" s="36">
        <f>VLOOKUP($A25,[26]HISTOSEPT25!$A$6:$AU$51,43,0)</f>
        <v>0</v>
      </c>
      <c r="AD25" s="36">
        <f>VLOOKUP($A25,[26]HISTOSEPT25!$A$6:$BR$51,47,0)</f>
        <v>0</v>
      </c>
      <c r="AE25" s="36">
        <f>VLOOKUP(A25,[26]HISTOSEPT25!$A$6:$BR$51,54,0)</f>
        <v>0</v>
      </c>
      <c r="AF25" s="36">
        <f>VLOOKUP($A25,[26]HISTOSEPT25!$A$6:$BR$51,60,0)</f>
        <v>0</v>
      </c>
      <c r="AG25" s="36">
        <f>VLOOKUP($A25,[26]HISTOSEPT25!$A$6:$CB$51,61,0)</f>
        <v>0</v>
      </c>
      <c r="AH25" s="36">
        <f>VLOOKUP($A25,[26]HISTOSEPT25!$A$6:$CB$51,62,0)</f>
        <v>0</v>
      </c>
      <c r="AI25" s="36">
        <f>VLOOKUP($A25,[26]HISTOSEPT25!$A$6:$CB$51,63,0)</f>
        <v>0</v>
      </c>
      <c r="AJ25" s="36">
        <f>VLOOKUP($A25,[26]HISTOSEPT25!$A$6:$BR$51,64,0)</f>
        <v>0</v>
      </c>
      <c r="AK25" s="36">
        <f>VLOOKUP($A25,[26]HISTOSEPT25!$A$6:$BR$51,65,0)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VLOOKUP($A26,[26]HISTOSEPT25!$A$6:$BA$51,48,0)</f>
        <v>0</v>
      </c>
      <c r="F26" s="36">
        <f>VLOOKUP(A26,MVTAOUT25!A26:AM61,6,0)+MVTAOUT25!H26-E26+L26</f>
        <v>1548832.949014839</v>
      </c>
      <c r="G26" s="5">
        <f>IF(MVTSEPT25!F26&gt;800000,(MVTAVRIL25!I26-E26+L26),0)</f>
        <v>1405793.154792679</v>
      </c>
      <c r="H26" s="36">
        <f>VLOOKUP(A26,[27]MVTSEPT25!$A$6:$AM$42,8,0)</f>
        <v>0</v>
      </c>
      <c r="I26" s="6">
        <f t="shared" si="1"/>
        <v>1548832.949014839</v>
      </c>
      <c r="J26" s="36">
        <f>VLOOKUP($A26,[26]HISTOSEPT25!$A$6:$AQ$51,22,0)</f>
        <v>0</v>
      </c>
      <c r="K26" s="36">
        <f>VLOOKUP($A26,[26]HISTOSEPT25!$A$6:$AU$51,45,0)</f>
        <v>37000</v>
      </c>
      <c r="L26" s="36">
        <f t="shared" si="2"/>
        <v>31000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VLOOKUP($A26,[26]HISTOSEPT25!$A$6:$AU$51,8,0)</f>
        <v>3000</v>
      </c>
      <c r="Q26" s="36">
        <f>VLOOKUP($A26,[26]HISTOSEPT25!$A$6:$AU$51,23,0)</f>
        <v>0</v>
      </c>
      <c r="R26" s="36">
        <f>VLOOKUP($A26,[26]HISTOSEPT25!$A$6:$AU$51,46,0)</f>
        <v>0</v>
      </c>
      <c r="S26" s="36">
        <f>VLOOKUP($A26,[26]HISTOSEPT25!$A$6:$AU$51,26,0)</f>
        <v>0</v>
      </c>
      <c r="T26" s="36">
        <f>VLOOKUP($A26,[26]HISTOSEPT25!$A$6:$BG$51,58,0)</f>
        <v>0</v>
      </c>
      <c r="U26" s="36">
        <f>VLOOKUP($A26,[26]HISTOSEPT25!$A$6:$AU$51,28,0)</f>
        <v>0</v>
      </c>
      <c r="V26" s="36">
        <f>VLOOKUP($A26,[26]HISTOSEPT25!$A$6:$AU$51,19,0)</f>
        <v>0</v>
      </c>
      <c r="W26" s="36">
        <f>VLOOKUP($A26,[26]HISTOSEPT25!$A$6:$AU$51,20,0)</f>
        <v>0</v>
      </c>
      <c r="X26" s="36">
        <f>VLOOKUP($A26,[26]HISTOSEPT25!$A$6:$AU$51,27,0)</f>
        <v>0</v>
      </c>
      <c r="Y26" s="36">
        <f>VLOOKUP($A26,[26]HISTOSEPT25!$A$6:$BM$51,33,0)</f>
        <v>0</v>
      </c>
      <c r="Z26" s="36">
        <f>VLOOKUP($A26,[26]HISTOSEPT25!$A$6:$BM$51,64,0)</f>
        <v>0</v>
      </c>
      <c r="AA26" s="36"/>
      <c r="AB26" s="36">
        <f>VLOOKUP($A26,[26]HISTOSEPT25!$A$6:$AU$51,44,0)</f>
        <v>0</v>
      </c>
      <c r="AC26" s="36">
        <f>VLOOKUP($A26,[26]HISTOSEPT25!$A$6:$AU$51,43,0)</f>
        <v>0</v>
      </c>
      <c r="AD26" s="36">
        <f>VLOOKUP($A26,[26]HISTOSEPT25!$A$6:$BR$51,47,0)</f>
        <v>0</v>
      </c>
      <c r="AE26" s="36">
        <f>VLOOKUP(A26,[26]HISTOSEPT25!$A$6:$BR$51,54,0)</f>
        <v>0</v>
      </c>
      <c r="AF26" s="36">
        <f>VLOOKUP($A26,[26]HISTOSEPT25!$A$6:$BR$51,60,0)</f>
        <v>0</v>
      </c>
      <c r="AG26" s="36">
        <f>VLOOKUP($A26,[26]HISTOSEPT25!$A$6:$CB$51,61,0)</f>
        <v>0</v>
      </c>
      <c r="AH26" s="36">
        <f>VLOOKUP($A26,[26]HISTOSEPT25!$A$6:$CB$51,62,0)</f>
        <v>0</v>
      </c>
      <c r="AI26" s="36">
        <f>VLOOKUP($A26,[26]HISTOSEPT25!$A$6:$CB$51,63,0)</f>
        <v>0</v>
      </c>
      <c r="AJ26" s="36">
        <f>VLOOKUP($A26,[26]HISTOSEPT25!$A$6:$BR$51,64,0)</f>
        <v>0</v>
      </c>
      <c r="AK26" s="36">
        <f>VLOOKUP($A26,[26]HISTOSEPT25!$A$6:$BR$51,65,0)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VLOOKUP($A27,[26]HISTOSEPT25!$A$6:$BA$51,48,0)</f>
        <v>0</v>
      </c>
      <c r="F27" s="36">
        <f>VLOOKUP(A27,MVTAOUT25!A27:AM62,6,0)+MVTAOUT25!H27-E27+L27</f>
        <v>1025815.3942024417</v>
      </c>
      <c r="G27" s="5">
        <f>IF(MVTSEPT25!F27&gt;800000,(MVTAVRIL25!I27-E27+L27),0)</f>
        <v>956755.99987830815</v>
      </c>
      <c r="H27" s="36">
        <f>VLOOKUP(A27,[27]MVTSEPT25!$A$6:$AM$42,8,0)</f>
        <v>0</v>
      </c>
      <c r="I27" s="6">
        <f t="shared" si="1"/>
        <v>1025815.3942024417</v>
      </c>
      <c r="J27" s="36">
        <f>VLOOKUP($A27,[26]HISTOSEPT25!$A$6:$AQ$51,22,0)</f>
        <v>0</v>
      </c>
      <c r="K27" s="36">
        <f>VLOOKUP($A27,[26]HISTOSEPT25!$A$6:$AU$51,45,0)</f>
        <v>24000</v>
      </c>
      <c r="L27" s="36">
        <f t="shared" si="2"/>
        <v>18000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VLOOKUP($A27,[26]HISTOSEPT25!$A$6:$AU$51,8,0)</f>
        <v>0</v>
      </c>
      <c r="Q27" s="36">
        <f>VLOOKUP($A27,[26]HISTOSEPT25!$A$6:$AU$51,23,0)</f>
        <v>0</v>
      </c>
      <c r="R27" s="36">
        <f>VLOOKUP($A27,[26]HISTOSEPT25!$A$6:$AU$51,46,0)</f>
        <v>0</v>
      </c>
      <c r="S27" s="36">
        <f>VLOOKUP($A27,[26]HISTOSEPT25!$A$6:$AU$51,26,0)</f>
        <v>0</v>
      </c>
      <c r="T27" s="36">
        <f>VLOOKUP($A27,[26]HISTOSEPT25!$A$6:$BG$51,58,0)</f>
        <v>0</v>
      </c>
      <c r="U27" s="36">
        <f>VLOOKUP($A27,[26]HISTOSEPT25!$A$6:$AU$51,28,0)</f>
        <v>0</v>
      </c>
      <c r="V27" s="36">
        <f>VLOOKUP($A27,[26]HISTOSEPT25!$A$6:$AU$51,19,0)</f>
        <v>0</v>
      </c>
      <c r="W27" s="36">
        <f>VLOOKUP($A27,[26]HISTOSEPT25!$A$6:$AU$51,20,0)</f>
        <v>0</v>
      </c>
      <c r="X27" s="36">
        <f>VLOOKUP($A27,[26]HISTOSEPT25!$A$6:$AU$51,27,0)</f>
        <v>0</v>
      </c>
      <c r="Y27" s="36">
        <f>VLOOKUP($A27,[26]HISTOSEPT25!$A$6:$BM$51,33,0)</f>
        <v>0</v>
      </c>
      <c r="Z27" s="36">
        <f>VLOOKUP($A27,[26]HISTOSEPT25!$A$6:$BM$51,64,0)</f>
        <v>0</v>
      </c>
      <c r="AA27" s="36"/>
      <c r="AB27" s="36">
        <f>VLOOKUP($A27,[26]HISTOSEPT25!$A$6:$AU$51,44,0)</f>
        <v>0</v>
      </c>
      <c r="AC27" s="36">
        <f>VLOOKUP($A27,[26]HISTOSEPT25!$A$6:$AU$51,43,0)</f>
        <v>0</v>
      </c>
      <c r="AD27" s="36">
        <f>VLOOKUP($A27,[26]HISTOSEPT25!$A$6:$BR$51,47,0)</f>
        <v>0</v>
      </c>
      <c r="AE27" s="36">
        <f>VLOOKUP(A27,[26]HISTOSEPT25!$A$6:$BR$51,54,0)</f>
        <v>0</v>
      </c>
      <c r="AF27" s="36">
        <f>VLOOKUP($A27,[26]HISTOSEPT25!$A$6:$BR$51,60,0)</f>
        <v>0</v>
      </c>
      <c r="AG27" s="36">
        <f>VLOOKUP($A27,[26]HISTOSEPT25!$A$6:$CB$51,61,0)</f>
        <v>0</v>
      </c>
      <c r="AH27" s="36">
        <f>VLOOKUP($A27,[26]HISTOSEPT25!$A$6:$CB$51,62,0)</f>
        <v>0</v>
      </c>
      <c r="AI27" s="36">
        <f>VLOOKUP($A27,[26]HISTOSEPT25!$A$6:$CB$51,63,0)</f>
        <v>0</v>
      </c>
      <c r="AJ27" s="36">
        <f>VLOOKUP($A27,[26]HISTOSEPT25!$A$6:$BR$51,64,0)</f>
        <v>0</v>
      </c>
      <c r="AK27" s="36">
        <f>VLOOKUP($A27,[26]HISTOSEPT25!$A$6:$BR$51,65,0)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VLOOKUP($A28,[26]HISTOSEPT25!$A$6:$BA$51,48,0)</f>
        <v>0</v>
      </c>
      <c r="F28" s="36">
        <f>VLOOKUP(A28,MVTAOUT25!A28:AM63,6,0)+MVTAOUT25!H28-E28+L28</f>
        <v>1054606.7960122074</v>
      </c>
      <c r="G28" s="5">
        <f>IF(MVTSEPT25!F28&gt;800000,(MVTAVRIL25!I28-E28+L28),0)</f>
        <v>973433.62548817939</v>
      </c>
      <c r="H28" s="36">
        <f>VLOOKUP(A28,[27]MVTSEPT25!$A$6:$AM$42,8,0)</f>
        <v>0</v>
      </c>
      <c r="I28" s="6">
        <f t="shared" si="1"/>
        <v>1054606.7960122074</v>
      </c>
      <c r="J28" s="36">
        <f>VLOOKUP($A28,[26]HISTOSEPT25!$A$6:$AQ$51,22,0)</f>
        <v>0</v>
      </c>
      <c r="K28" s="36">
        <f>VLOOKUP($A28,[26]HISTOSEPT25!$A$6:$AU$51,45,0)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VLOOKUP($A28,[26]HISTOSEPT25!$A$6:$AU$51,8,0)</f>
        <v>0</v>
      </c>
      <c r="Q28" s="36">
        <f>VLOOKUP($A28,[26]HISTOSEPT25!$A$6:$AU$51,23,0)</f>
        <v>0</v>
      </c>
      <c r="R28" s="36">
        <f>VLOOKUP($A28,[26]HISTOSEPT25!$A$6:$AU$51,46,0)</f>
        <v>0</v>
      </c>
      <c r="S28" s="36">
        <f>VLOOKUP($A28,[26]HISTOSEPT25!$A$6:$AU$51,26,0)</f>
        <v>0</v>
      </c>
      <c r="T28" s="36">
        <f>VLOOKUP($A28,[26]HISTOSEPT25!$A$6:$BG$51,58,0)</f>
        <v>0</v>
      </c>
      <c r="U28" s="36">
        <f>VLOOKUP($A28,[26]HISTOSEPT25!$A$6:$AU$51,28,0)</f>
        <v>0</v>
      </c>
      <c r="V28" s="36">
        <f>VLOOKUP($A28,[26]HISTOSEPT25!$A$6:$AU$51,19,0)</f>
        <v>0</v>
      </c>
      <c r="W28" s="36">
        <f>VLOOKUP($A28,[26]HISTOSEPT25!$A$6:$AU$51,20,0)</f>
        <v>0</v>
      </c>
      <c r="X28" s="36">
        <f>VLOOKUP($A28,[26]HISTOSEPT25!$A$6:$AU$51,27,0)</f>
        <v>0</v>
      </c>
      <c r="Y28" s="36">
        <f>VLOOKUP($A28,[26]HISTOSEPT25!$A$6:$BM$51,33,0)</f>
        <v>0</v>
      </c>
      <c r="Z28" s="36">
        <f>VLOOKUP($A28,[26]HISTOSEPT25!$A$6:$BM$51,64,0)</f>
        <v>0</v>
      </c>
      <c r="AA28" s="36"/>
      <c r="AB28" s="36">
        <f>VLOOKUP($A28,[26]HISTOSEPT25!$A$6:$AU$51,44,0)</f>
        <v>0</v>
      </c>
      <c r="AC28" s="36">
        <f>VLOOKUP($A28,[26]HISTOSEPT25!$A$6:$AU$51,43,0)</f>
        <v>0</v>
      </c>
      <c r="AD28" s="36">
        <f>VLOOKUP($A28,[26]HISTOSEPT25!$A$6:$BR$51,47,0)</f>
        <v>0</v>
      </c>
      <c r="AE28" s="36">
        <f>VLOOKUP(A28,[26]HISTOSEPT25!$A$6:$BR$51,54,0)</f>
        <v>0</v>
      </c>
      <c r="AF28" s="36">
        <f>VLOOKUP($A28,[26]HISTOSEPT25!$A$6:$BR$51,60,0)</f>
        <v>0</v>
      </c>
      <c r="AG28" s="36">
        <f>VLOOKUP($A28,[26]HISTOSEPT25!$A$6:$CB$51,61,0)</f>
        <v>0</v>
      </c>
      <c r="AH28" s="36">
        <f>VLOOKUP($A28,[26]HISTOSEPT25!$A$6:$CB$51,62,0)</f>
        <v>0</v>
      </c>
      <c r="AI28" s="36">
        <f>VLOOKUP($A28,[26]HISTOSEPT25!$A$6:$CB$51,63,0)</f>
        <v>0</v>
      </c>
      <c r="AJ28" s="36">
        <f>VLOOKUP($A28,[26]HISTOSEPT25!$A$6:$BR$51,64,0)</f>
        <v>0</v>
      </c>
      <c r="AK28" s="36">
        <f>VLOOKUP($A28,[26]HISTOSEPT25!$A$6:$BR$51,65,0)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VLOOKUP($A29,[26]HISTOSEPT25!$A$6:$BA$51,48,0)</f>
        <v>0</v>
      </c>
      <c r="F29" s="36">
        <f>VLOOKUP(A29,MVTAOUT25!A29:AM64,6,0)+MVTAOUT25!H29-E29+L29</f>
        <v>1016588.4404967877</v>
      </c>
      <c r="G29" s="5">
        <f>IF(MVTSEPT25!F29&gt;800000,(MVTAVRIL25!I29-E29+L29),0)</f>
        <v>935610.21840677003</v>
      </c>
      <c r="H29" s="36">
        <f>VLOOKUP(A29,[27]MVTSEPT25!$A$6:$AM$42,8,0)</f>
        <v>0</v>
      </c>
      <c r="I29" s="6">
        <f t="shared" si="1"/>
        <v>1016588.4404967877</v>
      </c>
      <c r="J29" s="36">
        <f>VLOOKUP($A29,[26]HISTOSEPT25!$A$6:$AQ$51,22,0)</f>
        <v>0</v>
      </c>
      <c r="K29" s="36">
        <f>VLOOKUP($A29,[26]HISTOSEPT25!$A$6:$AU$51,45,0)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VLOOKUP($A29,[26]HISTOSEPT25!$A$6:$AU$51,8,0)</f>
        <v>0</v>
      </c>
      <c r="Q29" s="36">
        <f>VLOOKUP($A29,[26]HISTOSEPT25!$A$6:$AU$51,23,0)</f>
        <v>0</v>
      </c>
      <c r="R29" s="36">
        <f>VLOOKUP($A29,[26]HISTOSEPT25!$A$6:$AU$51,46,0)</f>
        <v>0</v>
      </c>
      <c r="S29" s="36">
        <f>VLOOKUP($A29,[26]HISTOSEPT25!$A$6:$AU$51,26,0)</f>
        <v>0</v>
      </c>
      <c r="T29" s="36">
        <f>VLOOKUP($A29,[26]HISTOSEPT25!$A$6:$BG$51,58,0)</f>
        <v>0</v>
      </c>
      <c r="U29" s="36">
        <f>VLOOKUP($A29,[26]HISTOSEPT25!$A$6:$AU$51,28,0)</f>
        <v>0</v>
      </c>
      <c r="V29" s="36">
        <f>VLOOKUP($A29,[26]HISTOSEPT25!$A$6:$AU$51,19,0)</f>
        <v>0</v>
      </c>
      <c r="W29" s="36">
        <f>VLOOKUP($A29,[26]HISTOSEPT25!$A$6:$AU$51,20,0)</f>
        <v>0</v>
      </c>
      <c r="X29" s="36">
        <f>VLOOKUP($A29,[26]HISTOSEPT25!$A$6:$AU$51,27,0)</f>
        <v>0</v>
      </c>
      <c r="Y29" s="36">
        <f>VLOOKUP($A29,[26]HISTOSEPT25!$A$6:$BM$51,33,0)</f>
        <v>0</v>
      </c>
      <c r="Z29" s="36">
        <f>VLOOKUP($A29,[26]HISTOSEPT25!$A$6:$BM$51,64,0)</f>
        <v>0</v>
      </c>
      <c r="AA29" s="36"/>
      <c r="AB29" s="36">
        <f>VLOOKUP($A29,[26]HISTOSEPT25!$A$6:$AU$51,44,0)</f>
        <v>0</v>
      </c>
      <c r="AC29" s="36">
        <f>VLOOKUP($A29,[26]HISTOSEPT25!$A$6:$AU$51,43,0)</f>
        <v>0</v>
      </c>
      <c r="AD29" s="36">
        <f>VLOOKUP($A29,[26]HISTOSEPT25!$A$6:$BR$51,47,0)</f>
        <v>0</v>
      </c>
      <c r="AE29" s="36">
        <f>VLOOKUP(A29,[26]HISTOSEPT25!$A$6:$BR$51,54,0)</f>
        <v>0</v>
      </c>
      <c r="AF29" s="36">
        <f>VLOOKUP($A29,[26]HISTOSEPT25!$A$6:$BR$51,60,0)</f>
        <v>0</v>
      </c>
      <c r="AG29" s="36">
        <f>VLOOKUP($A29,[26]HISTOSEPT25!$A$6:$CB$51,61,0)</f>
        <v>0</v>
      </c>
      <c r="AH29" s="36">
        <f>VLOOKUP($A29,[26]HISTOSEPT25!$A$6:$CB$51,62,0)</f>
        <v>0</v>
      </c>
      <c r="AI29" s="36">
        <f>VLOOKUP($A29,[26]HISTOSEPT25!$A$6:$CB$51,63,0)</f>
        <v>0</v>
      </c>
      <c r="AJ29" s="36">
        <f>VLOOKUP($A29,[26]HISTOSEPT25!$A$6:$BR$51,64,0)</f>
        <v>0</v>
      </c>
      <c r="AK29" s="36">
        <f>VLOOKUP($A29,[26]HISTOSEPT25!$A$6:$BR$51,65,0)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VLOOKUP($A30,[26]HISTOSEPT25!$A$6:$BA$51,48,0)</f>
        <v>0</v>
      </c>
      <c r="F30" s="36">
        <f>VLOOKUP(A30,MVTAOUT25!A30:AM65,6,0)+MVTAOUT25!H30-E30+L30</f>
        <v>1178829.2461572213</v>
      </c>
      <c r="G30" s="5">
        <f>IF(MVTSEPT25!F30&gt;800000,(MVTAVRIL25!I30-E30+L30),0)</f>
        <v>1097019.0945803211</v>
      </c>
      <c r="H30" s="36">
        <f>VLOOKUP(A30,[27]MVTSEPT25!$A$6:$AM$42,8,0)</f>
        <v>0</v>
      </c>
      <c r="I30" s="6">
        <f t="shared" si="1"/>
        <v>1178829.2461572213</v>
      </c>
      <c r="J30" s="36">
        <f>VLOOKUP($A30,[26]HISTOSEPT25!$A$6:$AQ$51,22,0)</f>
        <v>0</v>
      </c>
      <c r="K30" s="36">
        <f>VLOOKUP($A30,[26]HISTOSEPT25!$A$6:$AU$51,45,0)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VLOOKUP($A30,[26]HISTOSEPT25!$A$6:$AU$51,8,0)</f>
        <v>0</v>
      </c>
      <c r="Q30" s="36">
        <f>VLOOKUP($A30,[26]HISTOSEPT25!$A$6:$AU$51,23,0)</f>
        <v>0</v>
      </c>
      <c r="R30" s="36">
        <f>VLOOKUP($A30,[26]HISTOSEPT25!$A$6:$AU$51,46,0)</f>
        <v>0</v>
      </c>
      <c r="S30" s="36">
        <f>VLOOKUP($A30,[26]HISTOSEPT25!$A$6:$AU$51,26,0)</f>
        <v>0</v>
      </c>
      <c r="T30" s="36">
        <f>VLOOKUP($A30,[26]HISTOSEPT25!$A$6:$BG$51,58,0)</f>
        <v>0</v>
      </c>
      <c r="U30" s="36">
        <f>VLOOKUP($A30,[26]HISTOSEPT25!$A$6:$AU$51,28,0)</f>
        <v>0</v>
      </c>
      <c r="V30" s="36">
        <f>VLOOKUP($A30,[26]HISTOSEPT25!$A$6:$AU$51,19,0)</f>
        <v>0</v>
      </c>
      <c r="W30" s="36">
        <f>VLOOKUP($A30,[26]HISTOSEPT25!$A$6:$AU$51,20,0)</f>
        <v>0</v>
      </c>
      <c r="X30" s="36">
        <f>VLOOKUP($A30,[26]HISTOSEPT25!$A$6:$AU$51,27,0)</f>
        <v>0</v>
      </c>
      <c r="Y30" s="36">
        <f>VLOOKUP($A30,[26]HISTOSEPT25!$A$6:$BM$51,33,0)</f>
        <v>0</v>
      </c>
      <c r="Z30" s="36">
        <f>VLOOKUP($A30,[26]HISTOSEPT25!$A$6:$BM$51,64,0)</f>
        <v>0</v>
      </c>
      <c r="AA30" s="36"/>
      <c r="AB30" s="36">
        <f>VLOOKUP($A30,[26]HISTOSEPT25!$A$6:$AU$51,44,0)</f>
        <v>0</v>
      </c>
      <c r="AC30" s="36">
        <f>VLOOKUP($A30,[26]HISTOSEPT25!$A$6:$AU$51,43,0)</f>
        <v>0</v>
      </c>
      <c r="AD30" s="36">
        <f>VLOOKUP($A30,[26]HISTOSEPT25!$A$6:$BR$51,47,0)</f>
        <v>0</v>
      </c>
      <c r="AE30" s="36">
        <f>VLOOKUP(A30,[26]HISTOSEPT25!$A$6:$BR$51,54,0)</f>
        <v>0</v>
      </c>
      <c r="AF30" s="36">
        <f>VLOOKUP($A30,[26]HISTOSEPT25!$A$6:$BR$51,60,0)</f>
        <v>0</v>
      </c>
      <c r="AG30" s="36">
        <f>VLOOKUP($A30,[26]HISTOSEPT25!$A$6:$CB$51,61,0)</f>
        <v>0</v>
      </c>
      <c r="AH30" s="36">
        <f>VLOOKUP($A30,[26]HISTOSEPT25!$A$6:$CB$51,62,0)</f>
        <v>0</v>
      </c>
      <c r="AI30" s="36">
        <f>VLOOKUP($A30,[26]HISTOSEPT25!$A$6:$CB$51,63,0)</f>
        <v>0</v>
      </c>
      <c r="AJ30" s="36">
        <f>VLOOKUP($A30,[26]HISTOSEPT25!$A$6:$BR$51,64,0)</f>
        <v>0</v>
      </c>
      <c r="AK30" s="36">
        <f>VLOOKUP($A30,[26]HISTOSEPT25!$A$6:$BR$51,65,0)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VLOOKUP($A31,[26]HISTOSEPT25!$A$6:$BA$51,48,0)</f>
        <v>0</v>
      </c>
      <c r="F31" s="36">
        <f>VLOOKUP(A31,MVTAOUT25!A31:AM66,6,0)+MVTAOUT25!H31-E31+L31</f>
        <v>1024330.6712211896</v>
      </c>
      <c r="G31" s="5">
        <f>IF(MVTSEPT25!F31&gt;800000,(MVTAVRIL25!I31-E31+L31),0)</f>
        <v>943312.74894595868</v>
      </c>
      <c r="H31" s="36">
        <f>VLOOKUP(A31,[27]MVTSEPT25!$A$6:$AM$42,8,0)</f>
        <v>0</v>
      </c>
      <c r="I31" s="6">
        <f t="shared" si="1"/>
        <v>1024330.6712211896</v>
      </c>
      <c r="J31" s="36">
        <f>VLOOKUP($A31,[26]HISTOSEPT25!$A$6:$AQ$51,22,0)</f>
        <v>0</v>
      </c>
      <c r="K31" s="36">
        <f>VLOOKUP($A31,[26]HISTOSEPT25!$A$6:$AU$51,45,0)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VLOOKUP($A31,[26]HISTOSEPT25!$A$6:$AU$51,8,0)</f>
        <v>0</v>
      </c>
      <c r="Q31" s="36">
        <f>VLOOKUP($A31,[26]HISTOSEPT25!$A$6:$AU$51,23,0)</f>
        <v>0</v>
      </c>
      <c r="R31" s="36">
        <f>VLOOKUP($A31,[26]HISTOSEPT25!$A$6:$AU$51,46,0)</f>
        <v>0</v>
      </c>
      <c r="S31" s="36">
        <f>VLOOKUP($A31,[26]HISTOSEPT25!$A$6:$AU$51,26,0)</f>
        <v>0</v>
      </c>
      <c r="T31" s="36">
        <f>VLOOKUP($A31,[26]HISTOSEPT25!$A$6:$BG$51,58,0)</f>
        <v>0</v>
      </c>
      <c r="U31" s="36">
        <f>VLOOKUP($A31,[26]HISTOSEPT25!$A$6:$AU$51,28,0)</f>
        <v>0</v>
      </c>
      <c r="V31" s="36">
        <f>VLOOKUP($A31,[26]HISTOSEPT25!$A$6:$AU$51,19,0)</f>
        <v>0</v>
      </c>
      <c r="W31" s="36">
        <f>VLOOKUP($A31,[26]HISTOSEPT25!$A$6:$AU$51,20,0)</f>
        <v>0</v>
      </c>
      <c r="X31" s="36">
        <f>VLOOKUP($A31,[26]HISTOSEPT25!$A$6:$AU$51,27,0)</f>
        <v>0</v>
      </c>
      <c r="Y31" s="36">
        <f>VLOOKUP($A31,[26]HISTOSEPT25!$A$6:$BM$51,33,0)</f>
        <v>0</v>
      </c>
      <c r="Z31" s="36">
        <f>VLOOKUP($A31,[26]HISTOSEPT25!$A$6:$BM$51,64,0)</f>
        <v>0</v>
      </c>
      <c r="AA31" s="36"/>
      <c r="AB31" s="36">
        <f>VLOOKUP($A31,[26]HISTOSEPT25!$A$6:$AU$51,44,0)</f>
        <v>0</v>
      </c>
      <c r="AC31" s="36">
        <f>VLOOKUP($A31,[26]HISTOSEPT25!$A$6:$AU$51,43,0)</f>
        <v>0</v>
      </c>
      <c r="AD31" s="36">
        <f>VLOOKUP($A31,[26]HISTOSEPT25!$A$6:$BR$51,47,0)</f>
        <v>0</v>
      </c>
      <c r="AE31" s="36">
        <f>VLOOKUP(A31,[26]HISTOSEPT25!$A$6:$BR$51,54,0)</f>
        <v>0</v>
      </c>
      <c r="AF31" s="36">
        <f>VLOOKUP($A31,[26]HISTOSEPT25!$A$6:$BR$51,60,0)</f>
        <v>0</v>
      </c>
      <c r="AG31" s="36">
        <f>VLOOKUP($A31,[26]HISTOSEPT25!$A$6:$CB$51,61,0)</f>
        <v>0</v>
      </c>
      <c r="AH31" s="36">
        <f>VLOOKUP($A31,[26]HISTOSEPT25!$A$6:$CB$51,62,0)</f>
        <v>0</v>
      </c>
      <c r="AI31" s="36">
        <f>VLOOKUP($A31,[26]HISTOSEPT25!$A$6:$CB$51,63,0)</f>
        <v>0</v>
      </c>
      <c r="AJ31" s="36">
        <f>VLOOKUP($A31,[26]HISTOSEPT25!$A$6:$BR$51,64,0)</f>
        <v>0</v>
      </c>
      <c r="AK31" s="36">
        <f>VLOOKUP($A31,[26]HISTOSEPT25!$A$6:$BR$51,65,0)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VLOOKUP($A32,[26]HISTOSEPT25!$A$6:$BA$51,48,0)</f>
        <v>0</v>
      </c>
      <c r="F32" s="36">
        <f>VLOOKUP(A32,MVTAOUT25!A32:AM67,6,0)+MVTAOUT25!H32-E32+L32</f>
        <v>1120362.5759304503</v>
      </c>
      <c r="G32" s="5">
        <f>IF(MVTSEPT25!F32&gt;800000,(MVTAVRIL25!I32-E32+L32),0)</f>
        <v>1038852.2265319447</v>
      </c>
      <c r="H32" s="36">
        <f>VLOOKUP(A32,[27]MVTSEPT25!$A$6:$AM$42,8,0)</f>
        <v>0</v>
      </c>
      <c r="I32" s="6">
        <f t="shared" si="1"/>
        <v>1120362.5759304503</v>
      </c>
      <c r="J32" s="36">
        <f>VLOOKUP($A32,[26]HISTOSEPT25!$A$6:$AQ$51,22,0)</f>
        <v>0</v>
      </c>
      <c r="K32" s="36">
        <f>VLOOKUP($A32,[26]HISTOSEPT25!$A$6:$AU$51,45,0)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VLOOKUP($A32,[26]HISTOSEPT25!$A$6:$AU$51,8,0)</f>
        <v>0</v>
      </c>
      <c r="Q32" s="36">
        <f>VLOOKUP($A32,[26]HISTOSEPT25!$A$6:$AU$51,23,0)</f>
        <v>0</v>
      </c>
      <c r="R32" s="36">
        <f>VLOOKUP($A32,[26]HISTOSEPT25!$A$6:$AU$51,46,0)</f>
        <v>0</v>
      </c>
      <c r="S32" s="36">
        <f>VLOOKUP($A32,[26]HISTOSEPT25!$A$6:$AU$51,26,0)</f>
        <v>0</v>
      </c>
      <c r="T32" s="36">
        <f>VLOOKUP($A32,[26]HISTOSEPT25!$A$6:$BG$51,58,0)</f>
        <v>0</v>
      </c>
      <c r="U32" s="36">
        <f>VLOOKUP($A32,[26]HISTOSEPT25!$A$6:$AU$51,28,0)</f>
        <v>0</v>
      </c>
      <c r="V32" s="36">
        <f>VLOOKUP($A32,[26]HISTOSEPT25!$A$6:$AU$51,19,0)</f>
        <v>0</v>
      </c>
      <c r="W32" s="36">
        <f>VLOOKUP($A32,[26]HISTOSEPT25!$A$6:$AU$51,20,0)</f>
        <v>0</v>
      </c>
      <c r="X32" s="36">
        <f>VLOOKUP($A32,[26]HISTOSEPT25!$A$6:$AU$51,27,0)</f>
        <v>0</v>
      </c>
      <c r="Y32" s="36">
        <f>VLOOKUP($A32,[26]HISTOSEPT25!$A$6:$BM$51,33,0)</f>
        <v>0</v>
      </c>
      <c r="Z32" s="36">
        <f>VLOOKUP($A32,[26]HISTOSEPT25!$A$6:$BM$51,64,0)</f>
        <v>0</v>
      </c>
      <c r="AA32" s="36"/>
      <c r="AB32" s="36">
        <f>VLOOKUP($A32,[26]HISTOSEPT25!$A$6:$AU$51,44,0)</f>
        <v>0</v>
      </c>
      <c r="AC32" s="36">
        <f>VLOOKUP($A32,[26]HISTOSEPT25!$A$6:$AU$51,43,0)</f>
        <v>0</v>
      </c>
      <c r="AD32" s="36">
        <f>VLOOKUP($A32,[26]HISTOSEPT25!$A$6:$BR$51,47,0)</f>
        <v>0</v>
      </c>
      <c r="AE32" s="36">
        <f>VLOOKUP(A32,[26]HISTOSEPT25!$A$6:$BR$51,54,0)</f>
        <v>0</v>
      </c>
      <c r="AF32" s="36">
        <f>VLOOKUP($A32,[26]HISTOSEPT25!$A$6:$BR$51,60,0)</f>
        <v>0</v>
      </c>
      <c r="AG32" s="36">
        <f>VLOOKUP($A32,[26]HISTOSEPT25!$A$6:$CB$51,61,0)</f>
        <v>0</v>
      </c>
      <c r="AH32" s="36">
        <f>VLOOKUP($A32,[26]HISTOSEPT25!$A$6:$CB$51,62,0)</f>
        <v>0</v>
      </c>
      <c r="AI32" s="36">
        <f>VLOOKUP($A32,[26]HISTOSEPT25!$A$6:$CB$51,63,0)</f>
        <v>0</v>
      </c>
      <c r="AJ32" s="36">
        <f>VLOOKUP($A32,[26]HISTOSEPT25!$A$6:$BR$51,64,0)</f>
        <v>0</v>
      </c>
      <c r="AK32" s="36">
        <f>VLOOKUP($A32,[26]HISTOSEPT25!$A$6:$BR$51,65,0)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VLOOKUP($A33,[26]HISTOSEPT25!$A$6:$BA$51,48,0)</f>
        <v>0</v>
      </c>
      <c r="F33" s="36">
        <f>VLOOKUP(A33,MVTAOUT25!A33:AM68,6,0)+MVTAOUT25!H33-E33+L33</f>
        <v>159000</v>
      </c>
      <c r="G33" s="5">
        <f>IF(MVTSEPT25!F33&gt;800000,(MVTAVRIL25!I33-E33+L33),0)</f>
        <v>0</v>
      </c>
      <c r="H33" s="36">
        <f>VLOOKUP(A33,[27]MVTSEPT25!$A$6:$AM$42,8,0)</f>
        <v>0</v>
      </c>
      <c r="I33" s="6">
        <f t="shared" si="1"/>
        <v>159000</v>
      </c>
      <c r="J33" s="36">
        <f>VLOOKUP($A33,[26]HISTOSEPT25!$A$6:$AQ$51,22,0)</f>
        <v>0</v>
      </c>
      <c r="K33" s="36">
        <f>VLOOKUP($A33,[26]HISTOSEPT25!$A$6:$AU$51,45,0)</f>
        <v>25000</v>
      </c>
      <c r="L33" s="36">
        <f t="shared" si="2"/>
        <v>19000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VLOOKUP($A33,[26]HISTOSEPT25!$A$6:$AU$51,8,0)</f>
        <v>0</v>
      </c>
      <c r="Q33" s="36">
        <f>VLOOKUP($A33,[26]HISTOSEPT25!$A$6:$AU$51,23,0)</f>
        <v>0</v>
      </c>
      <c r="R33" s="36">
        <f>VLOOKUP($A33,[26]HISTOSEPT25!$A$6:$AU$51,46,0)</f>
        <v>0</v>
      </c>
      <c r="S33" s="36">
        <f>VLOOKUP($A33,[26]HISTOSEPT25!$A$6:$AU$51,26,0)</f>
        <v>0</v>
      </c>
      <c r="T33" s="36">
        <f>VLOOKUP($A33,[26]HISTOSEPT25!$A$6:$BG$51,58,0)</f>
        <v>0</v>
      </c>
      <c r="U33" s="36">
        <f>VLOOKUP($A33,[26]HISTOSEPT25!$A$6:$AU$51,28,0)</f>
        <v>0</v>
      </c>
      <c r="V33" s="36">
        <f>VLOOKUP($A33,[26]HISTOSEPT25!$A$6:$AU$51,19,0)</f>
        <v>0</v>
      </c>
      <c r="W33" s="36">
        <f>VLOOKUP($A33,[26]HISTOSEPT25!$A$6:$AU$51,20,0)</f>
        <v>0</v>
      </c>
      <c r="X33" s="36">
        <f>VLOOKUP($A33,[26]HISTOSEPT25!$A$6:$AU$51,27,0)</f>
        <v>0</v>
      </c>
      <c r="Y33" s="36">
        <f>VLOOKUP($A33,[26]HISTOSEPT25!$A$6:$BM$51,33,0)</f>
        <v>0</v>
      </c>
      <c r="Z33" s="36">
        <f>VLOOKUP($A33,[26]HISTOSEPT25!$A$6:$BM$51,64,0)</f>
        <v>0</v>
      </c>
      <c r="AA33" s="36"/>
      <c r="AB33" s="36">
        <f>VLOOKUP($A33,[26]HISTOSEPT25!$A$6:$AU$51,44,0)</f>
        <v>0</v>
      </c>
      <c r="AC33" s="36">
        <f>VLOOKUP($A33,[26]HISTOSEPT25!$A$6:$AU$51,43,0)</f>
        <v>0</v>
      </c>
      <c r="AD33" s="36">
        <f>VLOOKUP($A33,[26]HISTOSEPT25!$A$6:$BR$51,47,0)</f>
        <v>0</v>
      </c>
      <c r="AE33" s="36">
        <f>VLOOKUP(A33,[26]HISTOSEPT25!$A$6:$BR$51,54,0)</f>
        <v>0</v>
      </c>
      <c r="AF33" s="36">
        <f>VLOOKUP($A33,[26]HISTOSEPT25!$A$6:$BR$51,60,0)</f>
        <v>0</v>
      </c>
      <c r="AG33" s="36">
        <f>VLOOKUP($A33,[26]HISTOSEPT25!$A$6:$CB$51,61,0)</f>
        <v>0</v>
      </c>
      <c r="AH33" s="36">
        <f>VLOOKUP($A33,[26]HISTOSEPT25!$A$6:$CB$51,62,0)</f>
        <v>0</v>
      </c>
      <c r="AI33" s="36">
        <f>VLOOKUP($A33,[26]HISTOSEPT25!$A$6:$CB$51,63,0)</f>
        <v>0</v>
      </c>
      <c r="AJ33" s="36">
        <f>VLOOKUP($A33,[26]HISTOSEPT25!$A$6:$BR$51,64,0)</f>
        <v>0</v>
      </c>
      <c r="AK33" s="36">
        <f>VLOOKUP($A33,[26]HISTOSEPT25!$A$6:$BR$51,65,0)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VLOOKUP($A34,[26]HISTOSEPT25!$A$6:$BA$51,48,0)</f>
        <v>0</v>
      </c>
      <c r="F34" s="36">
        <f>VLOOKUP(A34,MVTAOUT25!A34:AM69,6,0)+MVTAOUT25!H34-E34+L34</f>
        <v>1071425.1636715028</v>
      </c>
      <c r="G34" s="5">
        <f>IF(MVTSEPT25!F34&gt;800000,(MVTAVRIL25!I34-E34+L34),0)</f>
        <v>985087.8813039019</v>
      </c>
      <c r="H34" s="36">
        <f>VLOOKUP(A34,[27]MVTSEPT25!$A$6:$AM$42,8,0)</f>
        <v>0</v>
      </c>
      <c r="I34" s="6">
        <f t="shared" si="1"/>
        <v>1071425.1636715028</v>
      </c>
      <c r="J34" s="36">
        <f>VLOOKUP($A34,[26]HISTOSEPT25!$A$6:$AQ$51,22,0)</f>
        <v>0</v>
      </c>
      <c r="K34" s="36">
        <f>VLOOKUP($A34,[26]HISTOSEPT25!$A$6:$AU$51,45,0)</f>
        <v>0</v>
      </c>
      <c r="L34" s="36">
        <f t="shared" si="2"/>
        <v>0</v>
      </c>
      <c r="M34" s="36">
        <f t="shared" si="3"/>
        <v>0</v>
      </c>
      <c r="N34" s="36">
        <f t="shared" si="0"/>
        <v>0</v>
      </c>
      <c r="O34" s="36">
        <f t="shared" si="4"/>
        <v>0</v>
      </c>
      <c r="P34" s="36">
        <f>VLOOKUP($A34,[26]HISTOSEPT25!$A$6:$AU$51,8,0)</f>
        <v>0</v>
      </c>
      <c r="Q34" s="36">
        <f>VLOOKUP($A34,[26]HISTOSEPT25!$A$6:$AU$51,23,0)</f>
        <v>0</v>
      </c>
      <c r="R34" s="36">
        <f>VLOOKUP($A34,[26]HISTOSEPT25!$A$6:$AU$51,46,0)</f>
        <v>0</v>
      </c>
      <c r="S34" s="36">
        <f>VLOOKUP($A34,[26]HISTOSEPT25!$A$6:$AU$51,26,0)</f>
        <v>0</v>
      </c>
      <c r="T34" s="36">
        <f>VLOOKUP($A34,[26]HISTOSEPT25!$A$6:$BG$51,58,0)</f>
        <v>0</v>
      </c>
      <c r="U34" s="36">
        <f>VLOOKUP($A34,[26]HISTOSEPT25!$A$6:$AU$51,28,0)</f>
        <v>0</v>
      </c>
      <c r="V34" s="36">
        <f>VLOOKUP($A34,[26]HISTOSEPT25!$A$6:$AU$51,19,0)</f>
        <v>0</v>
      </c>
      <c r="W34" s="36">
        <f>VLOOKUP($A34,[26]HISTOSEPT25!$A$6:$AU$51,20,0)</f>
        <v>0</v>
      </c>
      <c r="X34" s="36">
        <f>VLOOKUP($A34,[26]HISTOSEPT25!$A$6:$AU$51,27,0)</f>
        <v>0</v>
      </c>
      <c r="Y34" s="36">
        <f>VLOOKUP($A34,[26]HISTOSEPT25!$A$6:$BM$51,33,0)</f>
        <v>0</v>
      </c>
      <c r="Z34" s="36">
        <f>VLOOKUP($A34,[26]HISTOSEPT25!$A$6:$BM$51,64,0)</f>
        <v>0</v>
      </c>
      <c r="AA34" s="36"/>
      <c r="AB34" s="36">
        <f>VLOOKUP($A34,[26]HISTOSEPT25!$A$6:$AU$51,44,0)</f>
        <v>0</v>
      </c>
      <c r="AC34" s="36">
        <f>VLOOKUP($A34,[26]HISTOSEPT25!$A$6:$AU$51,43,0)</f>
        <v>0</v>
      </c>
      <c r="AD34" s="36">
        <f>VLOOKUP($A34,[26]HISTOSEPT25!$A$6:$BR$51,47,0)</f>
        <v>0</v>
      </c>
      <c r="AE34" s="36">
        <f>VLOOKUP(A34,[26]HISTOSEPT25!$A$6:$BR$51,54,0)</f>
        <v>0</v>
      </c>
      <c r="AF34" s="36">
        <f>VLOOKUP($A34,[26]HISTOSEPT25!$A$6:$BR$51,60,0)</f>
        <v>0</v>
      </c>
      <c r="AG34" s="36">
        <f>VLOOKUP($A34,[26]HISTOSEPT25!$A$6:$CB$51,61,0)</f>
        <v>0</v>
      </c>
      <c r="AH34" s="36">
        <f>VLOOKUP($A34,[26]HISTOSEPT25!$A$6:$CB$51,62,0)</f>
        <v>0</v>
      </c>
      <c r="AI34" s="36">
        <f>VLOOKUP($A34,[26]HISTOSEPT25!$A$6:$CB$51,63,0)</f>
        <v>0</v>
      </c>
      <c r="AJ34" s="36">
        <f>VLOOKUP($A34,[26]HISTOSEPT25!$A$6:$BR$51,64,0)</f>
        <v>0</v>
      </c>
      <c r="AK34" s="36">
        <f>VLOOKUP($A34,[26]HISTOSEPT25!$A$6:$BR$51,65,0)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VLOOKUP($A35,[26]HISTOSEPT25!$A$6:$BA$51,48,0)</f>
        <v>0</v>
      </c>
      <c r="F35" s="36">
        <f>VLOOKUP(A35,MVTAOUT25!A35:AM70,6,0)+MVTAOUT25!H35-E35+L35</f>
        <v>1041607.8547104672</v>
      </c>
      <c r="G35" s="5">
        <f>IF(MVTSEPT25!F35&gt;800000,(MVTAVRIL25!I35-E35+L35),0)</f>
        <v>960501.3394432544</v>
      </c>
      <c r="H35" s="36">
        <f>VLOOKUP(A35,[27]MVTSEPT25!$A$6:$AM$42,8,0)</f>
        <v>0</v>
      </c>
      <c r="I35" s="6">
        <f t="shared" si="1"/>
        <v>1041607.8547104672</v>
      </c>
      <c r="J35" s="36">
        <f>VLOOKUP($A35,[26]HISTOSEPT25!$A$6:$AQ$51,22,0)</f>
        <v>0</v>
      </c>
      <c r="K35" s="36">
        <f>VLOOKUP($A35,[26]HISTOSEPT25!$A$6:$AU$51,45,0)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VLOOKUP($A35,[26]HISTOSEPT25!$A$6:$AU$51,8,0)</f>
        <v>0</v>
      </c>
      <c r="Q35" s="36">
        <f>VLOOKUP($A35,[26]HISTOSEPT25!$A$6:$AU$51,23,0)</f>
        <v>0</v>
      </c>
      <c r="R35" s="36">
        <f>VLOOKUP($A35,[26]HISTOSEPT25!$A$6:$AU$51,46,0)</f>
        <v>0</v>
      </c>
      <c r="S35" s="36">
        <f>VLOOKUP($A35,[26]HISTOSEPT25!$A$6:$AU$51,26,0)</f>
        <v>0</v>
      </c>
      <c r="T35" s="36">
        <f>VLOOKUP($A35,[26]HISTOSEPT25!$A$6:$BG$51,58,0)</f>
        <v>0</v>
      </c>
      <c r="U35" s="36">
        <f>VLOOKUP($A35,[26]HISTOSEPT25!$A$6:$AU$51,28,0)</f>
        <v>0</v>
      </c>
      <c r="V35" s="36">
        <f>VLOOKUP($A35,[26]HISTOSEPT25!$A$6:$AU$51,19,0)</f>
        <v>0</v>
      </c>
      <c r="W35" s="36">
        <f>VLOOKUP($A35,[26]HISTOSEPT25!$A$6:$AU$51,20,0)</f>
        <v>0</v>
      </c>
      <c r="X35" s="36">
        <f>VLOOKUP($A35,[26]HISTOSEPT25!$A$6:$AU$51,27,0)</f>
        <v>0</v>
      </c>
      <c r="Y35" s="36">
        <f>VLOOKUP($A35,[26]HISTOSEPT25!$A$6:$BM$51,33,0)</f>
        <v>0</v>
      </c>
      <c r="Z35" s="36">
        <f>VLOOKUP($A35,[26]HISTOSEPT25!$A$6:$BM$51,64,0)</f>
        <v>0</v>
      </c>
      <c r="AA35" s="36"/>
      <c r="AB35" s="36">
        <f>VLOOKUP($A35,[26]HISTOSEPT25!$A$6:$AU$51,44,0)</f>
        <v>0</v>
      </c>
      <c r="AC35" s="36">
        <f>VLOOKUP($A35,[26]HISTOSEPT25!$A$6:$AU$51,43,0)</f>
        <v>0</v>
      </c>
      <c r="AD35" s="36">
        <f>VLOOKUP($A35,[26]HISTOSEPT25!$A$6:$BR$51,47,0)</f>
        <v>0</v>
      </c>
      <c r="AE35" s="36">
        <f>VLOOKUP(A35,[26]HISTOSEPT25!$A$6:$BR$51,54,0)</f>
        <v>0</v>
      </c>
      <c r="AF35" s="36">
        <f>VLOOKUP($A35,[26]HISTOSEPT25!$A$6:$BR$51,60,0)</f>
        <v>0</v>
      </c>
      <c r="AG35" s="36">
        <f>VLOOKUP($A35,[26]HISTOSEPT25!$A$6:$CB$51,61,0)</f>
        <v>0</v>
      </c>
      <c r="AH35" s="36">
        <f>VLOOKUP($A35,[26]HISTOSEPT25!$A$6:$CB$51,62,0)</f>
        <v>0</v>
      </c>
      <c r="AI35" s="36">
        <f>VLOOKUP($A35,[26]HISTOSEPT25!$A$6:$CB$51,63,0)</f>
        <v>0</v>
      </c>
      <c r="AJ35" s="36">
        <f>VLOOKUP($A35,[26]HISTOSEPT25!$A$6:$BR$51,64,0)</f>
        <v>0</v>
      </c>
      <c r="AK35" s="36">
        <f>VLOOKUP($A35,[26]HISTOSEPT25!$A$6:$BR$51,65,0)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VLOOKUP($A36,[26]HISTOSEPT25!$A$6:$BA$51,48,0)</f>
        <v>0</v>
      </c>
      <c r="F36" s="36">
        <f>VLOOKUP(A36,MVTAOUT25!A36:AM71,6,0)+MVTAOUT25!H36-E36+L36</f>
        <v>1031429.3330591441</v>
      </c>
      <c r="G36" s="5">
        <f>IF(MVTSEPT25!F36&gt;800000,(MVTAVRIL25!I36-E36+L36),0)</f>
        <v>950375.01065586659</v>
      </c>
      <c r="H36" s="36">
        <f>VLOOKUP(A36,[27]MVTSEPT25!$A$6:$AM$42,8,0)</f>
        <v>0</v>
      </c>
      <c r="I36" s="6">
        <f t="shared" si="1"/>
        <v>1031429.3330591441</v>
      </c>
      <c r="J36" s="36">
        <f>VLOOKUP($A36,[26]HISTOSEPT25!$A$6:$AQ$51,22,0)</f>
        <v>0</v>
      </c>
      <c r="K36" s="36">
        <f>VLOOKUP($A36,[26]HISTOSEPT25!$A$6:$AU$51,45,0)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VLOOKUP($A36,[26]HISTOSEPT25!$A$6:$AU$51,8,0)</f>
        <v>0</v>
      </c>
      <c r="Q36" s="36">
        <f>VLOOKUP($A36,[26]HISTOSEPT25!$A$6:$AU$51,23,0)</f>
        <v>0</v>
      </c>
      <c r="R36" s="36">
        <f>VLOOKUP($A36,[26]HISTOSEPT25!$A$6:$AU$51,46,0)</f>
        <v>0</v>
      </c>
      <c r="S36" s="36">
        <f>VLOOKUP($A36,[26]HISTOSEPT25!$A$6:$AU$51,26,0)</f>
        <v>0</v>
      </c>
      <c r="T36" s="36">
        <f>VLOOKUP($A36,[26]HISTOSEPT25!$A$6:$BG$51,58,0)</f>
        <v>0</v>
      </c>
      <c r="U36" s="36">
        <f>VLOOKUP($A36,[26]HISTOSEPT25!$A$6:$AU$51,28,0)</f>
        <v>0</v>
      </c>
      <c r="V36" s="36">
        <f>VLOOKUP($A36,[26]HISTOSEPT25!$A$6:$AU$51,19,0)</f>
        <v>0</v>
      </c>
      <c r="W36" s="36">
        <f>VLOOKUP($A36,[26]HISTOSEPT25!$A$6:$AU$51,20,0)</f>
        <v>0</v>
      </c>
      <c r="X36" s="36">
        <f>VLOOKUP($A36,[26]HISTOSEPT25!$A$6:$AU$51,27,0)</f>
        <v>0</v>
      </c>
      <c r="Y36" s="36">
        <f>VLOOKUP($A36,[26]HISTOSEPT25!$A$6:$BM$51,33,0)</f>
        <v>0</v>
      </c>
      <c r="Z36" s="36">
        <f>VLOOKUP($A36,[26]HISTOSEPT25!$A$6:$BM$51,64,0)</f>
        <v>0</v>
      </c>
      <c r="AA36" s="36"/>
      <c r="AB36" s="36">
        <f>VLOOKUP($A36,[26]HISTOSEPT25!$A$6:$AU$51,44,0)</f>
        <v>0</v>
      </c>
      <c r="AC36" s="36">
        <f>VLOOKUP($A36,[26]HISTOSEPT25!$A$6:$AU$51,43,0)</f>
        <v>0</v>
      </c>
      <c r="AD36" s="36">
        <f>VLOOKUP($A36,[26]HISTOSEPT25!$A$6:$BR$51,47,0)</f>
        <v>0</v>
      </c>
      <c r="AE36" s="36">
        <f>VLOOKUP(A36,[26]HISTOSEPT25!$A$6:$BR$51,54,0)</f>
        <v>0</v>
      </c>
      <c r="AF36" s="36">
        <f>VLOOKUP($A36,[26]HISTOSEPT25!$A$6:$BR$51,60,0)</f>
        <v>0</v>
      </c>
      <c r="AG36" s="36">
        <f>VLOOKUP($A36,[26]HISTOSEPT25!$A$6:$CB$51,61,0)</f>
        <v>0</v>
      </c>
      <c r="AH36" s="36">
        <f>VLOOKUP($A36,[26]HISTOSEPT25!$A$6:$CB$51,62,0)</f>
        <v>0</v>
      </c>
      <c r="AI36" s="36">
        <f>VLOOKUP($A36,[26]HISTOSEPT25!$A$6:$CB$51,63,0)</f>
        <v>0</v>
      </c>
      <c r="AJ36" s="36">
        <f>VLOOKUP($A36,[26]HISTOSEPT25!$A$6:$BR$51,64,0)</f>
        <v>0</v>
      </c>
      <c r="AK36" s="36">
        <f>VLOOKUP($A36,[26]HISTOSEPT25!$A$6:$BR$51,65,0)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VLOOKUP($A37,[26]HISTOSEPT25!$A$6:$BA$51,48,0)</f>
        <v>0</v>
      </c>
      <c r="F37" s="36">
        <f>VLOOKUP(A37,MVTAOUT25!A37:AM72,6,0)+MVTAOUT25!H37-E37+L37</f>
        <v>655750</v>
      </c>
      <c r="G37" s="5">
        <f>IF(MVTSEPT25!F37&gt;800000,(MVTAVRIL25!I37-E37+L37),0)</f>
        <v>0</v>
      </c>
      <c r="H37" s="36">
        <f>VLOOKUP(A37,[27]MVTSEPT25!$A$6:$AM$42,8,0)</f>
        <v>0</v>
      </c>
      <c r="I37" s="6">
        <f t="shared" si="1"/>
        <v>655750</v>
      </c>
      <c r="J37" s="36">
        <f>VLOOKUP($A37,[26]HISTOSEPT25!$A$6:$AQ$51,22,0)</f>
        <v>0</v>
      </c>
      <c r="K37" s="36">
        <f>VLOOKUP($A37,[26]HISTOSEPT25!$A$6:$AU$51,45,0)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VLOOKUP($A37,[26]HISTOSEPT25!$A$6:$AU$51,8,0)</f>
        <v>0</v>
      </c>
      <c r="Q37" s="36">
        <f>VLOOKUP($A37,[26]HISTOSEPT25!$A$6:$AU$51,23,0)</f>
        <v>0</v>
      </c>
      <c r="R37" s="36">
        <f>VLOOKUP($A37,[26]HISTOSEPT25!$A$6:$AU$51,46,0)</f>
        <v>0</v>
      </c>
      <c r="S37" s="36">
        <f>VLOOKUP($A37,[26]HISTOSEPT25!$A$6:$AU$51,26,0)</f>
        <v>0</v>
      </c>
      <c r="T37" s="36">
        <f>VLOOKUP($A37,[26]HISTOSEPT25!$A$6:$BG$51,58,0)</f>
        <v>0</v>
      </c>
      <c r="U37" s="36">
        <f>VLOOKUP($A37,[26]HISTOSEPT25!$A$6:$AU$51,28,0)</f>
        <v>0</v>
      </c>
      <c r="V37" s="36">
        <f>VLOOKUP($A37,[26]HISTOSEPT25!$A$6:$AU$51,19,0)</f>
        <v>0</v>
      </c>
      <c r="W37" s="36">
        <f>VLOOKUP($A37,[26]HISTOSEPT25!$A$6:$AU$51,20,0)</f>
        <v>0</v>
      </c>
      <c r="X37" s="36">
        <f>VLOOKUP($A37,[26]HISTOSEPT25!$A$6:$AU$51,27,0)</f>
        <v>0</v>
      </c>
      <c r="Y37" s="36">
        <f>VLOOKUP($A37,[26]HISTOSEPT25!$A$6:$BM$51,33,0)</f>
        <v>0</v>
      </c>
      <c r="Z37" s="36">
        <f>VLOOKUP($A37,[26]HISTOSEPT25!$A$6:$BM$51,64,0)</f>
        <v>0</v>
      </c>
      <c r="AA37" s="36"/>
      <c r="AB37" s="36">
        <f>VLOOKUP($A37,[26]HISTOSEPT25!$A$6:$AU$51,44,0)</f>
        <v>0</v>
      </c>
      <c r="AC37" s="36">
        <f>VLOOKUP($A37,[26]HISTOSEPT25!$A$6:$AU$51,43,0)</f>
        <v>0</v>
      </c>
      <c r="AD37" s="36">
        <f>VLOOKUP($A37,[26]HISTOSEPT25!$A$6:$BR$51,47,0)</f>
        <v>0</v>
      </c>
      <c r="AE37" s="36">
        <f>VLOOKUP(A37,[26]HISTOSEPT25!$A$6:$BR$51,54,0)</f>
        <v>0</v>
      </c>
      <c r="AF37" s="36">
        <f>VLOOKUP($A37,[26]HISTOSEPT25!$A$6:$BR$51,60,0)</f>
        <v>0</v>
      </c>
      <c r="AG37" s="36">
        <f>VLOOKUP($A37,[26]HISTOSEPT25!$A$6:$CB$51,61,0)</f>
        <v>0</v>
      </c>
      <c r="AH37" s="36">
        <f>VLOOKUP($A37,[26]HISTOSEPT25!$A$6:$CB$51,62,0)</f>
        <v>0</v>
      </c>
      <c r="AI37" s="36">
        <f>VLOOKUP($A37,[26]HISTOSEPT25!$A$6:$CB$51,63,0)</f>
        <v>0</v>
      </c>
      <c r="AJ37" s="36">
        <f>VLOOKUP($A37,[26]HISTOSEPT25!$A$6:$BR$51,64,0)</f>
        <v>0</v>
      </c>
      <c r="AK37" s="36">
        <f>VLOOKUP($A37,[26]HISTOSEPT25!$A$6:$BR$51,65,0)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VLOOKUP($A38,[26]HISTOSEPT25!$A$6:$BA$51,48,0)</f>
        <v>0</v>
      </c>
      <c r="F38" s="36">
        <f>VLOOKUP(A38,MVTAOUT25!A38:AM73,6,0)+MVTAOUT25!H38-E38+L38</f>
        <v>159000</v>
      </c>
      <c r="G38" s="5">
        <f>IF(MVTSEPT25!F38&gt;800000,(MVTAVRIL25!I38-E38+L38),0)</f>
        <v>0</v>
      </c>
      <c r="H38" s="36">
        <f>VLOOKUP(A38,[27]MVTSEPT25!$A$6:$AM$42,8,0)</f>
        <v>0</v>
      </c>
      <c r="I38" s="6">
        <f t="shared" si="1"/>
        <v>159000</v>
      </c>
      <c r="J38" s="36">
        <f>VLOOKUP($A38,[26]HISTOSEPT25!$A$6:$AQ$51,22,0)</f>
        <v>0</v>
      </c>
      <c r="K38" s="36">
        <f>VLOOKUP($A38,[26]HISTOSEPT25!$A$6:$AU$51,45,0)</f>
        <v>25000</v>
      </c>
      <c r="L38" s="36">
        <f t="shared" si="2"/>
        <v>19000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VLOOKUP($A38,[26]HISTOSEPT25!$A$6:$AU$51,8,0)</f>
        <v>0</v>
      </c>
      <c r="Q38" s="36">
        <f>VLOOKUP($A38,[26]HISTOSEPT25!$A$6:$AU$51,23,0)</f>
        <v>0</v>
      </c>
      <c r="R38" s="36">
        <f>VLOOKUP($A38,[26]HISTOSEPT25!$A$6:$AU$51,46,0)</f>
        <v>0</v>
      </c>
      <c r="S38" s="36">
        <f>VLOOKUP($A38,[26]HISTOSEPT25!$A$6:$AU$51,26,0)</f>
        <v>0</v>
      </c>
      <c r="T38" s="36">
        <f>VLOOKUP($A38,[26]HISTOSEPT25!$A$6:$BG$51,58,0)</f>
        <v>0</v>
      </c>
      <c r="U38" s="36">
        <f>VLOOKUP($A38,[26]HISTOSEPT25!$A$6:$AU$51,28,0)</f>
        <v>0</v>
      </c>
      <c r="V38" s="36">
        <f>VLOOKUP($A38,[26]HISTOSEPT25!$A$6:$AU$51,19,0)</f>
        <v>0</v>
      </c>
      <c r="W38" s="36">
        <f>VLOOKUP($A38,[26]HISTOSEPT25!$A$6:$AU$51,20,0)</f>
        <v>0</v>
      </c>
      <c r="X38" s="36">
        <f>VLOOKUP($A38,[26]HISTOSEPT25!$A$6:$AU$51,27,0)</f>
        <v>0</v>
      </c>
      <c r="Y38" s="36">
        <f>VLOOKUP($A38,[26]HISTOSEPT25!$A$6:$BM$51,33,0)</f>
        <v>0</v>
      </c>
      <c r="Z38" s="36">
        <f>VLOOKUP($A38,[26]HISTOSEPT25!$A$6:$BM$51,64,0)</f>
        <v>0</v>
      </c>
      <c r="AA38" s="36"/>
      <c r="AB38" s="36">
        <f>VLOOKUP($A38,[26]HISTOSEPT25!$A$6:$AU$51,44,0)</f>
        <v>0</v>
      </c>
      <c r="AC38" s="36">
        <f>VLOOKUP($A38,[26]HISTOSEPT25!$A$6:$AU$51,43,0)</f>
        <v>0</v>
      </c>
      <c r="AD38" s="36">
        <f>VLOOKUP($A38,[26]HISTOSEPT25!$A$6:$BR$51,47,0)</f>
        <v>0</v>
      </c>
      <c r="AE38" s="36">
        <f>VLOOKUP(A38,[26]HISTOSEPT25!$A$6:$BR$51,54,0)</f>
        <v>0</v>
      </c>
      <c r="AF38" s="36">
        <f>VLOOKUP($A38,[26]HISTOSEPT25!$A$6:$BR$51,60,0)</f>
        <v>0</v>
      </c>
      <c r="AG38" s="36">
        <f>VLOOKUP($A38,[26]HISTOSEPT25!$A$6:$CB$51,61,0)</f>
        <v>0</v>
      </c>
      <c r="AH38" s="36">
        <f>VLOOKUP($A38,[26]HISTOSEPT25!$A$6:$CB$51,62,0)</f>
        <v>0</v>
      </c>
      <c r="AI38" s="36">
        <f>VLOOKUP($A38,[26]HISTOSEPT25!$A$6:$CB$51,63,0)</f>
        <v>0</v>
      </c>
      <c r="AJ38" s="36">
        <f>VLOOKUP($A38,[26]HISTOSEPT25!$A$6:$BR$51,64,0)</f>
        <v>0</v>
      </c>
      <c r="AK38" s="36">
        <f>VLOOKUP($A38,[26]HISTOSEPT25!$A$6:$BR$51,65,0)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VLOOKUP($A39,[26]HISTOSEPT25!$A$6:$BA$51,48,0)</f>
        <v>0</v>
      </c>
      <c r="F39" s="36">
        <f>VLOOKUP(A39,MVTAOUT25!A39:AM74,6,0)+MVTAOUT25!H39-E39+L39</f>
        <v>1010154.7412118572</v>
      </c>
      <c r="G39" s="5">
        <f>IF(MVTSEPT25!F39&gt;800000,(MVTAVRIL25!I39-E39+L39),0)</f>
        <v>929235.14821666293</v>
      </c>
      <c r="H39" s="36">
        <f>VLOOKUP(A39,[27]MVTSEPT25!$A$6:$AM$42,8,0)</f>
        <v>0</v>
      </c>
      <c r="I39" s="6">
        <f t="shared" si="1"/>
        <v>1010154.7412118572</v>
      </c>
      <c r="J39" s="36">
        <f>VLOOKUP($A39,[26]HISTOSEPT25!$A$6:$AQ$51,22,0)</f>
        <v>0</v>
      </c>
      <c r="K39" s="36">
        <f>VLOOKUP($A39,[26]HISTOSEPT25!$A$6:$AU$51,45,0)</f>
        <v>30000</v>
      </c>
      <c r="L39" s="36">
        <f t="shared" si="2"/>
        <v>24000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VLOOKUP($A39,[26]HISTOSEPT25!$A$6:$AU$51,8,0)</f>
        <v>0</v>
      </c>
      <c r="Q39" s="36">
        <f>VLOOKUP($A39,[26]HISTOSEPT25!$A$6:$AU$51,23,0)</f>
        <v>0</v>
      </c>
      <c r="R39" s="36">
        <f>VLOOKUP($A39,[26]HISTOSEPT25!$A$6:$AU$51,46,0)</f>
        <v>0</v>
      </c>
      <c r="S39" s="36">
        <f>VLOOKUP($A39,[26]HISTOSEPT25!$A$6:$AU$51,26,0)</f>
        <v>0</v>
      </c>
      <c r="T39" s="36">
        <f>VLOOKUP($A39,[26]HISTOSEPT25!$A$6:$BG$51,58,0)</f>
        <v>0</v>
      </c>
      <c r="U39" s="36">
        <f>VLOOKUP($A39,[26]HISTOSEPT25!$A$6:$AU$51,28,0)</f>
        <v>0</v>
      </c>
      <c r="V39" s="36">
        <f>VLOOKUP($A39,[26]HISTOSEPT25!$A$6:$AU$51,19,0)</f>
        <v>0</v>
      </c>
      <c r="W39" s="36">
        <f>VLOOKUP($A39,[26]HISTOSEPT25!$A$6:$AU$51,20,0)</f>
        <v>0</v>
      </c>
      <c r="X39" s="36">
        <f>VLOOKUP($A39,[26]HISTOSEPT25!$A$6:$AU$51,27,0)</f>
        <v>0</v>
      </c>
      <c r="Y39" s="36">
        <f>VLOOKUP($A39,[26]HISTOSEPT25!$A$6:$BM$51,33,0)</f>
        <v>0</v>
      </c>
      <c r="Z39" s="36">
        <f>VLOOKUP($A39,[26]HISTOSEPT25!$A$6:$BM$51,64,0)</f>
        <v>0</v>
      </c>
      <c r="AA39" s="36"/>
      <c r="AB39" s="36">
        <f>VLOOKUP($A39,[26]HISTOSEPT25!$A$6:$AU$51,44,0)</f>
        <v>0</v>
      </c>
      <c r="AC39" s="36">
        <f>VLOOKUP($A39,[26]HISTOSEPT25!$A$6:$AU$51,43,0)</f>
        <v>0</v>
      </c>
      <c r="AD39" s="36">
        <f>VLOOKUP($A39,[26]HISTOSEPT25!$A$6:$BR$51,47,0)</f>
        <v>0</v>
      </c>
      <c r="AE39" s="36">
        <f>VLOOKUP(A39,[26]HISTOSEPT25!$A$6:$BR$51,54,0)</f>
        <v>0</v>
      </c>
      <c r="AF39" s="36">
        <f>VLOOKUP($A39,[26]HISTOSEPT25!$A$6:$BR$51,60,0)</f>
        <v>0</v>
      </c>
      <c r="AG39" s="36">
        <f>VLOOKUP($A39,[26]HISTOSEPT25!$A$6:$CB$51,61,0)</f>
        <v>0</v>
      </c>
      <c r="AH39" s="36">
        <f>VLOOKUP($A39,[26]HISTOSEPT25!$A$6:$CB$51,62,0)</f>
        <v>0</v>
      </c>
      <c r="AI39" s="36">
        <f>VLOOKUP($A39,[26]HISTOSEPT25!$A$6:$CB$51,63,0)</f>
        <v>0</v>
      </c>
      <c r="AJ39" s="36">
        <f>VLOOKUP($A39,[26]HISTOSEPT25!$A$6:$BR$51,64,0)</f>
        <v>0</v>
      </c>
      <c r="AK39" s="36">
        <f>VLOOKUP($A39,[26]HISTOSEPT25!$A$6:$BR$51,65,0)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VLOOKUP($A40,[26]HISTOSEPT25!$A$6:$BA$51,48,0)</f>
        <v>0</v>
      </c>
      <c r="F40" s="36">
        <f>VLOOKUP(A40,MVTAOUT25!A40:AM75,6,0)+MVTAOUT25!H40-E40+L40</f>
        <v>1826346.0424379371</v>
      </c>
      <c r="G40" s="5">
        <f>IF(MVTSEPT25!F40&gt;800000,(MVTAVRIL25!I40-E40+L40),0)</f>
        <v>1744215.5898191084</v>
      </c>
      <c r="H40" s="36">
        <f>VLOOKUP(A40,[27]MVTSEPT25!$A$6:$AM$42,8,0)</f>
        <v>0</v>
      </c>
      <c r="I40" s="6">
        <f t="shared" si="1"/>
        <v>1826346.0424379371</v>
      </c>
      <c r="J40" s="36">
        <f>VLOOKUP($A40,[26]HISTOSEPT25!$A$6:$AQ$51,22,0)</f>
        <v>0</v>
      </c>
      <c r="K40" s="36">
        <f>VLOOKUP($A40,[26]HISTOSEPT25!$A$6:$AU$51,45,0)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VLOOKUP($A40,[26]HISTOSEPT25!$A$6:$AU$51,8,0)</f>
        <v>0</v>
      </c>
      <c r="Q40" s="36">
        <f>VLOOKUP($A40,[26]HISTOSEPT25!$A$6:$AU$51,23,0)</f>
        <v>0</v>
      </c>
      <c r="R40" s="36">
        <f>VLOOKUP($A40,[26]HISTOSEPT25!$A$6:$AU$51,46,0)</f>
        <v>0</v>
      </c>
      <c r="S40" s="36">
        <f>VLOOKUP($A40,[26]HISTOSEPT25!$A$6:$AU$51,26,0)</f>
        <v>0</v>
      </c>
      <c r="T40" s="36">
        <f>VLOOKUP($A40,[26]HISTOSEPT25!$A$6:$BG$51,58,0)</f>
        <v>0</v>
      </c>
      <c r="U40" s="36">
        <f>VLOOKUP($A40,[26]HISTOSEPT25!$A$6:$AU$51,28,0)</f>
        <v>0</v>
      </c>
      <c r="V40" s="36">
        <f>VLOOKUP($A40,[26]HISTOSEPT25!$A$6:$AU$51,19,0)</f>
        <v>0</v>
      </c>
      <c r="W40" s="36">
        <f>VLOOKUP($A40,[26]HISTOSEPT25!$A$6:$AU$51,20,0)</f>
        <v>0</v>
      </c>
      <c r="X40" s="36">
        <f>VLOOKUP($A40,[26]HISTOSEPT25!$A$6:$AU$51,27,0)</f>
        <v>0</v>
      </c>
      <c r="Y40" s="36">
        <f>VLOOKUP($A40,[26]HISTOSEPT25!$A$6:$BM$51,33,0)</f>
        <v>0</v>
      </c>
      <c r="Z40" s="36">
        <f>VLOOKUP($A40,[26]HISTOSEPT25!$A$6:$BM$51,64,0)</f>
        <v>0</v>
      </c>
      <c r="AA40" s="36"/>
      <c r="AB40" s="36">
        <f>VLOOKUP($A40,[26]HISTOSEPT25!$A$6:$AU$51,44,0)</f>
        <v>0</v>
      </c>
      <c r="AC40" s="36">
        <f>VLOOKUP($A40,[26]HISTOSEPT25!$A$6:$AU$51,43,0)</f>
        <v>0</v>
      </c>
      <c r="AD40" s="36">
        <f>VLOOKUP($A40,[26]HISTOSEPT25!$A$6:$BR$51,47,0)</f>
        <v>0</v>
      </c>
      <c r="AE40" s="36">
        <f>VLOOKUP(A40,[26]HISTOSEPT25!$A$6:$BR$51,54,0)</f>
        <v>0</v>
      </c>
      <c r="AF40" s="36">
        <f>VLOOKUP($A40,[26]HISTOSEPT25!$A$6:$BR$51,60,0)</f>
        <v>0</v>
      </c>
      <c r="AG40" s="36">
        <f>VLOOKUP($A40,[26]HISTOSEPT25!$A$6:$CB$51,61,0)</f>
        <v>0</v>
      </c>
      <c r="AH40" s="36">
        <f>VLOOKUP($A40,[26]HISTOSEPT25!$A$6:$CB$51,62,0)</f>
        <v>0</v>
      </c>
      <c r="AI40" s="36">
        <f>VLOOKUP($A40,[26]HISTOSEPT25!$A$6:$CB$51,63,0)</f>
        <v>0</v>
      </c>
      <c r="AJ40" s="36">
        <f>VLOOKUP($A40,[26]HISTOSEPT25!$A$6:$BR$51,64,0)</f>
        <v>0</v>
      </c>
      <c r="AK40" s="36">
        <f>VLOOKUP($A40,[26]HISTOSEPT25!$A$6:$BR$51,65,0)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VLOOKUP($A41,[26]HISTOSEPT25!$A$6:$BA$51,48,0)</f>
        <v>0</v>
      </c>
      <c r="F41" s="36">
        <f>VLOOKUP(A41,MVTAOUT25!A41:AM76,6,0)+MVTAOUT25!H41-E41+L41</f>
        <v>1035345.7246244116</v>
      </c>
      <c r="G41" s="5">
        <f>IF(MVTSEPT25!F41&gt;800000,(MVTAVRIL25!I41-E41+L41),0)</f>
        <v>954271.31996370177</v>
      </c>
      <c r="H41" s="36">
        <f>VLOOKUP(A41,[27]MVTSEPT25!$A$6:$AM$42,8,0)</f>
        <v>0</v>
      </c>
      <c r="I41" s="6">
        <f t="shared" si="1"/>
        <v>1035345.7246244116</v>
      </c>
      <c r="J41" s="36">
        <f>VLOOKUP($A41,[26]HISTOSEPT25!$A$6:$AQ$51,22,0)</f>
        <v>0</v>
      </c>
      <c r="K41" s="36">
        <f>VLOOKUP($A41,[26]HISTOSEPT25!$A$6:$AU$51,45,0)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VLOOKUP($A41,[26]HISTOSEPT25!$A$6:$AU$51,8,0)</f>
        <v>0</v>
      </c>
      <c r="Q41" s="36">
        <f>VLOOKUP($A41,[26]HISTOSEPT25!$A$6:$AU$51,23,0)</f>
        <v>0</v>
      </c>
      <c r="R41" s="36">
        <f>VLOOKUP($A41,[26]HISTOSEPT25!$A$6:$AU$51,46,0)</f>
        <v>0</v>
      </c>
      <c r="S41" s="36">
        <f>VLOOKUP($A41,[26]HISTOSEPT25!$A$6:$AU$51,26,0)</f>
        <v>0</v>
      </c>
      <c r="T41" s="36">
        <f>VLOOKUP($A41,[26]HISTOSEPT25!$A$6:$BG$51,58,0)</f>
        <v>0</v>
      </c>
      <c r="U41" s="36">
        <f>VLOOKUP($A41,[26]HISTOSEPT25!$A$6:$AU$51,28,0)</f>
        <v>0</v>
      </c>
      <c r="V41" s="36">
        <f>VLOOKUP($A41,[26]HISTOSEPT25!$A$6:$AU$51,19,0)</f>
        <v>0</v>
      </c>
      <c r="W41" s="36">
        <f>VLOOKUP($A41,[26]HISTOSEPT25!$A$6:$AU$51,20,0)</f>
        <v>0</v>
      </c>
      <c r="X41" s="36">
        <f>VLOOKUP($A41,[26]HISTOSEPT25!$A$6:$AU$51,27,0)</f>
        <v>0</v>
      </c>
      <c r="Y41" s="36">
        <f>VLOOKUP($A41,[26]HISTOSEPT25!$A$6:$BM$51,33,0)</f>
        <v>0</v>
      </c>
      <c r="Z41" s="36">
        <f>VLOOKUP($A41,[26]HISTOSEPT25!$A$6:$BM$51,64,0)</f>
        <v>0</v>
      </c>
      <c r="AA41" s="36"/>
      <c r="AB41" s="36">
        <f>VLOOKUP($A41,[26]HISTOSEPT25!$A$6:$AU$51,44,0)</f>
        <v>0</v>
      </c>
      <c r="AC41" s="36">
        <f>VLOOKUP($A41,[26]HISTOSEPT25!$A$6:$AU$51,43,0)</f>
        <v>0</v>
      </c>
      <c r="AD41" s="36">
        <f>VLOOKUP($A41,[26]HISTOSEPT25!$A$6:$BR$51,47,0)</f>
        <v>0</v>
      </c>
      <c r="AE41" s="36">
        <f>VLOOKUP(A41,[26]HISTOSEPT25!$A$6:$BR$51,54,0)</f>
        <v>0</v>
      </c>
      <c r="AF41" s="36">
        <f>VLOOKUP($A41,[26]HISTOSEPT25!$A$6:$BR$51,60,0)</f>
        <v>0</v>
      </c>
      <c r="AG41" s="36">
        <f>VLOOKUP($A41,[26]HISTOSEPT25!$A$6:$CB$51,61,0)</f>
        <v>0</v>
      </c>
      <c r="AH41" s="36">
        <f>VLOOKUP($A41,[26]HISTOSEPT25!$A$6:$CB$51,62,0)</f>
        <v>0</v>
      </c>
      <c r="AI41" s="36">
        <f>VLOOKUP($A41,[26]HISTOSEPT25!$A$6:$CB$51,63,0)</f>
        <v>0</v>
      </c>
      <c r="AJ41" s="36">
        <f>VLOOKUP($A41,[26]HISTOSEPT25!$A$6:$BR$51,64,0)</f>
        <v>0</v>
      </c>
      <c r="AK41" s="36">
        <f>VLOOKUP($A41,[26]HISTOSEPT25!$A$6:$BR$51,65,0)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VLOOKUP($A42,[26]HISTOSEPT25!$A$6:$BA$51,48,0)</f>
        <v>0</v>
      </c>
      <c r="F42" s="36">
        <f>VLOOKUP(A42,MVTAOUT25!A42:AM77,6,0)+MVTAOUT25!H42-E42+L42</f>
        <v>2330706.8818942341</v>
      </c>
      <c r="G42" s="5">
        <f>IF(MVTSEPT25!F42&gt;800000,(MVTAVRIL25!I42-E42+L42),0)</f>
        <v>2242990.1954813572</v>
      </c>
      <c r="H42" s="36">
        <f>VLOOKUP(A42,[27]MVTSEPT25!$A$6:$AM$42,8,0)</f>
        <v>0</v>
      </c>
      <c r="I42" s="6">
        <f t="shared" si="1"/>
        <v>2330706.8818942341</v>
      </c>
      <c r="J42" s="36">
        <f>VLOOKUP($A42,[26]HISTOSEPT25!$A$6:$AQ$51,22,0)</f>
        <v>0</v>
      </c>
      <c r="K42" s="36">
        <f>VLOOKUP($A42,[26]HISTOSEPT25!$A$6:$AU$51,45,0)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VLOOKUP($A42,[26]HISTOSEPT25!$A$6:$AU$51,8,0)</f>
        <v>0</v>
      </c>
      <c r="Q42" s="36">
        <f>VLOOKUP($A42,[26]HISTOSEPT25!$A$6:$AU$51,23,0)</f>
        <v>0</v>
      </c>
      <c r="R42" s="36">
        <f>VLOOKUP($A42,[26]HISTOSEPT25!$A$6:$AU$51,46,0)</f>
        <v>0</v>
      </c>
      <c r="S42" s="36">
        <f>VLOOKUP($A42,[26]HISTOSEPT25!$A$6:$AU$51,26,0)</f>
        <v>0</v>
      </c>
      <c r="T42" s="36">
        <f>VLOOKUP($A42,[26]HISTOSEPT25!$A$6:$BG$51,58,0)</f>
        <v>0</v>
      </c>
      <c r="U42" s="36">
        <f>VLOOKUP($A42,[26]HISTOSEPT25!$A$6:$AU$51,28,0)</f>
        <v>0</v>
      </c>
      <c r="V42" s="36">
        <f>VLOOKUP($A42,[26]HISTOSEPT25!$A$6:$AU$51,19,0)</f>
        <v>0</v>
      </c>
      <c r="W42" s="36">
        <f>VLOOKUP($A42,[26]HISTOSEPT25!$A$6:$AU$51,20,0)</f>
        <v>0</v>
      </c>
      <c r="X42" s="36">
        <f>VLOOKUP($A42,[26]HISTOSEPT25!$A$6:$AU$51,27,0)</f>
        <v>0</v>
      </c>
      <c r="Y42" s="36">
        <f>VLOOKUP($A42,[26]HISTOSEPT25!$A$6:$BM$51,33,0)</f>
        <v>0</v>
      </c>
      <c r="Z42" s="36">
        <f>VLOOKUP($A42,[26]HISTOSEPT25!$A$6:$BM$51,64,0)</f>
        <v>0</v>
      </c>
      <c r="AA42" s="36"/>
      <c r="AB42" s="36">
        <f>VLOOKUP($A42,[26]HISTOSEPT25!$A$6:$AU$51,44,0)</f>
        <v>0</v>
      </c>
      <c r="AC42" s="36">
        <f>VLOOKUP($A42,[26]HISTOSEPT25!$A$6:$AU$51,43,0)</f>
        <v>0</v>
      </c>
      <c r="AD42" s="36">
        <f>VLOOKUP($A42,[26]HISTOSEPT25!$A$6:$BR$51,47,0)</f>
        <v>0</v>
      </c>
      <c r="AE42" s="36">
        <f>VLOOKUP(A42,[26]HISTOSEPT25!$A$6:$BR$51,54,0)</f>
        <v>0</v>
      </c>
      <c r="AF42" s="36">
        <f>VLOOKUP($A42,[26]HISTOSEPT25!$A$6:$BR$51,60,0)</f>
        <v>0</v>
      </c>
      <c r="AG42" s="36">
        <f>VLOOKUP($A42,[26]HISTOSEPT25!$A$6:$CB$51,61,0)</f>
        <v>0</v>
      </c>
      <c r="AH42" s="36">
        <f>VLOOKUP($A42,[26]HISTOSEPT25!$A$6:$CB$51,62,0)</f>
        <v>0</v>
      </c>
      <c r="AI42" s="36">
        <f>VLOOKUP($A42,[26]HISTOSEPT25!$A$6:$CB$51,63,0)</f>
        <v>0</v>
      </c>
      <c r="AJ42" s="36">
        <f>VLOOKUP($A42,[26]HISTOSEPT25!$A$6:$BR$51,64,0)</f>
        <v>0</v>
      </c>
      <c r="AK42" s="36">
        <f>VLOOKUP($A42,[26]HISTOSEPT25!$A$6:$BR$51,65,0)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10">SUM(C6:C43)</f>
        <v>0</v>
      </c>
      <c r="D44" s="9">
        <f t="shared" si="10"/>
        <v>0</v>
      </c>
      <c r="E44" s="9">
        <f t="shared" si="10"/>
        <v>0</v>
      </c>
      <c r="F44" s="9">
        <f t="shared" si="10"/>
        <v>41975611.999999985</v>
      </c>
      <c r="G44" s="9">
        <f t="shared" si="10"/>
        <v>36655862.000000007</v>
      </c>
      <c r="H44" s="36">
        <f t="shared" si="10"/>
        <v>0</v>
      </c>
      <c r="I44" s="9">
        <f t="shared" si="10"/>
        <v>41975611.999999985</v>
      </c>
      <c r="J44" s="9">
        <f t="shared" si="10"/>
        <v>0</v>
      </c>
      <c r="K44" s="9">
        <f t="shared" si="10"/>
        <v>1718000</v>
      </c>
      <c r="L44" s="9">
        <f t="shared" si="10"/>
        <v>1514000</v>
      </c>
      <c r="M44" s="9">
        <f t="shared" si="10"/>
        <v>34000</v>
      </c>
      <c r="N44" s="9">
        <f t="shared" si="10"/>
        <v>34000</v>
      </c>
      <c r="O44" s="9">
        <f t="shared" si="10"/>
        <v>136000</v>
      </c>
      <c r="P44" s="9">
        <f t="shared" si="10"/>
        <v>9000</v>
      </c>
      <c r="Q44" s="9">
        <f t="shared" si="10"/>
        <v>0</v>
      </c>
      <c r="R44" s="9">
        <f t="shared" si="10"/>
        <v>120000</v>
      </c>
      <c r="S44" s="9">
        <f t="shared" si="10"/>
        <v>0</v>
      </c>
      <c r="T44" s="9">
        <f t="shared" si="10"/>
        <v>0</v>
      </c>
      <c r="U44" s="9">
        <f t="shared" si="10"/>
        <v>0</v>
      </c>
      <c r="V44" s="9">
        <f t="shared" si="10"/>
        <v>0</v>
      </c>
      <c r="W44" s="9"/>
      <c r="X44" s="9">
        <f t="shared" si="10"/>
        <v>0</v>
      </c>
      <c r="Y44" s="9">
        <f t="shared" si="10"/>
        <v>0</v>
      </c>
      <c r="Z44" s="9">
        <f t="shared" si="10"/>
        <v>0</v>
      </c>
      <c r="AA44" s="9">
        <f t="shared" si="10"/>
        <v>0</v>
      </c>
      <c r="AB44" s="9">
        <f t="shared" si="10"/>
        <v>0</v>
      </c>
      <c r="AC44" s="9">
        <f t="shared" si="10"/>
        <v>0</v>
      </c>
      <c r="AD44" s="9">
        <f t="shared" si="10"/>
        <v>0</v>
      </c>
      <c r="AE44" s="9">
        <f t="shared" si="10"/>
        <v>175000</v>
      </c>
      <c r="AF44" s="9">
        <f t="shared" si="10"/>
        <v>12000</v>
      </c>
      <c r="AG44" s="9">
        <f t="shared" si="10"/>
        <v>0</v>
      </c>
      <c r="AH44" s="9">
        <f t="shared" si="10"/>
        <v>0</v>
      </c>
      <c r="AI44" s="9">
        <f t="shared" si="10"/>
        <v>100000</v>
      </c>
      <c r="AJ44" s="9">
        <f t="shared" si="10"/>
        <v>0</v>
      </c>
      <c r="AK44" s="9">
        <f t="shared" si="10"/>
        <v>0</v>
      </c>
      <c r="AL44" s="9">
        <f t="shared" si="10"/>
        <v>0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FC91-77AB-4671-8F01-FAA638DE5DCB}">
  <dimension ref="A1:AM47"/>
  <sheetViews>
    <sheetView workbookViewId="0">
      <pane xSplit="2" ySplit="5" topLeftCell="G12" activePane="bottomRight" state="frozen"/>
      <selection activeCell="F8" sqref="F8"/>
      <selection pane="topRight" activeCell="F8" sqref="F8"/>
      <selection pane="bottomLeft" activeCell="F8" sqref="F8"/>
      <selection pane="bottomRight" activeCell="A15" sqref="A15:XFD1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2">
        <v>45947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VLOOKUP(A6,MVTSEPT25!A6:AM42,6,0)+MVTSEPT25!H6-E6+L6</f>
        <v>1102943.3987719836</v>
      </c>
      <c r="G6" s="5">
        <f>IF(MVTOCT25!F6&gt;800000,(MVTAVRIL25!I6-E6+L6),0)</f>
        <v>1097287.7862270027</v>
      </c>
      <c r="H6" s="36">
        <f>VLOOKUP(A6,[27]MVTOCT25!$A$6:$AM$42,8,0)</f>
        <v>3365.8324870703273</v>
      </c>
      <c r="I6" s="6">
        <f>F6+H6</f>
        <v>1106309.2312590538</v>
      </c>
      <c r="J6" s="36">
        <f>VLOOKUP($A6,[26]HISTOOCT25!$A$6:$AQ$51,22,0)</f>
        <v>0</v>
      </c>
      <c r="K6" s="36">
        <f>VLOOKUP($A6,[26]HISTOOCT25!$A$6:$AU$51,45,0)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VLOOKUP($A6,[26]HISTOOCT25!$A$6:$AU$51,8,0)</f>
        <v>0</v>
      </c>
      <c r="Q6" s="36">
        <f>VLOOKUP($A6,[26]HISTOOCT25!$A$6:$AU$51,23,0)</f>
        <v>0</v>
      </c>
      <c r="R6" s="36">
        <f>VLOOKUP($A6,[26]HISTOOCT25!$A$6:$AU$51,46,0)</f>
        <v>0</v>
      </c>
      <c r="S6" s="36">
        <f>VLOOKUP($A6,[26]HISTOOCT25!$A$6:$AU$51,26,0)</f>
        <v>0</v>
      </c>
      <c r="T6" s="36">
        <f>VLOOKUP($A6,[26]HISTOOCT25!$A$6:$BG$51,58,0)</f>
        <v>0</v>
      </c>
      <c r="U6" s="36">
        <f>VLOOKUP($A6,[26]HISTOOCT25!$A$6:$AU$51,28,0)</f>
        <v>0</v>
      </c>
      <c r="V6" s="36">
        <f>VLOOKUP($A6,[26]HISTOOCT25!$A$6:$AU$51,19,0)</f>
        <v>0</v>
      </c>
      <c r="W6" s="36">
        <f>VLOOKUP($A6,[26]HISTOOCT25!$A$6:$AU$51,20,0)</f>
        <v>0</v>
      </c>
      <c r="X6" s="36">
        <f>VLOOKUP($A6,[26]HISTOOCT25!$A$6:$AU$51,27,0)</f>
        <v>0</v>
      </c>
      <c r="Y6" s="36">
        <f>VLOOKUP($A6,[26]HISTOOCT25!$A$6:$BM$51,33,0)</f>
        <v>0</v>
      </c>
      <c r="Z6" s="36">
        <f>VLOOKUP($A6,[26]HISTOOCT25!$A$6:$BM$51,64,0)</f>
        <v>0</v>
      </c>
      <c r="AA6" s="36"/>
      <c r="AB6" s="36">
        <f>VLOOKUP($A6,[26]HISTOOCT25!$A$6:$AU$51,44,0)</f>
        <v>0</v>
      </c>
      <c r="AC6" s="36">
        <f>VLOOKUP($A6,[26]HISTOOCT25!$A$6:$AU$51,43,0)</f>
        <v>0</v>
      </c>
      <c r="AD6" s="36">
        <f>VLOOKUP($A6,[26]HISTOOCT25!$A$6:$BR$51,47,0)</f>
        <v>0</v>
      </c>
      <c r="AE6" s="36">
        <f>VLOOKUP(A6,[26]HISTOOCT25!$A$6:$BR$51,54,0)</f>
        <v>0</v>
      </c>
      <c r="AF6" s="36">
        <f>VLOOKUP($A6,[26]HISTOOCT25!$A$6:$BR$51,60,0)</f>
        <v>6000</v>
      </c>
      <c r="AG6" s="36">
        <f>VLOOKUP($A6,[26]HISTOOCT25!$A$6:$CB$51,61,0)</f>
        <v>0</v>
      </c>
      <c r="AH6" s="36">
        <f>VLOOKUP($A6,[26]HISTOOCT25!$A$6:$CB$51,62,0)</f>
        <v>0</v>
      </c>
      <c r="AI6" s="36">
        <f>VLOOKUP($A6,[26]HISTOOCT25!$A$6:$CB$51,63,0)</f>
        <v>0</v>
      </c>
      <c r="AJ6" s="36">
        <f>VLOOKUP($A6,[26]HISTOOCT25!$A$6:$BR$51,64,0)</f>
        <v>0</v>
      </c>
      <c r="AK6" s="36">
        <f>VLOOKUP($A6,[26]HISTOOCT25!$A$6:$BR$51,65,0)</f>
        <v>0</v>
      </c>
      <c r="AL6" s="36">
        <f>VLOOKUP($A6,[26]HISTOOCT25!$A$6:$BR$40,66,0)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VLOOKUP($A7,[26]HISTOOCT25!$A$6:$BA$51,48,0)</f>
        <v>0</v>
      </c>
      <c r="F7" s="36">
        <f>VLOOKUP(A7,MVTSEPT25!A7:AM43,6,0)+MVTSEPT25!H7-E7+L7</f>
        <v>1069103.9935355973</v>
      </c>
      <c r="G7" s="5">
        <f>IF(MVTOCT25!F7&gt;800000,(MVTAVRIL25!I7-E7+L7),0)</f>
        <v>954953.91223464545</v>
      </c>
      <c r="H7" s="36">
        <f>VLOOKUP(A7,[27]MVTOCT25!$A$6:$AM$42,8,0)</f>
        <v>3262.5653841395874</v>
      </c>
      <c r="I7" s="6">
        <f t="shared" ref="I7:I42" si="1">F7+H7</f>
        <v>1072366.5589197369</v>
      </c>
      <c r="J7" s="36">
        <f>VLOOKUP($A7,[26]HISTOOCT25!$A$6:$AQ$51,22,0)</f>
        <v>0</v>
      </c>
      <c r="K7" s="36">
        <f>VLOOKUP($A7,[26]HISTOOCT25!$A$6:$AU$51,45,0)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VLOOKUP($A7,[26]HISTOOCT25!$A$6:$AU$51,8,0)</f>
        <v>0</v>
      </c>
      <c r="Q7" s="36">
        <f>VLOOKUP($A7,[26]HISTOOCT25!$A$6:$AU$51,23,0)</f>
        <v>0</v>
      </c>
      <c r="R7" s="36">
        <f>VLOOKUP($A7,[26]HISTOOCT25!$A$6:$AU$51,46,0)</f>
        <v>0</v>
      </c>
      <c r="S7" s="36">
        <f>VLOOKUP($A7,[26]HISTOOCT25!$A$6:$AU$51,26,0)</f>
        <v>0</v>
      </c>
      <c r="T7" s="36">
        <f>VLOOKUP($A7,[26]HISTOOCT25!$A$6:$BG$51,58,0)</f>
        <v>0</v>
      </c>
      <c r="U7" s="36">
        <f>VLOOKUP($A7,[26]HISTOOCT25!$A$6:$AU$51,28,0)</f>
        <v>0</v>
      </c>
      <c r="V7" s="36">
        <f>VLOOKUP($A7,[26]HISTOOCT25!$A$6:$AU$51,19,0)</f>
        <v>0</v>
      </c>
      <c r="W7" s="36">
        <f>VLOOKUP($A7,[26]HISTOOCT25!$A$6:$AU$51,20,0)</f>
        <v>0</v>
      </c>
      <c r="X7" s="36">
        <f>VLOOKUP($A7,[26]HISTOOCT25!$A$6:$AU$51,27,0)</f>
        <v>0</v>
      </c>
      <c r="Y7" s="36">
        <f>VLOOKUP($A7,[26]HISTOOCT25!$A$6:$BM$51,33,0)</f>
        <v>0</v>
      </c>
      <c r="Z7" s="36">
        <f>VLOOKUP($A7,[26]HISTOOCT25!$A$6:$BM$51,64,0)</f>
        <v>0</v>
      </c>
      <c r="AA7" s="36"/>
      <c r="AB7" s="36">
        <f>VLOOKUP($A7,[26]HISTOOCT25!$A$6:$AU$51,44,0)</f>
        <v>0</v>
      </c>
      <c r="AC7" s="36">
        <f>VLOOKUP($A7,[26]HISTOOCT25!$A$6:$AU$51,43,0)</f>
        <v>0</v>
      </c>
      <c r="AD7" s="36">
        <f>VLOOKUP($A7,[26]HISTOOCT25!$A$6:$BR$51,47,0)</f>
        <v>0</v>
      </c>
      <c r="AE7" s="36">
        <f>VLOOKUP(A7,[26]HISTOOCT25!$A$6:$BR$51,54,0)</f>
        <v>0</v>
      </c>
      <c r="AF7" s="36">
        <f>VLOOKUP($A7,[26]HISTOOCT25!$A$6:$BR$51,60,0)</f>
        <v>0</v>
      </c>
      <c r="AG7" s="36">
        <f>VLOOKUP($A7,[26]HISTOOCT25!$A$6:$CB$51,61,0)</f>
        <v>0</v>
      </c>
      <c r="AH7" s="36">
        <f>VLOOKUP($A7,[26]HISTOOCT25!$A$6:$CB$51,62,0)</f>
        <v>0</v>
      </c>
      <c r="AI7" s="36">
        <f>VLOOKUP($A7,[26]HISTOOCT25!$A$6:$CB$51,63,0)</f>
        <v>0</v>
      </c>
      <c r="AJ7" s="36">
        <f>VLOOKUP($A7,[26]HISTOOCT25!$A$6:$BR$51,64,0)</f>
        <v>0</v>
      </c>
      <c r="AK7" s="36">
        <f>VLOOKUP($A7,[26]HISTOOCT25!$A$6:$BR$51,65,0)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VLOOKUP($A8,[26]HISTOOCT25!$A$6:$BA$51,48,0)</f>
        <v>0</v>
      </c>
      <c r="F8" s="36">
        <f>VLOOKUP(A8,MVTSEPT25!A8:AM44,6,0)+MVTSEPT25!H8-E8+L8</f>
        <v>1197103.7489033197</v>
      </c>
      <c r="G8" s="5">
        <f>IF(MVTOCT25!F8&gt;800000,(MVTAVRIL25!I8-E8+L8),0)</f>
        <v>1096297.3174913663</v>
      </c>
      <c r="H8" s="36">
        <f>VLOOKUP(A8,[27]MVTOCT25!$A$6:$AM$42,8,0)</f>
        <v>3653.1799301202927</v>
      </c>
      <c r="I8" s="6">
        <f t="shared" si="1"/>
        <v>1200756.9288334399</v>
      </c>
      <c r="J8" s="36">
        <f>VLOOKUP($A8,[26]HISTOOCT25!$A$6:$AQ$51,22,0)</f>
        <v>0</v>
      </c>
      <c r="K8" s="36">
        <f>VLOOKUP($A8,[26]HISTOOCT25!$A$6:$AU$51,45,0)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VLOOKUP($A8,[26]HISTOOCT25!$A$6:$AU$51,8,0)</f>
        <v>0</v>
      </c>
      <c r="Q8" s="36">
        <f>VLOOKUP($A8,[26]HISTOOCT25!$A$6:$AU$51,23,0)</f>
        <v>0</v>
      </c>
      <c r="R8" s="36">
        <f>VLOOKUP($A8,[26]HISTOOCT25!$A$6:$AU$51,46,0)</f>
        <v>0</v>
      </c>
      <c r="S8" s="36">
        <f>VLOOKUP($A8,[26]HISTOOCT25!$A$6:$AU$51,26,0)</f>
        <v>500000</v>
      </c>
      <c r="T8" s="36">
        <f>VLOOKUP($A8,[26]HISTOOCT25!$A$6:$BG$51,58,0)</f>
        <v>15000</v>
      </c>
      <c r="U8" s="36">
        <f>VLOOKUP($A8,[26]HISTOOCT25!$A$6:$AU$51,28,0)</f>
        <v>0</v>
      </c>
      <c r="V8" s="36">
        <f>VLOOKUP($A8,[26]HISTOOCT25!$A$6:$AU$51,19,0)</f>
        <v>500000</v>
      </c>
      <c r="W8" s="36" t="str">
        <f>VLOOKUP($A8,[26]HISTOOCT25!$A$6:$AU$51,20,0)</f>
        <v>BANQUE</v>
      </c>
      <c r="X8" s="36" t="str">
        <f>VLOOKUP($A8,[26]HISTOOCT25!$A$6:$AU$51,27,0)</f>
        <v>BANQUE</v>
      </c>
      <c r="Y8" s="36">
        <f>VLOOKUP($A8,[26]HISTOOCT25!$A$6:$BM$51,33,0)</f>
        <v>0</v>
      </c>
      <c r="Z8" s="36">
        <f>VLOOKUP($A8,[26]HISTOOCT25!$A$6:$BM$51,64,0)</f>
        <v>0</v>
      </c>
      <c r="AA8" s="36"/>
      <c r="AB8" s="36">
        <f>VLOOKUP($A8,[26]HISTOOCT25!$A$6:$AU$51,44,0)</f>
        <v>0</v>
      </c>
      <c r="AC8" s="36">
        <f>VLOOKUP($A8,[26]HISTOOCT25!$A$6:$AU$51,43,0)</f>
        <v>0</v>
      </c>
      <c r="AD8" s="36">
        <f>VLOOKUP($A8,[26]HISTOOCT25!$A$6:$BR$51,47,0)</f>
        <v>0</v>
      </c>
      <c r="AE8" s="36">
        <f>VLOOKUP(A8,[26]HISTOOCT25!$A$6:$BR$51,54,0)</f>
        <v>0</v>
      </c>
      <c r="AF8" s="36">
        <f>VLOOKUP($A8,[26]HISTOOCT25!$A$6:$BR$51,60,0)</f>
        <v>0</v>
      </c>
      <c r="AG8" s="36">
        <f>VLOOKUP($A8,[26]HISTOOCT25!$A$6:$CB$51,61,0)</f>
        <v>0</v>
      </c>
      <c r="AH8" s="36">
        <f>VLOOKUP($A8,[26]HISTOOCT25!$A$6:$CB$51,62,0)</f>
        <v>0</v>
      </c>
      <c r="AI8" s="36">
        <f>VLOOKUP($A8,[26]HISTOOCT25!$A$6:$CB$51,63,0)</f>
        <v>100000</v>
      </c>
      <c r="AJ8" s="36">
        <f>VLOOKUP($A8,[26]HISTOOCT25!$A$6:$BR$51,64,0)</f>
        <v>0</v>
      </c>
      <c r="AK8" s="36">
        <f>VLOOKUP($A8,[26]HISTOOCT25!$A$6:$BR$51,65,0)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VLOOKUP($A9,[26]HISTOOCT25!$A$6:$BA$51,48,0)</f>
        <v>0</v>
      </c>
      <c r="F9" s="36">
        <f>VLOOKUP(A9,MVTSEPT25!A9:AM45,6,0)+MVTSEPT25!H9-E9+L9</f>
        <v>1061247.1115775753</v>
      </c>
      <c r="G9" s="5">
        <f>IF(MVTOCT25!F9&gt;800000,(MVTAVRIL25!I9-E9+L9),0)</f>
        <v>961137.3183641315</v>
      </c>
      <c r="H9" s="36">
        <f>VLOOKUP(A9,[27]MVTOCT25!$A$6:$AM$42,8,0)</f>
        <v>3238.5886791057378</v>
      </c>
      <c r="I9" s="6">
        <f t="shared" si="1"/>
        <v>1064485.7002566811</v>
      </c>
      <c r="J9" s="36">
        <f>VLOOKUP($A9,[26]HISTOOCT25!$A$6:$AQ$51,22,0)</f>
        <v>0</v>
      </c>
      <c r="K9" s="36">
        <f>VLOOKUP($A9,[26]HISTOOCT25!$A$6:$AU$51,45,0)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VLOOKUP($A9,[26]HISTOOCT25!$A$6:$AU$51,8,0)</f>
        <v>0</v>
      </c>
      <c r="Q9" s="36">
        <f>VLOOKUP($A9,[26]HISTOOCT25!$A$6:$AU$51,23,0)</f>
        <v>0</v>
      </c>
      <c r="R9" s="36">
        <f>VLOOKUP($A9,[26]HISTOOCT25!$A$6:$AU$51,46,0)</f>
        <v>0</v>
      </c>
      <c r="S9" s="36">
        <f>VLOOKUP($A9,[26]HISTOOCT25!$A$6:$AU$51,26,0)</f>
        <v>0</v>
      </c>
      <c r="T9" s="36">
        <f>VLOOKUP($A9,[26]HISTOOCT25!$A$6:$BG$51,58,0)</f>
        <v>0</v>
      </c>
      <c r="U9" s="36">
        <f>VLOOKUP($A9,[26]HISTOOCT25!$A$6:$AU$51,28,0)</f>
        <v>0</v>
      </c>
      <c r="V9" s="36">
        <f>VLOOKUP($A9,[26]HISTOOCT25!$A$6:$AU$51,19,0)</f>
        <v>0</v>
      </c>
      <c r="W9" s="36">
        <f>VLOOKUP($A9,[26]HISTOOCT25!$A$6:$AU$51,20,0)</f>
        <v>0</v>
      </c>
      <c r="X9" s="36">
        <f>VLOOKUP($A9,[26]HISTOOCT25!$A$6:$AU$51,27,0)</f>
        <v>0</v>
      </c>
      <c r="Y9" s="36">
        <f>VLOOKUP($A9,[26]HISTOOCT25!$A$6:$BM$51,33,0)</f>
        <v>0</v>
      </c>
      <c r="Z9" s="36">
        <f>VLOOKUP($A9,[26]HISTOOCT25!$A$6:$BM$51,64,0)</f>
        <v>0</v>
      </c>
      <c r="AA9" s="36"/>
      <c r="AB9" s="36">
        <f>VLOOKUP($A9,[26]HISTOOCT25!$A$6:$AU$51,44,0)</f>
        <v>0</v>
      </c>
      <c r="AC9" s="36">
        <f>VLOOKUP($A9,[26]HISTOOCT25!$A$6:$AU$51,43,0)</f>
        <v>0</v>
      </c>
      <c r="AD9" s="36">
        <f>VLOOKUP($A9,[26]HISTOOCT25!$A$6:$BR$51,47,0)</f>
        <v>0</v>
      </c>
      <c r="AE9" s="36">
        <f>VLOOKUP(A9,[26]HISTOOCT25!$A$6:$BR$51,54,0)</f>
        <v>0</v>
      </c>
      <c r="AF9" s="36">
        <f>VLOOKUP($A9,[26]HISTOOCT25!$A$6:$BR$51,60,0)</f>
        <v>0</v>
      </c>
      <c r="AG9" s="36">
        <f>VLOOKUP($A9,[26]HISTOOCT25!$A$6:$CB$51,61,0)</f>
        <v>0</v>
      </c>
      <c r="AH9" s="36">
        <f>VLOOKUP($A9,[26]HISTOOCT25!$A$6:$CB$51,62,0)</f>
        <v>0</v>
      </c>
      <c r="AI9" s="36">
        <f>VLOOKUP($A9,[26]HISTOOCT25!$A$6:$CB$51,63,0)</f>
        <v>0</v>
      </c>
      <c r="AJ9" s="36">
        <f>VLOOKUP($A9,[26]HISTOOCT25!$A$6:$BR$51,64,0)</f>
        <v>0</v>
      </c>
      <c r="AK9" s="36">
        <f>VLOOKUP($A9,[26]HISTOOCT25!$A$6:$BR$51,65,0)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VLOOKUP($A10,[26]HISTOOCT25!$A$6:$BA$51,48,0)</f>
        <v>0</v>
      </c>
      <c r="F10" s="36">
        <f>VLOOKUP(A10,MVTSEPT25!A10:AM46,6,0)+MVTSEPT25!H10-E10+L10</f>
        <v>1069591.5224810471</v>
      </c>
      <c r="G10" s="5">
        <f>IF(MVTOCT25!F10&gt;800000,(MVTAVRIL25!I10-E10+L10),0)</f>
        <v>971425.7308667925</v>
      </c>
      <c r="H10" s="36">
        <f>VLOOKUP(A10,[27]MVTOCT25!$A$6:$AM$42,8,0)</f>
        <v>3264.053167433643</v>
      </c>
      <c r="I10" s="6">
        <f t="shared" si="1"/>
        <v>1072855.5756484808</v>
      </c>
      <c r="J10" s="36">
        <f>VLOOKUP($A10,[26]HISTOOCT25!$A$6:$AQ$51,22,0)</f>
        <v>0</v>
      </c>
      <c r="K10" s="36">
        <f>VLOOKUP($A10,[26]HISTOOCT25!$A$6:$AU$51,45,0)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VLOOKUP($A10,[26]HISTOOCT25!$A$6:$AU$51,8,0)</f>
        <v>0</v>
      </c>
      <c r="Q10" s="36">
        <f>VLOOKUP($A10,[26]HISTOOCT25!$A$6:$AU$51,23,0)</f>
        <v>0</v>
      </c>
      <c r="R10" s="36">
        <f>VLOOKUP($A10,[26]HISTOOCT25!$A$6:$AU$51,46,0)</f>
        <v>0</v>
      </c>
      <c r="S10" s="36">
        <f>VLOOKUP($A10,[26]HISTOOCT25!$A$6:$AU$51,26,0)</f>
        <v>0</v>
      </c>
      <c r="T10" s="36">
        <f>VLOOKUP($A10,[26]HISTOOCT25!$A$6:$BG$51,58,0)</f>
        <v>0</v>
      </c>
      <c r="U10" s="36">
        <f>VLOOKUP($A10,[26]HISTOOCT25!$A$6:$AU$51,28,0)</f>
        <v>0</v>
      </c>
      <c r="V10" s="36">
        <f>VLOOKUP($A10,[26]HISTOOCT25!$A$6:$AU$51,19,0)</f>
        <v>0</v>
      </c>
      <c r="W10" s="36">
        <f>VLOOKUP($A10,[26]HISTOOCT25!$A$6:$AU$51,20,0)</f>
        <v>0</v>
      </c>
      <c r="X10" s="36">
        <f>VLOOKUP($A10,[26]HISTOOCT25!$A$6:$AU$51,27,0)</f>
        <v>0</v>
      </c>
      <c r="Y10" s="36">
        <f>VLOOKUP($A10,[26]HISTOOCT25!$A$6:$BM$51,33,0)</f>
        <v>0</v>
      </c>
      <c r="Z10" s="36">
        <f>VLOOKUP($A10,[26]HISTOOCT25!$A$6:$BM$51,64,0)</f>
        <v>0</v>
      </c>
      <c r="AA10" s="36"/>
      <c r="AB10" s="36">
        <f>VLOOKUP($A10,[26]HISTOOCT25!$A$6:$AU$51,44,0)</f>
        <v>0</v>
      </c>
      <c r="AC10" s="36">
        <f>VLOOKUP($A10,[26]HISTOOCT25!$A$6:$AU$51,43,0)</f>
        <v>0</v>
      </c>
      <c r="AD10" s="36">
        <f>VLOOKUP($A10,[26]HISTOOCT25!$A$6:$BR$51,47,0)</f>
        <v>0</v>
      </c>
      <c r="AE10" s="36">
        <f>VLOOKUP(A10,[26]HISTOOCT25!$A$6:$BR$51,54,0)</f>
        <v>0</v>
      </c>
      <c r="AF10" s="36">
        <f>VLOOKUP($A10,[26]HISTOOCT25!$A$6:$BR$51,60,0)</f>
        <v>0</v>
      </c>
      <c r="AG10" s="36">
        <f>VLOOKUP($A10,[26]HISTOOCT25!$A$6:$CB$51,61,0)</f>
        <v>0</v>
      </c>
      <c r="AH10" s="36">
        <f>VLOOKUP($A10,[26]HISTOOCT25!$A$6:$CB$51,62,0)</f>
        <v>0</v>
      </c>
      <c r="AI10" s="36">
        <f>VLOOKUP($A10,[26]HISTOOCT25!$A$6:$CB$51,63,0)</f>
        <v>0</v>
      </c>
      <c r="AJ10" s="36">
        <f>VLOOKUP($A10,[26]HISTOOCT25!$A$6:$BR$51,64,0)</f>
        <v>0</v>
      </c>
      <c r="AK10" s="36">
        <f>VLOOKUP($A10,[26]HISTOOCT25!$A$6:$BR$51,65,0)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VLOOKUP($A11,[26]HISTOOCT25!$A$6:$BA$51,48,0)</f>
        <v>0</v>
      </c>
      <c r="F11" s="36">
        <f>VLOOKUP(A11,MVTSEPT25!A11:AM47,6,0)+MVTSEPT25!H11-E11+L11</f>
        <v>1311167.8654416555</v>
      </c>
      <c r="G11" s="5">
        <f>IF(MVTOCT25!F11&gt;800000,(MVTAVRIL25!I11-E11+L11),0)</f>
        <v>960862.96530022437</v>
      </c>
      <c r="H11" s="36">
        <f>VLOOKUP(A11,[27]MVTOCT25!$A$6:$AM$42,8,0)</f>
        <v>4001.2673383056658</v>
      </c>
      <c r="I11" s="6">
        <f t="shared" si="1"/>
        <v>1315169.1327799612</v>
      </c>
      <c r="J11" s="36">
        <f>VLOOKUP($A11,[26]HISTOOCT25!$A$6:$AQ$51,22,0)</f>
        <v>0</v>
      </c>
      <c r="K11" s="36">
        <f>VLOOKUP($A11,[26]HISTOOCT25!$A$6:$AU$51,45,0)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VLOOKUP($A11,[26]HISTOOCT25!$A$6:$AU$51,8,0)</f>
        <v>3000</v>
      </c>
      <c r="Q11" s="36">
        <f>VLOOKUP($A11,[26]HISTOOCT25!$A$6:$AU$51,23,0)</f>
        <v>0</v>
      </c>
      <c r="R11" s="36">
        <f>VLOOKUP($A11,[26]HISTOOCT25!$A$6:$AU$51,46,0)</f>
        <v>0</v>
      </c>
      <c r="S11" s="36">
        <f>VLOOKUP($A11,[26]HISTOOCT25!$A$6:$AU$51,26,0)</f>
        <v>0</v>
      </c>
      <c r="T11" s="36">
        <f>VLOOKUP($A11,[26]HISTOOCT25!$A$6:$BG$51,58,0)</f>
        <v>0</v>
      </c>
      <c r="U11" s="36">
        <f>VLOOKUP($A11,[26]HISTOOCT25!$A$6:$AU$51,28,0)</f>
        <v>0</v>
      </c>
      <c r="V11" s="36">
        <f>VLOOKUP($A11,[26]HISTOOCT25!$A$6:$AU$51,19,0)</f>
        <v>0</v>
      </c>
      <c r="W11" s="36">
        <f>VLOOKUP($A11,[26]HISTOOCT25!$A$6:$AU$51,20,0)</f>
        <v>0</v>
      </c>
      <c r="X11" s="36">
        <f>VLOOKUP($A11,[26]HISTOOCT25!$A$6:$AU$51,27,0)</f>
        <v>0</v>
      </c>
      <c r="Y11" s="36">
        <f>VLOOKUP($A11,[26]HISTOOCT25!$A$6:$BM$51,33,0)</f>
        <v>0</v>
      </c>
      <c r="Z11" s="36">
        <f>VLOOKUP($A11,[26]HISTOOCT25!$A$6:$BM$51,64,0)</f>
        <v>0</v>
      </c>
      <c r="AA11" s="36"/>
      <c r="AB11" s="36">
        <f>VLOOKUP($A11,[26]HISTOOCT25!$A$6:$AU$51,44,0)</f>
        <v>0</v>
      </c>
      <c r="AC11" s="36">
        <f>VLOOKUP($A11,[26]HISTOOCT25!$A$6:$AU$51,43,0)</f>
        <v>0</v>
      </c>
      <c r="AD11" s="36">
        <f>VLOOKUP($A11,[26]HISTOOCT25!$A$6:$BR$51,47,0)</f>
        <v>0</v>
      </c>
      <c r="AE11" s="36">
        <f>VLOOKUP(A11,[26]HISTOOCT25!$A$6:$BR$51,54,0)</f>
        <v>0</v>
      </c>
      <c r="AF11" s="36">
        <f>VLOOKUP($A11,[26]HISTOOCT25!$A$6:$BR$51,60,0)</f>
        <v>0</v>
      </c>
      <c r="AG11" s="36">
        <f>VLOOKUP($A11,[26]HISTOOCT25!$A$6:$CB$51,61,0)</f>
        <v>0</v>
      </c>
      <c r="AH11" s="36">
        <f>VLOOKUP($A11,[26]HISTOOCT25!$A$6:$CB$51,62,0)</f>
        <v>0</v>
      </c>
      <c r="AI11" s="36">
        <f>VLOOKUP($A11,[26]HISTOOCT25!$A$6:$CB$51,63,0)</f>
        <v>0</v>
      </c>
      <c r="AJ11" s="36">
        <f>VLOOKUP($A11,[26]HISTOOCT25!$A$6:$BR$51,64,0)</f>
        <v>0</v>
      </c>
      <c r="AK11" s="36">
        <f>VLOOKUP($A11,[26]HISTOOCT25!$A$6:$BR$51,65,0)</f>
        <v>0</v>
      </c>
    </row>
    <row r="12" spans="1:39" ht="15" customHeight="1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VLOOKUP($A12,[26]HISTOOCT25!$A$6:$BA$51,48,0)</f>
        <v>0</v>
      </c>
      <c r="F12" s="36">
        <f>VLOOKUP(A12,MVTSEPT25!A12:AM48,6,0)+MVTSEPT25!H12-E12+L12</f>
        <v>1854784.8811997913</v>
      </c>
      <c r="G12" s="5">
        <f>IF(MVTOCT25!F12&gt;800000,(MVTAVRIL25!I12-E12+L12),0)</f>
        <v>1693870.9161111314</v>
      </c>
      <c r="H12" s="36">
        <f>VLOOKUP(A12,[27]MVTOCT25!$A$6:$AM$42,8,0)</f>
        <v>5660.2135854115186</v>
      </c>
      <c r="I12" s="6">
        <f t="shared" si="1"/>
        <v>1860445.0947852028</v>
      </c>
      <c r="J12" s="36">
        <f>VLOOKUP($A12,[26]HISTOOCT25!$A$6:$AQ$51,22,0)</f>
        <v>0</v>
      </c>
      <c r="K12" s="36">
        <f>VLOOKUP($A12,[26]HISTOOCT25!$A$6:$AU$51,45,0)</f>
        <v>48500</v>
      </c>
      <c r="L12" s="36">
        <f t="shared" si="2"/>
        <v>42500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VLOOKUP($A12,[26]HISTOOCT25!$A$6:$AU$51,8,0)</f>
        <v>0</v>
      </c>
      <c r="Q12" s="36">
        <f>VLOOKUP($A12,[26]HISTOOCT25!$A$6:$AU$51,23,0)</f>
        <v>0</v>
      </c>
      <c r="R12" s="36">
        <f>VLOOKUP($A12,[26]HISTOOCT25!$A$6:$AU$51,46,0)</f>
        <v>0</v>
      </c>
      <c r="S12" s="36">
        <f>VLOOKUP($A12,[26]HISTOOCT25!$A$6:$AU$51,26,0)</f>
        <v>150000</v>
      </c>
      <c r="T12" s="36">
        <f>VLOOKUP($A12,[26]HISTOOCT25!$A$6:$BG$51,58,0)</f>
        <v>1500</v>
      </c>
      <c r="U12" s="36">
        <f>VLOOKUP($A12,[26]HISTOOCT25!$A$6:$AU$51,28,0)</f>
        <v>0</v>
      </c>
      <c r="V12" s="36">
        <f>VLOOKUP($A12,[26]HISTOOCT25!$A$6:$AU$51,19,0)</f>
        <v>1000000</v>
      </c>
      <c r="W12" s="36" t="str">
        <f>VLOOKUP($A12,[26]HISTOOCT25!$A$6:$AU$51,20,0)</f>
        <v>BANQUE</v>
      </c>
      <c r="X12" s="36">
        <f>VLOOKUP($A12,[26]HISTOOCT25!$A$6:$AU$51,27,0)</f>
        <v>0</v>
      </c>
      <c r="Y12" s="36">
        <f>VLOOKUP($A12,[26]HISTOOCT25!$A$6:$BM$51,33,0)</f>
        <v>0</v>
      </c>
      <c r="Z12" s="36">
        <f>VLOOKUP($A12,[26]HISTOOCT25!$A$6:$BM$51,64,0)</f>
        <v>0</v>
      </c>
      <c r="AA12" s="36"/>
      <c r="AB12" s="36">
        <f>VLOOKUP($A12,[26]HISTOOCT25!$A$6:$AU$51,44,0)</f>
        <v>0</v>
      </c>
      <c r="AC12" s="36">
        <f>VLOOKUP($A12,[26]HISTOOCT25!$A$6:$AU$51,43,0)</f>
        <v>0</v>
      </c>
      <c r="AD12" s="36">
        <f>VLOOKUP($A12,[26]HISTOOCT25!$A$6:$BR$51,47,0)</f>
        <v>0</v>
      </c>
      <c r="AE12" s="36">
        <f>VLOOKUP(A12,[26]HISTOOCT25!$A$6:$BR$51,54,0)</f>
        <v>0</v>
      </c>
      <c r="AF12" s="36">
        <f>VLOOKUP($A12,[26]HISTOOCT25!$A$6:$BR$51,60,0)</f>
        <v>0</v>
      </c>
      <c r="AG12" s="36">
        <f>VLOOKUP($A12,[26]HISTOOCT25!$A$6:$CB$51,61,0)</f>
        <v>0</v>
      </c>
      <c r="AH12" s="36">
        <f>VLOOKUP($A12,[26]HISTOOCT25!$A$6:$CB$51,62,0)</f>
        <v>0</v>
      </c>
      <c r="AI12" s="36">
        <f>VLOOKUP($A12,[26]HISTOOCT25!$A$6:$CB$51,63,0)</f>
        <v>0</v>
      </c>
      <c r="AJ12" s="36">
        <f>VLOOKUP($A12,[26]HISTOOCT25!$A$6:$BR$51,64,0)</f>
        <v>0</v>
      </c>
      <c r="AK12" s="36">
        <f>VLOOKUP($A12,[26]HISTOOCT25!$A$6:$BR$51,65,0)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VLOOKUP($A13,[26]HISTOOCT25!$A$6:$BA$51,48,0)</f>
        <v>0</v>
      </c>
      <c r="F13" s="36">
        <f>VLOOKUP(A13,MVTSEPT25!A13:AM49,6,0)+MVTSEPT25!H13-E13+L13</f>
        <v>1060947.4262334674</v>
      </c>
      <c r="G13" s="5">
        <f>IF(MVTOCT25!F13&gt;800000,(MVTAVRIL25!I13-E13+L13),0)</f>
        <v>960839.16973006097</v>
      </c>
      <c r="H13" s="36">
        <f>VLOOKUP(A13,[27]MVTOCT25!$A$6:$AM$42,8,0)</f>
        <v>3237.6741347436064</v>
      </c>
      <c r="I13" s="6">
        <f t="shared" si="1"/>
        <v>1064185.100368211</v>
      </c>
      <c r="J13" s="36">
        <f>VLOOKUP($A13,[26]HISTOOCT25!$A$6:$AQ$51,22,0)</f>
        <v>0</v>
      </c>
      <c r="K13" s="36">
        <f>VLOOKUP($A13,[26]HISTOOCT25!$A$6:$AU$51,45,0)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VLOOKUP($A13,[26]HISTOOCT25!$A$6:$AU$51,8,0)</f>
        <v>0</v>
      </c>
      <c r="Q13" s="36">
        <f>VLOOKUP($A13,[26]HISTOOCT25!$A$6:$AU$51,23,0)</f>
        <v>0</v>
      </c>
      <c r="R13" s="36">
        <f>VLOOKUP($A13,[26]HISTOOCT25!$A$6:$AU$51,46,0)</f>
        <v>0</v>
      </c>
      <c r="S13" s="36">
        <f>VLOOKUP($A13,[26]HISTOOCT25!$A$6:$AU$51,26,0)</f>
        <v>0</v>
      </c>
      <c r="T13" s="36">
        <f>VLOOKUP($A13,[26]HISTOOCT25!$A$6:$BG$51,58,0)</f>
        <v>0</v>
      </c>
      <c r="U13" s="36">
        <f>VLOOKUP($A13,[26]HISTOOCT25!$A$6:$AU$51,28,0)</f>
        <v>0</v>
      </c>
      <c r="V13" s="36">
        <f>VLOOKUP($A13,[26]HISTOOCT25!$A$6:$AU$51,19,0)</f>
        <v>0</v>
      </c>
      <c r="W13" s="36">
        <f>VLOOKUP($A13,[26]HISTOOCT25!$A$6:$AU$51,20,0)</f>
        <v>0</v>
      </c>
      <c r="X13" s="36">
        <f>VLOOKUP($A13,[26]HISTOOCT25!$A$6:$AU$51,27,0)</f>
        <v>0</v>
      </c>
      <c r="Y13" s="36">
        <f>VLOOKUP($A13,[26]HISTOOCT25!$A$6:$BM$51,33,0)</f>
        <v>0</v>
      </c>
      <c r="Z13" s="36">
        <f>VLOOKUP($A13,[26]HISTOOCT25!$A$6:$BM$51,64,0)</f>
        <v>0</v>
      </c>
      <c r="AA13" s="36"/>
      <c r="AB13" s="36">
        <f>VLOOKUP($A13,[26]HISTOOCT25!$A$6:$AU$51,44,0)</f>
        <v>0</v>
      </c>
      <c r="AC13" s="36">
        <f>VLOOKUP($A13,[26]HISTOOCT25!$A$6:$AU$51,43,0)</f>
        <v>0</v>
      </c>
      <c r="AD13" s="36">
        <f>VLOOKUP($A13,[26]HISTOOCT25!$A$6:$BR$51,47,0)</f>
        <v>0</v>
      </c>
      <c r="AE13" s="36">
        <f>VLOOKUP(A13,[26]HISTOOCT25!$A$6:$BR$51,54,0)</f>
        <v>0</v>
      </c>
      <c r="AF13" s="36">
        <f>VLOOKUP($A13,[26]HISTOOCT25!$A$6:$BR$51,60,0)</f>
        <v>0</v>
      </c>
      <c r="AG13" s="36">
        <f>VLOOKUP($A13,[26]HISTOOCT25!$A$6:$CB$51,61,0)</f>
        <v>0</v>
      </c>
      <c r="AH13" s="36">
        <f>VLOOKUP($A13,[26]HISTOOCT25!$A$6:$CB$51,62,0)</f>
        <v>0</v>
      </c>
      <c r="AI13" s="36">
        <f>VLOOKUP($A13,[26]HISTOOCT25!$A$6:$CB$51,63,0)</f>
        <v>0</v>
      </c>
      <c r="AJ13" s="36">
        <f>VLOOKUP($A13,[26]HISTOOCT25!$A$6:$BR$51,64,0)</f>
        <v>0</v>
      </c>
      <c r="AK13" s="36">
        <f>VLOOKUP($A13,[26]HISTOOCT25!$A$6:$BR$51,65,0)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VLOOKUP($A14,[26]HISTOOCT25!$A$6:$BA$51,48,0)</f>
        <v>0</v>
      </c>
      <c r="F14" s="36">
        <f>VLOOKUP(A14,MVTSEPT25!A14:AM50,6,0)+MVTSEPT25!H14-E14+L14</f>
        <v>1808266.8194641378</v>
      </c>
      <c r="G14" s="5">
        <f>IF(MVTOCT25!F14&gt;800000,(MVTAVRIL25!I14-E14+L14),0)</f>
        <v>1704311.1164119579</v>
      </c>
      <c r="H14" s="36">
        <f>VLOOKUP(A14,[27]MVTOCT25!$A$6:$AM$42,8,0)</f>
        <v>5518.2552550024211</v>
      </c>
      <c r="I14" s="6">
        <f t="shared" si="1"/>
        <v>1813785.0747191403</v>
      </c>
      <c r="J14" s="36">
        <f>VLOOKUP($A14,[26]HISTOOCT25!$A$6:$AQ$51,22,0)</f>
        <v>0</v>
      </c>
      <c r="K14" s="36">
        <f>VLOOKUP($A14,[26]HISTOOCT25!$A$6:$AU$51,45,0)</f>
        <v>22000</v>
      </c>
      <c r="L14" s="36">
        <f t="shared" si="2"/>
        <v>16000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VLOOKUP($A14,[26]HISTOOCT25!$A$6:$AU$51,8,0)</f>
        <v>3000</v>
      </c>
      <c r="Q14" s="36">
        <f>VLOOKUP($A14,[26]HISTOOCT25!$A$6:$AU$51,23,0)</f>
        <v>0</v>
      </c>
      <c r="R14" s="36">
        <f>VLOOKUP($A14,[26]HISTOOCT25!$A$6:$AU$51,46,0)</f>
        <v>0</v>
      </c>
      <c r="S14" s="36">
        <f>VLOOKUP($A14,[26]HISTOOCT25!$A$6:$AU$51,26,0)</f>
        <v>0</v>
      </c>
      <c r="T14" s="36">
        <f>VLOOKUP($A14,[26]HISTOOCT25!$A$6:$BG$51,58,0)</f>
        <v>0</v>
      </c>
      <c r="U14" s="36">
        <f>VLOOKUP($A14,[26]HISTOOCT25!$A$6:$AU$51,28,0)</f>
        <v>0</v>
      </c>
      <c r="V14" s="36">
        <f>VLOOKUP($A14,[26]HISTOOCT25!$A$6:$AU$51,19,0)</f>
        <v>0</v>
      </c>
      <c r="W14" s="36">
        <f>VLOOKUP($A14,[26]HISTOOCT25!$A$6:$AU$51,20,0)</f>
        <v>0</v>
      </c>
      <c r="X14" s="36">
        <f>VLOOKUP($A14,[26]HISTOOCT25!$A$6:$AU$51,27,0)</f>
        <v>0</v>
      </c>
      <c r="Y14" s="36">
        <f>VLOOKUP($A14,[26]HISTOOCT25!$A$6:$BM$51,33,0)</f>
        <v>0</v>
      </c>
      <c r="Z14" s="36">
        <f>VLOOKUP($A14,[26]HISTOOCT25!$A$6:$BM$51,64,0)</f>
        <v>0</v>
      </c>
      <c r="AA14" s="36"/>
      <c r="AB14" s="36">
        <f>VLOOKUP($A14,[26]HISTOOCT25!$A$6:$AU$51,44,0)</f>
        <v>0</v>
      </c>
      <c r="AC14" s="36">
        <f>VLOOKUP($A14,[26]HISTOOCT25!$A$6:$AU$51,43,0)</f>
        <v>0</v>
      </c>
      <c r="AD14" s="36">
        <f>VLOOKUP($A14,[26]HISTOOCT25!$A$6:$BR$51,47,0)</f>
        <v>0</v>
      </c>
      <c r="AE14" s="36">
        <f>VLOOKUP(A14,[26]HISTOOCT25!$A$6:$BR$51,54,0)</f>
        <v>0</v>
      </c>
      <c r="AF14" s="36">
        <f>VLOOKUP($A14,[26]HISTOOCT25!$A$6:$BR$51,60,0)</f>
        <v>0</v>
      </c>
      <c r="AG14" s="36">
        <f>VLOOKUP($A14,[26]HISTOOCT25!$A$6:$CB$51,61,0)</f>
        <v>0</v>
      </c>
      <c r="AH14" s="36">
        <f>VLOOKUP($A14,[26]HISTOOCT25!$A$6:$CB$51,62,0)</f>
        <v>0</v>
      </c>
      <c r="AI14" s="36">
        <f>VLOOKUP($A14,[26]HISTOOCT25!$A$6:$CB$51,63,0)</f>
        <v>0</v>
      </c>
      <c r="AJ14" s="36">
        <f>VLOOKUP($A14,[26]HISTOOCT25!$A$6:$BR$51,64,0)</f>
        <v>0</v>
      </c>
      <c r="AK14" s="36">
        <f>VLOOKUP($A14,[26]HISTOOCT25!$A$6:$BR$51,65,0)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VLOOKUP($A15,[26]HISTOOCT25!$A$6:$BA$51,48,0)</f>
        <v>0</v>
      </c>
      <c r="F15" s="36">
        <f>VLOOKUP(A15,MVTSEPT25!A15:AM51,6,0)+MVTSEPT25!H15-E15+L15</f>
        <v>1789000</v>
      </c>
      <c r="G15" s="5">
        <f>IF(MVTOCT25!F15&gt;800000,(MVTAVRIL25!I15-E15+L15),0)</f>
        <v>95000</v>
      </c>
      <c r="H15" s="36">
        <f>VLOOKUP(A15,[27]MVTOCT25!$A$6:$AM$42,8,0)</f>
        <v>4998.6550714747709</v>
      </c>
      <c r="I15" s="6">
        <f t="shared" si="1"/>
        <v>1793998.6550714748</v>
      </c>
      <c r="J15" s="36">
        <f>VLOOKUP($A15,[26]HISTOOCT25!$A$6:$AQ$51,22,0)</f>
        <v>0</v>
      </c>
      <c r="K15" s="36">
        <f>VLOOKUP($A15,[26]HISTOOCT25!$A$6:$AU$51,45,0)</f>
        <v>25000</v>
      </c>
      <c r="L15" s="36">
        <f t="shared" si="2"/>
        <v>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VLOOKUP($A15,[26]HISTOOCT25!$A$6:$AU$51,8,0)</f>
        <v>0</v>
      </c>
      <c r="Q15" s="36">
        <f>VLOOKUP($A15,[26]HISTOOCT25!$A$6:$AU$51,23,0)</f>
        <v>0</v>
      </c>
      <c r="R15" s="36">
        <f>VLOOKUP($A15,[26]HISTOOCT25!$A$6:$AU$51,46,0)</f>
        <v>0</v>
      </c>
      <c r="S15" s="36">
        <f>VLOOKUP($A15,[26]HISTOOCT25!$A$6:$AU$51,26,0)</f>
        <v>0</v>
      </c>
      <c r="T15" s="36">
        <f>VLOOKUP($A15,[26]HISTOOCT25!$A$6:$BG$51,58,0)</f>
        <v>0</v>
      </c>
      <c r="U15" s="36">
        <f>VLOOKUP($A15,[26]HISTOOCT25!$A$6:$AU$51,28,0)</f>
        <v>0</v>
      </c>
      <c r="V15" s="36">
        <f>VLOOKUP($A15,[26]HISTOOCT25!$A$6:$AU$51,19,0)</f>
        <v>0</v>
      </c>
      <c r="W15" s="36">
        <f>VLOOKUP($A15,[26]HISTOOCT25!$A$6:$AU$51,20,0)</f>
        <v>0</v>
      </c>
      <c r="X15" s="36">
        <f>VLOOKUP($A15,[26]HISTOOCT25!$A$6:$AU$51,27,0)</f>
        <v>0</v>
      </c>
      <c r="Y15" s="36">
        <f>VLOOKUP($A15,[26]HISTOOCT25!$A$6:$BM$51,33,0)</f>
        <v>0</v>
      </c>
      <c r="Z15" s="36">
        <f>VLOOKUP($A15,[26]HISTOOCT25!$A$6:$BM$51,64,0)</f>
        <v>0</v>
      </c>
      <c r="AA15" s="36"/>
      <c r="AB15" s="36">
        <f>VLOOKUP($A15,[26]HISTOOCT25!$A$6:$AU$51,44,0)</f>
        <v>0</v>
      </c>
      <c r="AC15" s="36">
        <f>VLOOKUP($A15,[26]HISTOOCT25!$A$6:$AU$51,43,0)</f>
        <v>0</v>
      </c>
      <c r="AD15" s="36">
        <f>VLOOKUP($A15,[26]HISTOOCT25!$A$6:$BR$51,47,0)</f>
        <v>0</v>
      </c>
      <c r="AE15" s="36">
        <f>VLOOKUP(A15,[26]HISTOOCT25!$A$6:$BR$51,54,0)</f>
        <v>0</v>
      </c>
      <c r="AF15" s="36">
        <f>VLOOKUP($A15,[26]HISTOOCT25!$A$6:$BR$51,60,0)</f>
        <v>0</v>
      </c>
      <c r="AG15" s="36">
        <f>VLOOKUP($A15,[26]HISTOOCT25!$A$6:$CB$51,61,0)</f>
        <v>0</v>
      </c>
      <c r="AH15" s="36">
        <f>VLOOKUP($A15,[26]HISTOOCT25!$A$6:$CB$51,62,0)</f>
        <v>0</v>
      </c>
      <c r="AI15" s="36">
        <f>VLOOKUP($A15,[26]HISTOOCT25!$A$6:$CB$51,63,0)</f>
        <v>0</v>
      </c>
      <c r="AJ15" s="36">
        <f>VLOOKUP($A15,[26]HISTOOCT25!$A$6:$BR$51,64,0)</f>
        <v>0</v>
      </c>
      <c r="AK15" s="36">
        <f>VLOOKUP($A15,[26]HISTOOCT25!$A$6:$BR$51,65,0)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VLOOKUP($A16,[26]HISTOOCT25!$A$6:$BA$51,48,0)</f>
        <v>0</v>
      </c>
      <c r="F16" s="36">
        <f>VLOOKUP(A16,MVTSEPT25!A16:AM52,6,0)+MVTSEPT25!H16-E16+L16</f>
        <v>1056759.054972895</v>
      </c>
      <c r="G16" s="5">
        <f>IF(MVTOCT25!F16&gt;800000,(MVTAVRIL25!I16-E16+L16),0)</f>
        <v>956672.27536945511</v>
      </c>
      <c r="H16" s="36">
        <f>VLOOKUP(A16,[27]MVTOCT25!$A$6:$AM$42,8,0)</f>
        <v>3224.8925576722513</v>
      </c>
      <c r="I16" s="6">
        <f t="shared" si="1"/>
        <v>1059983.9475305672</v>
      </c>
      <c r="J16" s="36">
        <f>VLOOKUP($A16,[26]HISTOOCT25!$A$6:$AQ$51,22,0)</f>
        <v>0</v>
      </c>
      <c r="K16" s="36">
        <f>VLOOKUP($A16,[26]HISTOOCT25!$A$6:$AU$51,45,0)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VLOOKUP($A16,[26]HISTOOCT25!$A$6:$AU$51,8,0)</f>
        <v>0</v>
      </c>
      <c r="Q16" s="36">
        <f>VLOOKUP($A16,[26]HISTOOCT25!$A$6:$AU$51,23,0)</f>
        <v>0</v>
      </c>
      <c r="R16" s="36">
        <f>VLOOKUP($A16,[26]HISTOOCT25!$A$6:$AU$51,46,0)</f>
        <v>0</v>
      </c>
      <c r="S16" s="36">
        <f>VLOOKUP($A16,[26]HISTOOCT25!$A$6:$AU$51,26,0)</f>
        <v>0</v>
      </c>
      <c r="T16" s="36">
        <f>VLOOKUP($A16,[26]HISTOOCT25!$A$6:$BG$51,58,0)</f>
        <v>0</v>
      </c>
      <c r="U16" s="36">
        <f>VLOOKUP($A16,[26]HISTOOCT25!$A$6:$AU$51,28,0)</f>
        <v>0</v>
      </c>
      <c r="V16" s="36">
        <f>VLOOKUP($A16,[26]HISTOOCT25!$A$6:$AU$51,19,0)</f>
        <v>0</v>
      </c>
      <c r="W16" s="36">
        <f>VLOOKUP($A16,[26]HISTOOCT25!$A$6:$AU$51,20,0)</f>
        <v>0</v>
      </c>
      <c r="X16" s="36">
        <f>VLOOKUP($A16,[26]HISTOOCT25!$A$6:$AU$51,27,0)</f>
        <v>0</v>
      </c>
      <c r="Y16" s="36">
        <f>VLOOKUP($A16,[26]HISTOOCT25!$A$6:$BM$51,33,0)</f>
        <v>0</v>
      </c>
      <c r="Z16" s="36">
        <f>VLOOKUP($A16,[26]HISTOOCT25!$A$6:$BM$51,64,0)</f>
        <v>0</v>
      </c>
      <c r="AA16" s="36"/>
      <c r="AB16" s="36">
        <f>VLOOKUP($A16,[26]HISTOOCT25!$A$6:$AU$51,44,0)</f>
        <v>0</v>
      </c>
      <c r="AC16" s="36">
        <f>VLOOKUP($A16,[26]HISTOOCT25!$A$6:$AU$51,43,0)</f>
        <v>0</v>
      </c>
      <c r="AD16" s="36">
        <f>VLOOKUP($A16,[26]HISTOOCT25!$A$6:$BR$51,47,0)</f>
        <v>0</v>
      </c>
      <c r="AE16" s="36">
        <f>VLOOKUP(A16,[26]HISTOOCT25!$A$6:$BR$51,54,0)</f>
        <v>0</v>
      </c>
      <c r="AF16" s="36">
        <f>VLOOKUP($A16,[26]HISTOOCT25!$A$6:$BR$51,60,0)</f>
        <v>0</v>
      </c>
      <c r="AG16" s="36">
        <f>VLOOKUP($A16,[26]HISTOOCT25!$A$6:$CB$51,61,0)</f>
        <v>0</v>
      </c>
      <c r="AH16" s="36">
        <f>VLOOKUP($A16,[26]HISTOOCT25!$A$6:$CB$51,62,0)</f>
        <v>0</v>
      </c>
      <c r="AI16" s="36">
        <f>VLOOKUP($A16,[26]HISTOOCT25!$A$6:$CB$51,63,0)</f>
        <v>0</v>
      </c>
      <c r="AJ16" s="36">
        <f>VLOOKUP($A16,[26]HISTOOCT25!$A$6:$BR$51,64,0)</f>
        <v>0</v>
      </c>
      <c r="AK16" s="36">
        <f>VLOOKUP($A16,[26]HISTOOCT25!$A$6:$BR$51,65,0)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VLOOKUP($A17,[26]HISTOOCT25!$A$6:$BA$51,48,0)</f>
        <v>0</v>
      </c>
      <c r="F17" s="36">
        <f>VLOOKUP(A17,MVTSEPT25!A17:AM53,6,0)+MVTSEPT25!H17-E17+L17</f>
        <v>1308329.9912385009</v>
      </c>
      <c r="G17" s="5">
        <f>IF(MVTOCT25!F17&gt;800000,(MVTAVRIL25!I17-E17+L17),0)</f>
        <v>1092859.9095470994</v>
      </c>
      <c r="H17" s="36">
        <f>VLOOKUP(A17,[27]MVTOCT25!$A$6:$AM$42,8,0)</f>
        <v>3992.6070487587758</v>
      </c>
      <c r="I17" s="6">
        <f t="shared" si="1"/>
        <v>1312322.5982872597</v>
      </c>
      <c r="J17" s="36">
        <f>VLOOKUP($A17,[26]HISTOOCT25!$A$6:$AQ$51,22,0)</f>
        <v>0</v>
      </c>
      <c r="K17" s="36">
        <f>VLOOKUP($A17,[26]HISTOOCT25!$A$6:$AU$51,45,0)</f>
        <v>50000</v>
      </c>
      <c r="L17" s="36">
        <f t="shared" si="2"/>
        <v>44000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VLOOKUP($A17,[26]HISTOOCT25!$A$6:$AU$51,8,0)</f>
        <v>0</v>
      </c>
      <c r="Q17" s="36">
        <f>VLOOKUP($A17,[26]HISTOOCT25!$A$6:$AU$51,23,0)</f>
        <v>0</v>
      </c>
      <c r="R17" s="36">
        <f>VLOOKUP($A17,[26]HISTOOCT25!$A$6:$AU$51,46,0)</f>
        <v>0</v>
      </c>
      <c r="S17" s="36">
        <f>VLOOKUP($A17,[26]HISTOOCT25!$A$6:$AU$51,26,0)</f>
        <v>400000</v>
      </c>
      <c r="T17" s="36">
        <f>VLOOKUP($A17,[26]HISTOOCT25!$A$6:$BG$51,58,0)</f>
        <v>4000</v>
      </c>
      <c r="U17" s="36">
        <f>VLOOKUP($A17,[26]HISTOOCT25!$A$6:$AU$51,28,0)</f>
        <v>0</v>
      </c>
      <c r="V17" s="36">
        <f>VLOOKUP($A17,[26]HISTOOCT25!$A$6:$AU$51,19,0)</f>
        <v>400000</v>
      </c>
      <c r="W17" s="36" t="str">
        <f>VLOOKUP($A17,[26]HISTOOCT25!$A$6:$AU$51,20,0)</f>
        <v>BANQUE</v>
      </c>
      <c r="X17" s="36" t="str">
        <f>VLOOKUP($A17,[26]HISTOOCT25!$A$6:$AU$51,27,0)</f>
        <v>BANQUE</v>
      </c>
      <c r="Y17" s="36">
        <f>VLOOKUP($A17,[26]HISTOOCT25!$A$6:$BM$51,33,0)</f>
        <v>0</v>
      </c>
      <c r="Z17" s="36">
        <f>VLOOKUP($A17,[26]HISTOOCT25!$A$6:$BM$51,64,0)</f>
        <v>0</v>
      </c>
      <c r="AA17" s="36"/>
      <c r="AB17" s="36">
        <f>VLOOKUP($A17,[26]HISTOOCT25!$A$6:$AU$51,44,0)</f>
        <v>0</v>
      </c>
      <c r="AC17" s="36">
        <f>VLOOKUP($A17,[26]HISTOOCT25!$A$6:$AU$51,43,0)</f>
        <v>0</v>
      </c>
      <c r="AD17" s="36">
        <f>VLOOKUP($A17,[26]HISTOOCT25!$A$6:$BR$51,47,0)</f>
        <v>0</v>
      </c>
      <c r="AE17" s="36">
        <f>VLOOKUP(A17,[26]HISTOOCT25!$A$6:$BR$51,54,0)</f>
        <v>0</v>
      </c>
      <c r="AF17" s="36">
        <f>VLOOKUP($A17,[26]HISTOOCT25!$A$6:$BR$51,60,0)</f>
        <v>0</v>
      </c>
      <c r="AG17" s="36">
        <f>VLOOKUP($A17,[26]HISTOOCT25!$A$6:$CB$51,61,0)</f>
        <v>0</v>
      </c>
      <c r="AH17" s="36">
        <f>VLOOKUP($A17,[26]HISTOOCT25!$A$6:$CB$51,62,0)</f>
        <v>0</v>
      </c>
      <c r="AI17" s="36">
        <f>VLOOKUP($A17,[26]HISTOOCT25!$A$6:$CB$51,63,0)</f>
        <v>0</v>
      </c>
      <c r="AJ17" s="36">
        <f>VLOOKUP($A17,[26]HISTOOCT25!$A$6:$BR$51,64,0)</f>
        <v>0</v>
      </c>
      <c r="AK17" s="36">
        <f>VLOOKUP($A17,[26]HISTOOCT25!$A$6:$BR$51,65,0)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VLOOKUP($A18,[26]HISTOOCT25!$A$6:$BA$51,48,0)</f>
        <v>0</v>
      </c>
      <c r="F18" s="36">
        <f>VLOOKUP(A18,MVTSEPT25!A18:AM54,6,0)+MVTSEPT25!H18-E18+L18</f>
        <v>1060934.4901754486</v>
      </c>
      <c r="G18" s="5">
        <f>IF(MVTOCT25!F18&gt;800000,(MVTAVRIL25!I18-E18+L18),0)</f>
        <v>960826.30000484944</v>
      </c>
      <c r="H18" s="36">
        <f>VLOOKUP(A18,[27]MVTOCT25!$A$6:$AM$42,8,0)</f>
        <v>3237.634658008551</v>
      </c>
      <c r="I18" s="6">
        <f t="shared" si="1"/>
        <v>1064172.1248334572</v>
      </c>
      <c r="J18" s="36">
        <f>VLOOKUP($A18,[26]HISTOOCT25!$A$6:$AQ$51,22,0)</f>
        <v>0</v>
      </c>
      <c r="K18" s="36">
        <f>VLOOKUP($A18,[26]HISTOOCT25!$A$6:$AU$51,45,0)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VLOOKUP($A18,[26]HISTOOCT25!$A$6:$AU$51,8,0)</f>
        <v>0</v>
      </c>
      <c r="Q18" s="36">
        <f>VLOOKUP($A18,[26]HISTOOCT25!$A$6:$AU$51,23,0)</f>
        <v>0</v>
      </c>
      <c r="R18" s="36">
        <f>VLOOKUP($A18,[26]HISTOOCT25!$A$6:$AU$51,46,0)</f>
        <v>0</v>
      </c>
      <c r="S18" s="36">
        <f>VLOOKUP($A18,[26]HISTOOCT25!$A$6:$AU$51,26,0)</f>
        <v>0</v>
      </c>
      <c r="T18" s="36">
        <f>VLOOKUP($A18,[26]HISTOOCT25!$A$6:$BG$51,58,0)</f>
        <v>0</v>
      </c>
      <c r="U18" s="36">
        <f>VLOOKUP($A18,[26]HISTOOCT25!$A$6:$AU$51,28,0)</f>
        <v>0</v>
      </c>
      <c r="V18" s="36">
        <f>VLOOKUP($A18,[26]HISTOOCT25!$A$6:$AU$51,19,0)</f>
        <v>0</v>
      </c>
      <c r="W18" s="36">
        <f>VLOOKUP($A18,[26]HISTOOCT25!$A$6:$AU$51,20,0)</f>
        <v>0</v>
      </c>
      <c r="X18" s="36">
        <f>VLOOKUP($A18,[26]HISTOOCT25!$A$6:$AU$51,27,0)</f>
        <v>0</v>
      </c>
      <c r="Y18" s="36">
        <f>VLOOKUP($A18,[26]HISTOOCT25!$A$6:$BM$51,33,0)</f>
        <v>0</v>
      </c>
      <c r="Z18" s="36">
        <f>VLOOKUP($A18,[26]HISTOOCT25!$A$6:$BM$51,64,0)</f>
        <v>0</v>
      </c>
      <c r="AA18" s="36"/>
      <c r="AB18" s="36">
        <f>VLOOKUP($A18,[26]HISTOOCT25!$A$6:$AU$51,44,0)</f>
        <v>0</v>
      </c>
      <c r="AC18" s="36">
        <f>VLOOKUP($A18,[26]HISTOOCT25!$A$6:$AU$51,43,0)</f>
        <v>0</v>
      </c>
      <c r="AD18" s="36">
        <f>VLOOKUP($A18,[26]HISTOOCT25!$A$6:$BR$51,47,0)</f>
        <v>0</v>
      </c>
      <c r="AE18" s="36">
        <f>VLOOKUP(A18,[26]HISTOOCT25!$A$6:$BR$51,54,0)</f>
        <v>0</v>
      </c>
      <c r="AF18" s="36">
        <f>VLOOKUP($A18,[26]HISTOOCT25!$A$6:$BR$51,60,0)</f>
        <v>0</v>
      </c>
      <c r="AG18" s="36">
        <f>VLOOKUP($A18,[26]HISTOOCT25!$A$6:$CB$51,61,0)</f>
        <v>0</v>
      </c>
      <c r="AH18" s="36">
        <f>VLOOKUP($A18,[26]HISTOOCT25!$A$6:$CB$51,62,0)</f>
        <v>0</v>
      </c>
      <c r="AI18" s="36">
        <f>VLOOKUP($A18,[26]HISTOOCT25!$A$6:$CB$51,63,0)</f>
        <v>0</v>
      </c>
      <c r="AJ18" s="36">
        <f>VLOOKUP($A18,[26]HISTOOCT25!$A$6:$BR$51,64,0)</f>
        <v>0</v>
      </c>
      <c r="AK18" s="36">
        <f>VLOOKUP($A18,[26]HISTOOCT25!$A$6:$BR$51,65,0)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VLOOKUP($A19,[26]HISTOOCT25!$A$6:$BA$51,48,0)</f>
        <v>0</v>
      </c>
      <c r="F19" s="36">
        <f>VLOOKUP(A19,MVTSEPT25!A19:AM55,6,0)+MVTSEPT25!H19-E19+L19</f>
        <v>1154158.8472685786</v>
      </c>
      <c r="G19" s="5">
        <f>IF(MVTOCT25!F19&gt;800000,(MVTAVRIL25!I19-E19+L19),0)</f>
        <v>1011742.1499443398</v>
      </c>
      <c r="H19" s="36">
        <f>VLOOKUP(A19,[27]MVTOCT25!$A$6:$AM$42,8,0)</f>
        <v>3522.1257479771402</v>
      </c>
      <c r="I19" s="6">
        <f t="shared" si="1"/>
        <v>1157680.9730165557</v>
      </c>
      <c r="J19" s="36">
        <f>VLOOKUP($A19,[26]HISTOOCT25!$A$6:$AQ$51,22,0)</f>
        <v>0</v>
      </c>
      <c r="K19" s="36">
        <f>VLOOKUP($A19,[26]HISTOOCT25!$A$6:$AU$51,45,0)</f>
        <v>32000</v>
      </c>
      <c r="L19" s="36">
        <f t="shared" si="2"/>
        <v>26000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VLOOKUP($A19,[26]HISTOOCT25!$A$6:$AU$51,8,0)</f>
        <v>3000</v>
      </c>
      <c r="Q19" s="36">
        <f>VLOOKUP($A19,[26]HISTOOCT25!$A$6:$AU$51,23,0)</f>
        <v>0</v>
      </c>
      <c r="R19" s="36">
        <f>VLOOKUP($A19,[26]HISTOOCT25!$A$6:$AU$51,46,0)</f>
        <v>0</v>
      </c>
      <c r="S19" s="36">
        <f>VLOOKUP($A19,[26]HISTOOCT25!$A$6:$AU$51,26,0)</f>
        <v>0</v>
      </c>
      <c r="T19" s="36">
        <f>VLOOKUP($A19,[26]HISTOOCT25!$A$6:$BG$51,58,0)</f>
        <v>0</v>
      </c>
      <c r="U19" s="36">
        <f>VLOOKUP($A19,[26]HISTOOCT25!$A$6:$AU$51,28,0)</f>
        <v>0</v>
      </c>
      <c r="V19" s="36">
        <f>VLOOKUP($A19,[26]HISTOOCT25!$A$6:$AU$51,19,0)</f>
        <v>0</v>
      </c>
      <c r="W19" s="36">
        <f>VLOOKUP($A19,[26]HISTOOCT25!$A$6:$AU$51,20,0)</f>
        <v>0</v>
      </c>
      <c r="X19" s="36">
        <f>VLOOKUP($A19,[26]HISTOOCT25!$A$6:$AU$51,27,0)</f>
        <v>0</v>
      </c>
      <c r="Y19" s="36">
        <f>VLOOKUP($A19,[26]HISTOOCT25!$A$6:$BM$51,33,0)</f>
        <v>0</v>
      </c>
      <c r="Z19" s="36">
        <f>VLOOKUP($A19,[26]HISTOOCT25!$A$6:$BM$51,64,0)</f>
        <v>0</v>
      </c>
      <c r="AA19" s="36"/>
      <c r="AB19" s="36">
        <f>VLOOKUP($A19,[26]HISTOOCT25!$A$6:$AU$51,44,0)</f>
        <v>0</v>
      </c>
      <c r="AC19" s="36">
        <f>VLOOKUP($A19,[26]HISTOOCT25!$A$6:$AU$51,43,0)</f>
        <v>0</v>
      </c>
      <c r="AD19" s="36">
        <f>VLOOKUP($A19,[26]HISTOOCT25!$A$6:$BR$51,47,0)</f>
        <v>0</v>
      </c>
      <c r="AE19" s="36">
        <f>VLOOKUP(A19,[26]HISTOOCT25!$A$6:$BR$51,54,0)</f>
        <v>0</v>
      </c>
      <c r="AF19" s="36">
        <f>VLOOKUP($A19,[26]HISTOOCT25!$A$6:$BR$51,60,0)</f>
        <v>0</v>
      </c>
      <c r="AG19" s="36">
        <f>VLOOKUP($A19,[26]HISTOOCT25!$A$6:$CB$51,61,0)</f>
        <v>0</v>
      </c>
      <c r="AH19" s="36">
        <f>VLOOKUP($A19,[26]HISTOOCT25!$A$6:$CB$51,62,0)</f>
        <v>0</v>
      </c>
      <c r="AI19" s="36">
        <f>VLOOKUP($A19,[26]HISTOOCT25!$A$6:$CB$51,63,0)</f>
        <v>0</v>
      </c>
      <c r="AJ19" s="36">
        <f>VLOOKUP($A19,[26]HISTOOCT25!$A$6:$BR$51,64,0)</f>
        <v>0</v>
      </c>
      <c r="AK19" s="36">
        <f>VLOOKUP($A19,[26]HISTOOCT25!$A$6:$BR$51,65,0)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VLOOKUP($A20,[26]HISTOOCT25!$A$6:$BA$51,48,0)</f>
        <v>0</v>
      </c>
      <c r="F20" s="36">
        <f>VLOOKUP(A20,MVTSEPT25!A20:AM56,6,0)+MVTSEPT25!H20-E20+L20</f>
        <v>450000</v>
      </c>
      <c r="G20" s="5">
        <f>IF(MVTOCT25!F20&gt;800000,(MVTAVRIL25!I20-E20+L20),0)</f>
        <v>0</v>
      </c>
      <c r="H20" s="36">
        <f>VLOOKUP(A20,[27]MVTOCT25!$A$6:$AM$42,8,0)</f>
        <v>0</v>
      </c>
      <c r="I20" s="6">
        <f t="shared" ref="I20" si="5">F20+H20</f>
        <v>450000</v>
      </c>
      <c r="J20" s="36">
        <f>VLOOKUP($A20,[26]HISTOOCT25!$A$6:$AQ$51,22,0)</f>
        <v>0</v>
      </c>
      <c r="K20" s="36">
        <f>VLOOKUP($A20,[26]HISTOOCT25!$A$6:$AU$51,45,0)</f>
        <v>0</v>
      </c>
      <c r="L20" s="36">
        <f>IF(K20=0,0,K20-(M20+N20+O20))+50000</f>
        <v>50000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VLOOKUP($A20,[26]HISTOOCT25!$A$6:$AU$51,8,0)</f>
        <v>0</v>
      </c>
      <c r="Q20" s="36">
        <f>VLOOKUP($A20,[26]HISTOOCT25!$A$6:$AU$51,23,0)</f>
        <v>0</v>
      </c>
      <c r="R20" s="36">
        <f>VLOOKUP($A20,[26]HISTOOCT25!$A$6:$AU$51,46,0)</f>
        <v>0</v>
      </c>
      <c r="S20" s="36">
        <f>VLOOKUP($A20,[26]HISTOOCT25!$A$6:$AU$51,26,0)</f>
        <v>0</v>
      </c>
      <c r="T20" s="36">
        <f>VLOOKUP($A20,[26]HISTOOCT25!$A$6:$BG$51,58,0)</f>
        <v>0</v>
      </c>
      <c r="U20" s="36">
        <f>VLOOKUP($A20,[26]HISTOOCT25!$A$6:$AU$51,28,0)</f>
        <v>0</v>
      </c>
      <c r="V20" s="36">
        <f>VLOOKUP($A20,[26]HISTOOCT25!$A$6:$AU$51,19,0)</f>
        <v>0</v>
      </c>
      <c r="W20" s="36">
        <f>VLOOKUP($A20,[26]HISTOOCT25!$A$6:$AU$51,20,0)</f>
        <v>0</v>
      </c>
      <c r="X20" s="36">
        <f>VLOOKUP($A20,[26]HISTOOCT25!$A$6:$AU$51,27,0)</f>
        <v>0</v>
      </c>
      <c r="Y20" s="36">
        <f>VLOOKUP($A20,[26]HISTOOCT25!$A$6:$BM$51,33,0)</f>
        <v>0</v>
      </c>
      <c r="Z20" s="36">
        <f>VLOOKUP($A20,[26]HISTOOCT25!$A$6:$BM$51,64,0)</f>
        <v>0</v>
      </c>
      <c r="AA20" s="36"/>
      <c r="AB20" s="36">
        <f>VLOOKUP($A20,[26]HISTOOCT25!$A$6:$AU$51,44,0)</f>
        <v>0</v>
      </c>
      <c r="AC20" s="36">
        <f>VLOOKUP($A20,[26]HISTOOCT25!$A$6:$AU$51,43,0)</f>
        <v>0</v>
      </c>
      <c r="AD20" s="36">
        <f>VLOOKUP($A20,[26]HISTOOCT25!$A$6:$BR$51,47,0)</f>
        <v>0</v>
      </c>
      <c r="AE20" s="36">
        <f>VLOOKUP(A20,[26]HISTOOCT25!$A$6:$BR$51,54,0)</f>
        <v>0</v>
      </c>
      <c r="AF20" s="36">
        <f>VLOOKUP($A20,[26]HISTOOCT25!$A$6:$BR$51,60,0)</f>
        <v>0</v>
      </c>
      <c r="AG20" s="36">
        <f>VLOOKUP($A20,[26]HISTOOCT25!$A$6:$CB$51,61,0)</f>
        <v>0</v>
      </c>
      <c r="AH20" s="36">
        <f>VLOOKUP($A20,[26]HISTOOCT25!$A$6:$CB$51,62,0)</f>
        <v>0</v>
      </c>
      <c r="AI20" s="36">
        <f>VLOOKUP($A20,[26]HISTOOCT25!$A$6:$CB$51,63,0)</f>
        <v>0</v>
      </c>
      <c r="AJ20" s="36">
        <f>VLOOKUP($A20,[26]HISTOOCT25!$A$6:$BR$51,64,0)</f>
        <v>0</v>
      </c>
      <c r="AK20" s="36">
        <f>VLOOKUP($A20,[26]HISTOOCT25!$A$6:$BR$51,65,0)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VLOOKUP($A21,[26]HISTOOCT25!$A$6:$BA$51,48,0)</f>
        <v>0</v>
      </c>
      <c r="F21" s="36">
        <f>VLOOKUP(A21,MVTSEPT25!A21:AM56,6,0)+MVTSEPT25!H21-E21+L21</f>
        <v>1217412.3841291287</v>
      </c>
      <c r="G21" s="5">
        <f>IF(MVTOCT25!F21&gt;800000,(MVTAVRIL25!I21-E21+L21),0)</f>
        <v>1116501.8152135806</v>
      </c>
      <c r="H21" s="36">
        <f>VLOOKUP(A21,[27]MVTOCT25!$A$6:$AM$42,8,0)</f>
        <v>3715.1554261314168</v>
      </c>
      <c r="I21" s="6">
        <f t="shared" si="1"/>
        <v>1221127.53955526</v>
      </c>
      <c r="J21" s="36">
        <f>VLOOKUP($A21,[26]HISTOOCT25!$A$6:$AQ$51,22,0)</f>
        <v>0</v>
      </c>
      <c r="K21" s="36">
        <f>VLOOKUP($A21,[26]HISTOOCT25!$A$6:$AU$51,45,0)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VLOOKUP($A21,[26]HISTOOCT25!$A$6:$AU$51,8,0)</f>
        <v>0</v>
      </c>
      <c r="Q21" s="36">
        <f>VLOOKUP($A21,[26]HISTOOCT25!$A$6:$AU$51,23,0)</f>
        <v>0</v>
      </c>
      <c r="R21" s="36">
        <f>VLOOKUP($A21,[26]HISTOOCT25!$A$6:$AU$51,46,0)</f>
        <v>0</v>
      </c>
      <c r="S21" s="36">
        <f>VLOOKUP($A21,[26]HISTOOCT25!$A$6:$AU$51,26,0)</f>
        <v>0</v>
      </c>
      <c r="T21" s="36">
        <f>VLOOKUP($A21,[26]HISTOOCT25!$A$6:$BG$51,58,0)</f>
        <v>0</v>
      </c>
      <c r="U21" s="36">
        <f>VLOOKUP($A21,[26]HISTOOCT25!$A$6:$AU$51,28,0)</f>
        <v>0</v>
      </c>
      <c r="V21" s="36">
        <f>VLOOKUP($A21,[26]HISTOOCT25!$A$6:$AU$51,19,0)</f>
        <v>0</v>
      </c>
      <c r="W21" s="36">
        <f>VLOOKUP($A21,[26]HISTOOCT25!$A$6:$AU$51,20,0)</f>
        <v>0</v>
      </c>
      <c r="X21" s="36">
        <f>VLOOKUP($A21,[26]HISTOOCT25!$A$6:$AU$51,27,0)</f>
        <v>0</v>
      </c>
      <c r="Y21" s="36">
        <f>VLOOKUP($A21,[26]HISTOOCT25!$A$6:$BM$51,33,0)</f>
        <v>0</v>
      </c>
      <c r="Z21" s="36">
        <f>VLOOKUP($A21,[26]HISTOOCT25!$A$6:$BM$51,64,0)</f>
        <v>0</v>
      </c>
      <c r="AA21" s="36"/>
      <c r="AB21" s="36">
        <f>VLOOKUP($A21,[26]HISTOOCT25!$A$6:$AU$51,44,0)</f>
        <v>0</v>
      </c>
      <c r="AC21" s="36">
        <f>VLOOKUP($A21,[26]HISTOOCT25!$A$6:$AU$51,43,0)</f>
        <v>0</v>
      </c>
      <c r="AD21" s="36">
        <f>VLOOKUP($A21,[26]HISTOOCT25!$A$6:$BR$51,47,0)</f>
        <v>0</v>
      </c>
      <c r="AE21" s="36">
        <f>VLOOKUP(A21,[26]HISTOOCT25!$A$6:$BR$51,54,0)</f>
        <v>0</v>
      </c>
      <c r="AF21" s="36">
        <f>VLOOKUP($A21,[26]HISTOOCT25!$A$6:$BR$51,60,0)</f>
        <v>0</v>
      </c>
      <c r="AG21" s="36">
        <f>VLOOKUP($A21,[26]HISTOOCT25!$A$6:$CB$51,61,0)</f>
        <v>0</v>
      </c>
      <c r="AH21" s="36">
        <f>VLOOKUP($A21,[26]HISTOOCT25!$A$6:$CB$51,62,0)</f>
        <v>0</v>
      </c>
      <c r="AI21" s="36">
        <f>VLOOKUP($A21,[26]HISTOOCT25!$A$6:$CB$51,63,0)</f>
        <v>0</v>
      </c>
      <c r="AJ21" s="36">
        <f>VLOOKUP($A21,[26]HISTOOCT25!$A$6:$BR$51,64,0)</f>
        <v>0</v>
      </c>
      <c r="AK21" s="36">
        <f>VLOOKUP($A21,[26]HISTOOCT25!$A$6:$BR$51,65,0)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VLOOKUP($A22,[26]HISTOOCT25!$A$6:$BA$51,48,0)</f>
        <v>0</v>
      </c>
      <c r="F22" s="36">
        <f>VLOOKUP(A22,MVTSEPT25!A22:AM57,6,0)+MVTSEPT25!H22-E22+L22</f>
        <v>1067747.2486384222</v>
      </c>
      <c r="G22" s="5">
        <f>IF(MVTOCT25!F22&gt;800000,(MVTAVRIL25!I22-E22+L22),0)</f>
        <v>965629.9808177395</v>
      </c>
      <c r="H22" s="36">
        <f>VLOOKUP(A22,[27]MVTOCT25!$A$6:$AM$42,8,0)</f>
        <v>3258.4250301951661</v>
      </c>
      <c r="I22" s="6">
        <f t="shared" si="1"/>
        <v>1071005.6736686174</v>
      </c>
      <c r="J22" s="36">
        <f>VLOOKUP($A22,[26]HISTOOCT25!$A$6:$AQ$51,22,0)</f>
        <v>0</v>
      </c>
      <c r="K22" s="36">
        <f>VLOOKUP($A22,[26]HISTOOCT25!$A$6:$AU$51,45,0)</f>
        <v>27500</v>
      </c>
      <c r="L22" s="36">
        <f t="shared" si="2"/>
        <v>21500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VLOOKUP($A22,[26]HISTOOCT25!$A$6:$AU$51,8,0)</f>
        <v>3000</v>
      </c>
      <c r="Q22" s="36">
        <f>VLOOKUP($A22,[26]HISTOOCT25!$A$6:$AU$51,23,0)</f>
        <v>0</v>
      </c>
      <c r="R22" s="36">
        <f>VLOOKUP($A22,[26]HISTOOCT25!$A$6:$AU$51,46,0)</f>
        <v>0</v>
      </c>
      <c r="S22" s="36">
        <f>VLOOKUP($A22,[26]HISTOOCT25!$A$6:$AU$51,26,0)</f>
        <v>1000000</v>
      </c>
      <c r="T22" s="36">
        <f>VLOOKUP($A22,[26]HISTOOCT25!$A$6:$BG$51,58,0)</f>
        <v>30000</v>
      </c>
      <c r="U22" s="36">
        <f>VLOOKUP($A22,[26]HISTOOCT25!$A$6:$AU$51,28,0)</f>
        <v>0</v>
      </c>
      <c r="V22" s="36">
        <f>VLOOKUP($A22,[26]HISTOOCT25!$A$6:$AU$51,19,0)</f>
        <v>1000000</v>
      </c>
      <c r="W22" s="36" t="str">
        <f>VLOOKUP($A22,[26]HISTOOCT25!$A$6:$AU$51,20,0)</f>
        <v>BANQUE</v>
      </c>
      <c r="X22" s="36" t="str">
        <f>VLOOKUP($A22,[26]HISTOOCT25!$A$6:$AU$51,27,0)</f>
        <v>BANQUE</v>
      </c>
      <c r="Y22" s="36">
        <f>VLOOKUP($A22,[26]HISTOOCT25!$A$6:$BM$51,33,0)</f>
        <v>0</v>
      </c>
      <c r="Z22" s="36">
        <f>VLOOKUP($A22,[26]HISTOOCT25!$A$6:$BM$51,64,0)</f>
        <v>0</v>
      </c>
      <c r="AA22" s="36"/>
      <c r="AB22" s="36">
        <f>VLOOKUP($A22,[26]HISTOOCT25!$A$6:$AU$51,44,0)</f>
        <v>0</v>
      </c>
      <c r="AC22" s="36">
        <f>VLOOKUP($A22,[26]HISTOOCT25!$A$6:$AU$51,43,0)</f>
        <v>0</v>
      </c>
      <c r="AD22" s="36">
        <f>VLOOKUP($A22,[26]HISTOOCT25!$A$6:$BR$51,47,0)</f>
        <v>0</v>
      </c>
      <c r="AE22" s="36">
        <f>VLOOKUP(A22,[26]HISTOOCT25!$A$6:$BR$51,54,0)</f>
        <v>0</v>
      </c>
      <c r="AF22" s="36">
        <f>VLOOKUP($A22,[26]HISTOOCT25!$A$6:$BR$51,60,0)</f>
        <v>0</v>
      </c>
      <c r="AG22" s="36">
        <f>VLOOKUP($A22,[26]HISTOOCT25!$A$6:$CB$51,61,0)</f>
        <v>0</v>
      </c>
      <c r="AH22" s="36">
        <f>VLOOKUP($A22,[26]HISTOOCT25!$A$6:$CB$51,62,0)</f>
        <v>0</v>
      </c>
      <c r="AI22" s="36">
        <f>VLOOKUP($A22,[26]HISTOOCT25!$A$6:$CB$51,63,0)</f>
        <v>0</v>
      </c>
      <c r="AJ22" s="36">
        <f>VLOOKUP($A22,[26]HISTOOCT25!$A$6:$BR$51,64,0)</f>
        <v>0</v>
      </c>
      <c r="AK22" s="36">
        <f>VLOOKUP($A22,[26]HISTOOCT25!$A$6:$BR$51,65,0)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VLOOKUP($A23,[26]HISTOOCT25!$A$6:$BA$51,48,0)</f>
        <v>0</v>
      </c>
      <c r="F23" s="36">
        <f>VLOOKUP(A23,MVTSEPT25!A23:AM58,6,0)+MVTSEPT25!H23-E23+L23</f>
        <v>1062514.8452634425</v>
      </c>
      <c r="G23" s="5">
        <f>IF(MVTOCT25!F23&gt;800000,(MVTAVRIL25!I23-E23+L23),0)</f>
        <v>962398.55143487593</v>
      </c>
      <c r="H23" s="36">
        <f>VLOOKUP(A23,[27]MVTOCT25!$A$6:$AM$42,8,0)</f>
        <v>3242.4573991412321</v>
      </c>
      <c r="I23" s="6">
        <f t="shared" si="1"/>
        <v>1065757.3026625838</v>
      </c>
      <c r="J23" s="36">
        <f>VLOOKUP($A23,[26]HISTOOCT25!$A$6:$AQ$51,22,0)</f>
        <v>0</v>
      </c>
      <c r="K23" s="36">
        <f>VLOOKUP($A23,[26]HISTOOCT25!$A$6:$AU$51,45,0)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VLOOKUP($A23,[26]HISTOOCT25!$A$6:$AU$51,8,0)</f>
        <v>0</v>
      </c>
      <c r="Q23" s="36">
        <f>VLOOKUP($A23,[26]HISTOOCT25!$A$6:$AU$51,23,0)</f>
        <v>0</v>
      </c>
      <c r="R23" s="36">
        <f>VLOOKUP($A23,[26]HISTOOCT25!$A$6:$AU$51,46,0)</f>
        <v>0</v>
      </c>
      <c r="S23" s="36">
        <f>VLOOKUP($A23,[26]HISTOOCT25!$A$6:$AU$51,26,0)</f>
        <v>0</v>
      </c>
      <c r="T23" s="36">
        <f>VLOOKUP($A23,[26]HISTOOCT25!$A$6:$BG$51,58,0)</f>
        <v>0</v>
      </c>
      <c r="U23" s="36">
        <f>VLOOKUP($A23,[26]HISTOOCT25!$A$6:$AU$51,28,0)</f>
        <v>0</v>
      </c>
      <c r="V23" s="36">
        <f>VLOOKUP($A23,[26]HISTOOCT25!$A$6:$AU$51,19,0)</f>
        <v>0</v>
      </c>
      <c r="W23" s="36">
        <f>VLOOKUP($A23,[26]HISTOOCT25!$A$6:$AU$51,20,0)</f>
        <v>0</v>
      </c>
      <c r="X23" s="36">
        <f>VLOOKUP($A23,[26]HISTOOCT25!$A$6:$AU$51,27,0)</f>
        <v>0</v>
      </c>
      <c r="Y23" s="36">
        <f>VLOOKUP($A23,[26]HISTOOCT25!$A$6:$BM$51,33,0)</f>
        <v>0</v>
      </c>
      <c r="Z23" s="36">
        <f>VLOOKUP($A23,[26]HISTOOCT25!$A$6:$BM$51,64,0)</f>
        <v>0</v>
      </c>
      <c r="AA23" s="36"/>
      <c r="AB23" s="36">
        <f>VLOOKUP($A23,[26]HISTOOCT25!$A$6:$AU$51,44,0)</f>
        <v>0</v>
      </c>
      <c r="AC23" s="36">
        <f>VLOOKUP($A23,[26]HISTOOCT25!$A$6:$AU$51,43,0)</f>
        <v>0</v>
      </c>
      <c r="AD23" s="36">
        <f>VLOOKUP($A23,[26]HISTOOCT25!$A$6:$BR$51,47,0)</f>
        <v>0</v>
      </c>
      <c r="AE23" s="36">
        <f>VLOOKUP(A23,[26]HISTOOCT25!$A$6:$BR$51,54,0)</f>
        <v>0</v>
      </c>
      <c r="AF23" s="36">
        <f>VLOOKUP($A23,[26]HISTOOCT25!$A$6:$BR$51,60,0)</f>
        <v>0</v>
      </c>
      <c r="AG23" s="36">
        <f>VLOOKUP($A23,[26]HISTOOCT25!$A$6:$CB$51,61,0)</f>
        <v>0</v>
      </c>
      <c r="AH23" s="36">
        <f>VLOOKUP($A23,[26]HISTOOCT25!$A$6:$CB$51,62,0)</f>
        <v>0</v>
      </c>
      <c r="AI23" s="36">
        <f>VLOOKUP($A23,[26]HISTOOCT25!$A$6:$CB$51,63,0)</f>
        <v>0</v>
      </c>
      <c r="AJ23" s="36">
        <f>VLOOKUP($A23,[26]HISTOOCT25!$A$6:$BR$51,64,0)</f>
        <v>0</v>
      </c>
      <c r="AK23" s="36">
        <f>VLOOKUP($A23,[26]HISTOOCT25!$A$6:$BR$51,65,0)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VLOOKUP($A24,[26]HISTOOCT25!$A$6:$BA$51,48,0)</f>
        <v>0</v>
      </c>
      <c r="F24" s="36">
        <f>VLOOKUP(A24,MVTSEPT25!A24:AM59,6,0)+MVTSEPT25!H24-E24+L24</f>
        <v>1009355.7746645748</v>
      </c>
      <c r="G24" s="5">
        <f>IF(MVTOCT25!F24&gt;800000,(MVTAVRIL25!I24-E24+L24),0)</f>
        <v>909512.06699672434</v>
      </c>
      <c r="H24" s="36">
        <f>VLOOKUP(A24,[27]MVTOCT25!$A$6:$AM$42,8,0)</f>
        <v>3080.232821702944</v>
      </c>
      <c r="I24" s="6">
        <f t="shared" si="1"/>
        <v>1012436.0074862777</v>
      </c>
      <c r="J24" s="36">
        <f>VLOOKUP($A24,[26]HISTOOCT25!$A$6:$AQ$51,22,0)</f>
        <v>0</v>
      </c>
      <c r="K24" s="36">
        <f>VLOOKUP($A24,[26]HISTOOCT25!$A$6:$AU$51,45,0)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VLOOKUP($A24,[26]HISTOOCT25!$A$6:$AU$51,8,0)</f>
        <v>0</v>
      </c>
      <c r="Q24" s="36">
        <f>VLOOKUP($A24,[26]HISTOOCT25!$A$6:$AU$51,23,0)</f>
        <v>0</v>
      </c>
      <c r="R24" s="36">
        <f>VLOOKUP($A24,[26]HISTOOCT25!$A$6:$AU$51,46,0)</f>
        <v>0</v>
      </c>
      <c r="S24" s="36">
        <f>VLOOKUP($A24,[26]HISTOOCT25!$A$6:$AU$51,26,0)</f>
        <v>0</v>
      </c>
      <c r="T24" s="36">
        <f>VLOOKUP($A24,[26]HISTOOCT25!$A$6:$BG$51,58,0)</f>
        <v>0</v>
      </c>
      <c r="U24" s="36">
        <f>VLOOKUP($A24,[26]HISTOOCT25!$A$6:$AU$51,28,0)</f>
        <v>0</v>
      </c>
      <c r="V24" s="36">
        <f>VLOOKUP($A24,[26]HISTOOCT25!$A$6:$AU$51,19,0)</f>
        <v>0</v>
      </c>
      <c r="W24" s="36">
        <f>VLOOKUP($A24,[26]HISTOOCT25!$A$6:$AU$51,20,0)</f>
        <v>0</v>
      </c>
      <c r="X24" s="36">
        <f>VLOOKUP($A24,[26]HISTOOCT25!$A$6:$AU$51,27,0)</f>
        <v>0</v>
      </c>
      <c r="Y24" s="36">
        <f>VLOOKUP($A24,[26]HISTOOCT25!$A$6:$BM$51,33,0)</f>
        <v>0</v>
      </c>
      <c r="Z24" s="36">
        <f>VLOOKUP($A24,[26]HISTOOCT25!$A$6:$BM$51,64,0)</f>
        <v>0</v>
      </c>
      <c r="AA24" s="36"/>
      <c r="AB24" s="36">
        <f>VLOOKUP($A24,[26]HISTOOCT25!$A$6:$AU$51,44,0)</f>
        <v>0</v>
      </c>
      <c r="AC24" s="36">
        <f>VLOOKUP($A24,[26]HISTOOCT25!$A$6:$AU$51,43,0)</f>
        <v>0</v>
      </c>
      <c r="AD24" s="36">
        <f>VLOOKUP($A24,[26]HISTOOCT25!$A$6:$BR$51,47,0)</f>
        <v>0</v>
      </c>
      <c r="AE24" s="36">
        <f>VLOOKUP(A24,[26]HISTOOCT25!$A$6:$BR$51,54,0)</f>
        <v>0</v>
      </c>
      <c r="AF24" s="36">
        <f>VLOOKUP($A24,[26]HISTOOCT25!$A$6:$BR$51,60,0)</f>
        <v>0</v>
      </c>
      <c r="AG24" s="36">
        <f>VLOOKUP($A24,[26]HISTOOCT25!$A$6:$CB$51,61,0)</f>
        <v>0</v>
      </c>
      <c r="AH24" s="36">
        <f>VLOOKUP($A24,[26]HISTOOCT25!$A$6:$CB$51,62,0)</f>
        <v>0</v>
      </c>
      <c r="AI24" s="36">
        <f>VLOOKUP($A24,[26]HISTOOCT25!$A$6:$CB$51,63,0)</f>
        <v>0</v>
      </c>
      <c r="AJ24" s="36">
        <f>VLOOKUP($A24,[26]HISTOOCT25!$A$6:$BR$51,64,0)</f>
        <v>0</v>
      </c>
      <c r="AK24" s="36">
        <f>VLOOKUP($A24,[26]HISTOOCT25!$A$6:$BR$51,65,0)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VLOOKUP($A25,[26]HISTOOCT25!$A$6:$BA$51,48,0)</f>
        <v>0</v>
      </c>
      <c r="F25" s="36">
        <f>VLOOKUP(A25,MVTSEPT25!A25:AM60,6,0)+MVTSEPT25!H25-E25+L25</f>
        <v>1431110.781395742</v>
      </c>
      <c r="G25" s="5">
        <f>IF(MVTOCT25!F25&gt;800000,(MVTAVRIL25!I25-E25+L25),0)</f>
        <v>1279279.1644260087</v>
      </c>
      <c r="H25" s="36">
        <f>VLOOKUP(A25,[27]MVTOCT25!$A$6:$AM$42,8,0)</f>
        <v>4367.2949726898951</v>
      </c>
      <c r="I25" s="6">
        <f t="shared" si="1"/>
        <v>1435478.0763684318</v>
      </c>
      <c r="J25" s="36">
        <f>VLOOKUP($A25,[26]HISTOOCT25!$A$6:$AQ$51,22,0)</f>
        <v>0</v>
      </c>
      <c r="K25" s="36">
        <f>VLOOKUP($A25,[26]HISTOOCT25!$A$6:$AU$51,45,0)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VLOOKUP($A25,[26]HISTOOCT25!$A$6:$AU$51,8,0)</f>
        <v>0</v>
      </c>
      <c r="Q25" s="36">
        <f>VLOOKUP($A25,[26]HISTOOCT25!$A$6:$AU$51,23,0)</f>
        <v>0</v>
      </c>
      <c r="R25" s="36">
        <f>VLOOKUP($A25,[26]HISTOOCT25!$A$6:$AU$51,46,0)</f>
        <v>0</v>
      </c>
      <c r="S25" s="36">
        <f>VLOOKUP($A25,[26]HISTOOCT25!$A$6:$AU$51,26,0)</f>
        <v>500000</v>
      </c>
      <c r="T25" s="36">
        <f>VLOOKUP($A25,[26]HISTOOCT25!$A$6:$BG$51,58,0)</f>
        <v>15000</v>
      </c>
      <c r="U25" s="36">
        <f>VLOOKUP($A25,[26]HISTOOCT25!$A$6:$AU$51,28,0)</f>
        <v>0</v>
      </c>
      <c r="V25" s="36">
        <f>VLOOKUP($A25,[26]HISTOOCT25!$A$6:$AU$51,19,0)</f>
        <v>500000</v>
      </c>
      <c r="W25" s="36" t="str">
        <f>VLOOKUP($A25,[26]HISTOOCT25!$A$6:$AU$51,20,0)</f>
        <v>BANQUE</v>
      </c>
      <c r="X25" s="36" t="str">
        <f>VLOOKUP($A25,[26]HISTOOCT25!$A$6:$AU$51,27,0)</f>
        <v>BANQUE</v>
      </c>
      <c r="Y25" s="36">
        <f>VLOOKUP($A25,[26]HISTOOCT25!$A$6:$BM$51,33,0)</f>
        <v>0</v>
      </c>
      <c r="Z25" s="36">
        <f>VLOOKUP($A25,[26]HISTOOCT25!$A$6:$BM$51,64,0)</f>
        <v>0</v>
      </c>
      <c r="AA25" s="36"/>
      <c r="AB25" s="36">
        <f>VLOOKUP($A25,[26]HISTOOCT25!$A$6:$AU$51,44,0)</f>
        <v>0</v>
      </c>
      <c r="AC25" s="36">
        <f>VLOOKUP($A25,[26]HISTOOCT25!$A$6:$AU$51,43,0)</f>
        <v>0</v>
      </c>
      <c r="AD25" s="36">
        <f>VLOOKUP($A25,[26]HISTOOCT25!$A$6:$BR$51,47,0)</f>
        <v>0</v>
      </c>
      <c r="AE25" s="36">
        <f>VLOOKUP(A25,[26]HISTOOCT25!$A$6:$BR$51,54,0)</f>
        <v>0</v>
      </c>
      <c r="AF25" s="36">
        <f>VLOOKUP($A25,[26]HISTOOCT25!$A$6:$BR$51,60,0)</f>
        <v>0</v>
      </c>
      <c r="AG25" s="36">
        <f>VLOOKUP($A25,[26]HISTOOCT25!$A$6:$CB$51,61,0)</f>
        <v>0</v>
      </c>
      <c r="AH25" s="36">
        <f>VLOOKUP($A25,[26]HISTOOCT25!$A$6:$CB$51,62,0)</f>
        <v>0</v>
      </c>
      <c r="AI25" s="36">
        <f>VLOOKUP($A25,[26]HISTOOCT25!$A$6:$CB$51,63,0)</f>
        <v>0</v>
      </c>
      <c r="AJ25" s="36">
        <f>VLOOKUP($A25,[26]HISTOOCT25!$A$6:$BR$51,64,0)</f>
        <v>0</v>
      </c>
      <c r="AK25" s="36">
        <f>VLOOKUP($A25,[26]HISTOOCT25!$A$6:$BR$51,65,0)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VLOOKUP($A26,[26]HISTOOCT25!$A$6:$BA$51,48,0)</f>
        <v>0</v>
      </c>
      <c r="F26" s="36">
        <f>VLOOKUP(A26,MVTSEPT25!A26:AM61,6,0)+MVTSEPT25!H26-E26+L26</f>
        <v>1582832.949014839</v>
      </c>
      <c r="G26" s="5">
        <f>IF(MVTOCT25!F26&gt;800000,(MVTAVRIL25!I26-E26+L26),0)</f>
        <v>1408793.154792679</v>
      </c>
      <c r="H26" s="36">
        <f>VLOOKUP(A26,[27]MVTOCT25!$A$6:$AM$42,8,0)</f>
        <v>4830.3027764898607</v>
      </c>
      <c r="I26" s="6">
        <f t="shared" si="1"/>
        <v>1587663.2517913289</v>
      </c>
      <c r="J26" s="36">
        <f>VLOOKUP($A26,[26]HISTOOCT25!$A$6:$AQ$51,22,0)</f>
        <v>0</v>
      </c>
      <c r="K26" s="36">
        <f>VLOOKUP($A26,[26]HISTOOCT25!$A$6:$AU$51,45,0)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VLOOKUP($A26,[26]HISTOOCT25!$A$6:$AU$51,8,0)</f>
        <v>0</v>
      </c>
      <c r="Q26" s="36">
        <f>VLOOKUP($A26,[26]HISTOOCT25!$A$6:$AU$51,23,0)</f>
        <v>0</v>
      </c>
      <c r="R26" s="36">
        <f>VLOOKUP($A26,[26]HISTOOCT25!$A$6:$AU$51,46,0)</f>
        <v>0</v>
      </c>
      <c r="S26" s="36">
        <f>VLOOKUP($A26,[26]HISTOOCT25!$A$6:$AU$51,26,0)</f>
        <v>0</v>
      </c>
      <c r="T26" s="36">
        <f>VLOOKUP($A26,[26]HISTOOCT25!$A$6:$BG$51,58,0)</f>
        <v>0</v>
      </c>
      <c r="U26" s="36">
        <f>VLOOKUP($A26,[26]HISTOOCT25!$A$6:$AU$51,28,0)</f>
        <v>0</v>
      </c>
      <c r="V26" s="36">
        <f>VLOOKUP($A26,[26]HISTOOCT25!$A$6:$AU$51,19,0)</f>
        <v>0</v>
      </c>
      <c r="W26" s="36">
        <f>VLOOKUP($A26,[26]HISTOOCT25!$A$6:$AU$51,20,0)</f>
        <v>0</v>
      </c>
      <c r="X26" s="36">
        <f>VLOOKUP($A26,[26]HISTOOCT25!$A$6:$AU$51,27,0)</f>
        <v>0</v>
      </c>
      <c r="Y26" s="36">
        <f>VLOOKUP($A26,[26]HISTOOCT25!$A$6:$BM$51,33,0)</f>
        <v>0</v>
      </c>
      <c r="Z26" s="36">
        <f>VLOOKUP($A26,[26]HISTOOCT25!$A$6:$BM$51,64,0)</f>
        <v>0</v>
      </c>
      <c r="AA26" s="36"/>
      <c r="AB26" s="36">
        <f>VLOOKUP($A26,[26]HISTOOCT25!$A$6:$AU$51,44,0)</f>
        <v>0</v>
      </c>
      <c r="AC26" s="36">
        <f>VLOOKUP($A26,[26]HISTOOCT25!$A$6:$AU$51,43,0)</f>
        <v>0</v>
      </c>
      <c r="AD26" s="36">
        <f>VLOOKUP($A26,[26]HISTOOCT25!$A$6:$BR$51,47,0)</f>
        <v>0</v>
      </c>
      <c r="AE26" s="36">
        <f>VLOOKUP(A26,[26]HISTOOCT25!$A$6:$BR$51,54,0)</f>
        <v>0</v>
      </c>
      <c r="AF26" s="36">
        <f>VLOOKUP($A26,[26]HISTOOCT25!$A$6:$BR$51,60,0)</f>
        <v>0</v>
      </c>
      <c r="AG26" s="36">
        <f>VLOOKUP($A26,[26]HISTOOCT25!$A$6:$CB$51,61,0)</f>
        <v>0</v>
      </c>
      <c r="AH26" s="36">
        <f>VLOOKUP($A26,[26]HISTOOCT25!$A$6:$CB$51,62,0)</f>
        <v>0</v>
      </c>
      <c r="AI26" s="36">
        <f>VLOOKUP($A26,[26]HISTOOCT25!$A$6:$CB$51,63,0)</f>
        <v>0</v>
      </c>
      <c r="AJ26" s="36">
        <f>VLOOKUP($A26,[26]HISTOOCT25!$A$6:$BR$51,64,0)</f>
        <v>0</v>
      </c>
      <c r="AK26" s="36">
        <f>VLOOKUP($A26,[26]HISTOOCT25!$A$6:$BR$51,65,0)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VLOOKUP($A27,[26]HISTOOCT25!$A$6:$BA$51,48,0)</f>
        <v>0</v>
      </c>
      <c r="F27" s="36">
        <f>VLOOKUP(A27,MVTSEPT25!A27:AM62,6,0)+MVTSEPT25!H27-E27+L27</f>
        <v>1049815.3942024417</v>
      </c>
      <c r="G27" s="5">
        <f>IF(MVTOCT25!F27&gt;800000,(MVTAVRIL25!I27-E27+L27),0)</f>
        <v>962755.99987830815</v>
      </c>
      <c r="H27" s="36">
        <f>VLOOKUP(A27,[27]MVTOCT25!$A$6:$AM$42,8,0)</f>
        <v>3203.7027132736998</v>
      </c>
      <c r="I27" s="6">
        <f t="shared" si="1"/>
        <v>1053019.0969157154</v>
      </c>
      <c r="J27" s="36">
        <f>VLOOKUP($A27,[26]HISTOOCT25!$A$6:$AQ$51,22,0)</f>
        <v>0</v>
      </c>
      <c r="K27" s="36">
        <f>VLOOKUP($A27,[26]HISTOOCT25!$A$6:$AU$51,45,0)</f>
        <v>30000</v>
      </c>
      <c r="L27" s="36">
        <f t="shared" si="2"/>
        <v>24000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VLOOKUP($A27,[26]HISTOOCT25!$A$6:$AU$51,8,0)</f>
        <v>0</v>
      </c>
      <c r="Q27" s="36">
        <f>VLOOKUP($A27,[26]HISTOOCT25!$A$6:$AU$51,23,0)</f>
        <v>0</v>
      </c>
      <c r="R27" s="36">
        <f>VLOOKUP($A27,[26]HISTOOCT25!$A$6:$AU$51,46,0)</f>
        <v>0</v>
      </c>
      <c r="S27" s="36">
        <f>VLOOKUP($A27,[26]HISTOOCT25!$A$6:$AU$51,26,0)</f>
        <v>0</v>
      </c>
      <c r="T27" s="36">
        <f>VLOOKUP($A27,[26]HISTOOCT25!$A$6:$BG$51,58,0)</f>
        <v>0</v>
      </c>
      <c r="U27" s="36">
        <f>VLOOKUP($A27,[26]HISTOOCT25!$A$6:$AU$51,28,0)</f>
        <v>0</v>
      </c>
      <c r="V27" s="36">
        <f>VLOOKUP($A27,[26]HISTOOCT25!$A$6:$AU$51,19,0)</f>
        <v>0</v>
      </c>
      <c r="W27" s="36">
        <f>VLOOKUP($A27,[26]HISTOOCT25!$A$6:$AU$51,20,0)</f>
        <v>0</v>
      </c>
      <c r="X27" s="36">
        <f>VLOOKUP($A27,[26]HISTOOCT25!$A$6:$AU$51,27,0)</f>
        <v>0</v>
      </c>
      <c r="Y27" s="36">
        <f>VLOOKUP($A27,[26]HISTOOCT25!$A$6:$BM$51,33,0)</f>
        <v>0</v>
      </c>
      <c r="Z27" s="36">
        <f>VLOOKUP($A27,[26]HISTOOCT25!$A$6:$BM$51,64,0)</f>
        <v>0</v>
      </c>
      <c r="AA27" s="36"/>
      <c r="AB27" s="36">
        <f>VLOOKUP($A27,[26]HISTOOCT25!$A$6:$AU$51,44,0)</f>
        <v>0</v>
      </c>
      <c r="AC27" s="36">
        <f>VLOOKUP($A27,[26]HISTOOCT25!$A$6:$AU$51,43,0)</f>
        <v>0</v>
      </c>
      <c r="AD27" s="36">
        <f>VLOOKUP($A27,[26]HISTOOCT25!$A$6:$BR$51,47,0)</f>
        <v>0</v>
      </c>
      <c r="AE27" s="36">
        <f>VLOOKUP(A27,[26]HISTOOCT25!$A$6:$BR$51,54,0)</f>
        <v>0</v>
      </c>
      <c r="AF27" s="36">
        <f>VLOOKUP($A27,[26]HISTOOCT25!$A$6:$BR$51,60,0)</f>
        <v>0</v>
      </c>
      <c r="AG27" s="36">
        <f>VLOOKUP($A27,[26]HISTOOCT25!$A$6:$CB$51,61,0)</f>
        <v>0</v>
      </c>
      <c r="AH27" s="36">
        <f>VLOOKUP($A27,[26]HISTOOCT25!$A$6:$CB$51,62,0)</f>
        <v>0</v>
      </c>
      <c r="AI27" s="36">
        <f>VLOOKUP($A27,[26]HISTOOCT25!$A$6:$CB$51,63,0)</f>
        <v>0</v>
      </c>
      <c r="AJ27" s="36">
        <f>VLOOKUP($A27,[26]HISTOOCT25!$A$6:$BR$51,64,0)</f>
        <v>0</v>
      </c>
      <c r="AK27" s="36">
        <f>VLOOKUP($A27,[26]HISTOOCT25!$A$6:$BR$51,65,0)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VLOOKUP($A28,[26]HISTOOCT25!$A$6:$BA$51,48,0)</f>
        <v>0</v>
      </c>
      <c r="F28" s="36">
        <f>VLOOKUP(A28,MVTSEPT25!A28:AM63,6,0)+MVTSEPT25!H28-E28+L28</f>
        <v>1073606.7960122074</v>
      </c>
      <c r="G28" s="5">
        <f>IF(MVTOCT25!F28&gt;800000,(MVTAVRIL25!I28-E28+L28),0)</f>
        <v>973433.62548817939</v>
      </c>
      <c r="H28" s="36">
        <f>VLOOKUP(A28,[27]MVTOCT25!$A$6:$AM$42,8,0)</f>
        <v>3276.3065052846155</v>
      </c>
      <c r="I28" s="6">
        <f t="shared" si="1"/>
        <v>1076883.1025174919</v>
      </c>
      <c r="J28" s="36">
        <f>VLOOKUP($A28,[26]HISTOOCT25!$A$6:$AQ$51,22,0)</f>
        <v>0</v>
      </c>
      <c r="K28" s="36">
        <f>VLOOKUP($A28,[26]HISTOOCT25!$A$6:$AU$51,45,0)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VLOOKUP($A28,[26]HISTOOCT25!$A$6:$AU$51,8,0)</f>
        <v>0</v>
      </c>
      <c r="Q28" s="36">
        <f>VLOOKUP($A28,[26]HISTOOCT25!$A$6:$AU$51,23,0)</f>
        <v>0</v>
      </c>
      <c r="R28" s="36">
        <f>VLOOKUP($A28,[26]HISTOOCT25!$A$6:$AU$51,46,0)</f>
        <v>0</v>
      </c>
      <c r="S28" s="36">
        <f>VLOOKUP($A28,[26]HISTOOCT25!$A$6:$AU$51,26,0)</f>
        <v>1000000</v>
      </c>
      <c r="T28" s="36">
        <f>VLOOKUP($A28,[26]HISTOOCT25!$A$6:$BG$51,58,0)</f>
        <v>30000</v>
      </c>
      <c r="U28" s="36">
        <f>VLOOKUP($A28,[26]HISTOOCT25!$A$6:$AU$51,28,0)</f>
        <v>0</v>
      </c>
      <c r="V28" s="36">
        <f>VLOOKUP($A28,[26]HISTOOCT25!$A$6:$AU$51,19,0)</f>
        <v>1000000</v>
      </c>
      <c r="W28" s="36" t="str">
        <f>VLOOKUP($A28,[26]HISTOOCT25!$A$6:$AU$51,20,0)</f>
        <v>BANQUE</v>
      </c>
      <c r="X28" s="36" t="str">
        <f>VLOOKUP($A28,[26]HISTOOCT25!$A$6:$AU$51,27,0)</f>
        <v>BANQUE</v>
      </c>
      <c r="Y28" s="36">
        <f>VLOOKUP($A28,[26]HISTOOCT25!$A$6:$BM$51,33,0)</f>
        <v>0</v>
      </c>
      <c r="Z28" s="36">
        <f>VLOOKUP($A28,[26]HISTOOCT25!$A$6:$BM$51,64,0)</f>
        <v>0</v>
      </c>
      <c r="AA28" s="36"/>
      <c r="AB28" s="36">
        <f>VLOOKUP($A28,[26]HISTOOCT25!$A$6:$AU$51,44,0)</f>
        <v>0</v>
      </c>
      <c r="AC28" s="36">
        <f>VLOOKUP($A28,[26]HISTOOCT25!$A$6:$AU$51,43,0)</f>
        <v>0</v>
      </c>
      <c r="AD28" s="36">
        <f>VLOOKUP($A28,[26]HISTOOCT25!$A$6:$BR$51,47,0)</f>
        <v>0</v>
      </c>
      <c r="AE28" s="36">
        <f>VLOOKUP(A28,[26]HISTOOCT25!$A$6:$BR$51,54,0)</f>
        <v>0</v>
      </c>
      <c r="AF28" s="36">
        <f>VLOOKUP($A28,[26]HISTOOCT25!$A$6:$BR$51,60,0)</f>
        <v>0</v>
      </c>
      <c r="AG28" s="36">
        <f>VLOOKUP($A28,[26]HISTOOCT25!$A$6:$CB$51,61,0)</f>
        <v>0</v>
      </c>
      <c r="AH28" s="36">
        <f>VLOOKUP($A28,[26]HISTOOCT25!$A$6:$CB$51,62,0)</f>
        <v>0</v>
      </c>
      <c r="AI28" s="36">
        <f>VLOOKUP($A28,[26]HISTOOCT25!$A$6:$CB$51,63,0)</f>
        <v>0</v>
      </c>
      <c r="AJ28" s="36">
        <f>VLOOKUP($A28,[26]HISTOOCT25!$A$6:$BR$51,64,0)</f>
        <v>0</v>
      </c>
      <c r="AK28" s="36">
        <f>VLOOKUP($A28,[26]HISTOOCT25!$A$6:$BR$51,65,0)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VLOOKUP($A29,[26]HISTOOCT25!$A$6:$BA$51,48,0)</f>
        <v>0</v>
      </c>
      <c r="F29" s="36">
        <f>VLOOKUP(A29,MVTSEPT25!A29:AM64,6,0)+MVTSEPT25!H29-E29+L29</f>
        <v>1035588.4404967877</v>
      </c>
      <c r="G29" s="5">
        <f>IF(MVTOCT25!F29&gt;800000,(MVTAVRIL25!I29-E29+L29),0)</f>
        <v>935610.21840677003</v>
      </c>
      <c r="H29" s="36">
        <f>VLOOKUP(A29,[27]MVTOCT25!$A$6:$AM$42,8,0)</f>
        <v>3160.2865751220493</v>
      </c>
      <c r="I29" s="6">
        <f t="shared" si="1"/>
        <v>1038748.7270719097</v>
      </c>
      <c r="J29" s="36">
        <f>VLOOKUP($A29,[26]HISTOOCT25!$A$6:$AQ$51,22,0)</f>
        <v>0</v>
      </c>
      <c r="K29" s="36">
        <f>VLOOKUP($A29,[26]HISTOOCT25!$A$6:$AU$51,45,0)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VLOOKUP($A29,[26]HISTOOCT25!$A$6:$AU$51,8,0)</f>
        <v>0</v>
      </c>
      <c r="Q29" s="36">
        <f>VLOOKUP($A29,[26]HISTOOCT25!$A$6:$AU$51,23,0)</f>
        <v>0</v>
      </c>
      <c r="R29" s="36">
        <f>VLOOKUP($A29,[26]HISTOOCT25!$A$6:$AU$51,46,0)</f>
        <v>0</v>
      </c>
      <c r="S29" s="36">
        <f>VLOOKUP($A29,[26]HISTOOCT25!$A$6:$AU$51,26,0)</f>
        <v>0</v>
      </c>
      <c r="T29" s="36">
        <f>VLOOKUP($A29,[26]HISTOOCT25!$A$6:$BG$51,58,0)</f>
        <v>0</v>
      </c>
      <c r="U29" s="36">
        <f>VLOOKUP($A29,[26]HISTOOCT25!$A$6:$AU$51,28,0)</f>
        <v>0</v>
      </c>
      <c r="V29" s="36">
        <f>VLOOKUP($A29,[26]HISTOOCT25!$A$6:$AU$51,19,0)</f>
        <v>0</v>
      </c>
      <c r="W29" s="36">
        <f>VLOOKUP($A29,[26]HISTOOCT25!$A$6:$AU$51,20,0)</f>
        <v>0</v>
      </c>
      <c r="X29" s="36">
        <f>VLOOKUP($A29,[26]HISTOOCT25!$A$6:$AU$51,27,0)</f>
        <v>0</v>
      </c>
      <c r="Y29" s="36">
        <f>VLOOKUP($A29,[26]HISTOOCT25!$A$6:$BM$51,33,0)</f>
        <v>0</v>
      </c>
      <c r="Z29" s="36">
        <f>VLOOKUP($A29,[26]HISTOOCT25!$A$6:$BM$51,64,0)</f>
        <v>0</v>
      </c>
      <c r="AA29" s="36"/>
      <c r="AB29" s="36">
        <f>VLOOKUP($A29,[26]HISTOOCT25!$A$6:$AU$51,44,0)</f>
        <v>0</v>
      </c>
      <c r="AC29" s="36">
        <f>VLOOKUP($A29,[26]HISTOOCT25!$A$6:$AU$51,43,0)</f>
        <v>0</v>
      </c>
      <c r="AD29" s="36">
        <f>VLOOKUP($A29,[26]HISTOOCT25!$A$6:$BR$51,47,0)</f>
        <v>0</v>
      </c>
      <c r="AE29" s="36">
        <f>VLOOKUP(A29,[26]HISTOOCT25!$A$6:$BR$51,54,0)</f>
        <v>0</v>
      </c>
      <c r="AF29" s="36">
        <f>VLOOKUP($A29,[26]HISTOOCT25!$A$6:$BR$51,60,0)</f>
        <v>0</v>
      </c>
      <c r="AG29" s="36">
        <f>VLOOKUP($A29,[26]HISTOOCT25!$A$6:$CB$51,61,0)</f>
        <v>0</v>
      </c>
      <c r="AH29" s="36">
        <f>VLOOKUP($A29,[26]HISTOOCT25!$A$6:$CB$51,62,0)</f>
        <v>0</v>
      </c>
      <c r="AI29" s="36">
        <f>VLOOKUP($A29,[26]HISTOOCT25!$A$6:$CB$51,63,0)</f>
        <v>0</v>
      </c>
      <c r="AJ29" s="36">
        <f>VLOOKUP($A29,[26]HISTOOCT25!$A$6:$BR$51,64,0)</f>
        <v>0</v>
      </c>
      <c r="AK29" s="36">
        <f>VLOOKUP($A29,[26]HISTOOCT25!$A$6:$BR$51,65,0)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VLOOKUP($A30,[26]HISTOOCT25!$A$6:$BA$51,48,0)</f>
        <v>0</v>
      </c>
      <c r="F30" s="36">
        <f>VLOOKUP(A30,MVTSEPT25!A30:AM65,6,0)+MVTSEPT25!H30-E30+L30</f>
        <v>1197829.2461572213</v>
      </c>
      <c r="G30" s="5">
        <f>IF(MVTOCT25!F30&gt;800000,(MVTAVRIL25!I30-E30+L30),0)</f>
        <v>1097019.0945803211</v>
      </c>
      <c r="H30" s="36">
        <f>VLOOKUP(A30,[27]MVTOCT25!$A$6:$AM$42,8,0)</f>
        <v>3655.3939170113526</v>
      </c>
      <c r="I30" s="6">
        <f t="shared" si="1"/>
        <v>1201484.6400742326</v>
      </c>
      <c r="J30" s="36">
        <f>VLOOKUP($A30,[26]HISTOOCT25!$A$6:$AQ$51,22,0)</f>
        <v>0</v>
      </c>
      <c r="K30" s="36">
        <f>VLOOKUP($A30,[26]HISTOOCT25!$A$6:$AU$51,45,0)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VLOOKUP($A30,[26]HISTOOCT25!$A$6:$AU$51,8,0)</f>
        <v>0</v>
      </c>
      <c r="Q30" s="36">
        <f>VLOOKUP($A30,[26]HISTOOCT25!$A$6:$AU$51,23,0)</f>
        <v>0</v>
      </c>
      <c r="R30" s="36">
        <f>VLOOKUP($A30,[26]HISTOOCT25!$A$6:$AU$51,46,0)</f>
        <v>0</v>
      </c>
      <c r="S30" s="36">
        <f>VLOOKUP($A30,[26]HISTOOCT25!$A$6:$AU$51,26,0)</f>
        <v>0</v>
      </c>
      <c r="T30" s="36">
        <f>VLOOKUP($A30,[26]HISTOOCT25!$A$6:$BG$51,58,0)</f>
        <v>0</v>
      </c>
      <c r="U30" s="36">
        <f>VLOOKUP($A30,[26]HISTOOCT25!$A$6:$AU$51,28,0)</f>
        <v>0</v>
      </c>
      <c r="V30" s="36">
        <f>VLOOKUP($A30,[26]HISTOOCT25!$A$6:$AU$51,19,0)</f>
        <v>0</v>
      </c>
      <c r="W30" s="36">
        <f>VLOOKUP($A30,[26]HISTOOCT25!$A$6:$AU$51,20,0)</f>
        <v>0</v>
      </c>
      <c r="X30" s="36">
        <f>VLOOKUP($A30,[26]HISTOOCT25!$A$6:$AU$51,27,0)</f>
        <v>0</v>
      </c>
      <c r="Y30" s="36">
        <f>VLOOKUP($A30,[26]HISTOOCT25!$A$6:$BM$51,33,0)</f>
        <v>0</v>
      </c>
      <c r="Z30" s="36">
        <f>VLOOKUP($A30,[26]HISTOOCT25!$A$6:$BM$51,64,0)</f>
        <v>0</v>
      </c>
      <c r="AA30" s="36"/>
      <c r="AB30" s="36">
        <f>VLOOKUP($A30,[26]HISTOOCT25!$A$6:$AU$51,44,0)</f>
        <v>0</v>
      </c>
      <c r="AC30" s="36">
        <f>VLOOKUP($A30,[26]HISTOOCT25!$A$6:$AU$51,43,0)</f>
        <v>0</v>
      </c>
      <c r="AD30" s="36">
        <f>VLOOKUP($A30,[26]HISTOOCT25!$A$6:$BR$51,47,0)</f>
        <v>0</v>
      </c>
      <c r="AE30" s="36">
        <f>VLOOKUP(A30,[26]HISTOOCT25!$A$6:$BR$51,54,0)</f>
        <v>0</v>
      </c>
      <c r="AF30" s="36">
        <f>VLOOKUP($A30,[26]HISTOOCT25!$A$6:$BR$51,60,0)</f>
        <v>0</v>
      </c>
      <c r="AG30" s="36">
        <f>VLOOKUP($A30,[26]HISTOOCT25!$A$6:$CB$51,61,0)</f>
        <v>0</v>
      </c>
      <c r="AH30" s="36">
        <f>VLOOKUP($A30,[26]HISTOOCT25!$A$6:$CB$51,62,0)</f>
        <v>0</v>
      </c>
      <c r="AI30" s="36">
        <f>VLOOKUP($A30,[26]HISTOOCT25!$A$6:$CB$51,63,0)</f>
        <v>0</v>
      </c>
      <c r="AJ30" s="36">
        <f>VLOOKUP($A30,[26]HISTOOCT25!$A$6:$BR$51,64,0)</f>
        <v>0</v>
      </c>
      <c r="AK30" s="36">
        <f>VLOOKUP($A30,[26]HISTOOCT25!$A$6:$BR$51,65,0)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VLOOKUP($A31,[26]HISTOOCT25!$A$6:$BA$51,48,0)</f>
        <v>0</v>
      </c>
      <c r="F31" s="36">
        <f>VLOOKUP(A31,MVTSEPT25!A31:AM66,6,0)+MVTSEPT25!H31-E31+L31</f>
        <v>1043330.6712211896</v>
      </c>
      <c r="G31" s="5">
        <f>IF(MVTOCT25!F31&gt;800000,(MVTAVRIL25!I31-E31+L31),0)</f>
        <v>943312.74894595868</v>
      </c>
      <c r="H31" s="36">
        <f>VLOOKUP(A31,[27]MVTOCT25!$A$6:$AM$42,8,0)</f>
        <v>3183.9134010530988</v>
      </c>
      <c r="I31" s="6">
        <f t="shared" si="1"/>
        <v>1046514.5846222426</v>
      </c>
      <c r="J31" s="36">
        <f>VLOOKUP($A31,[26]HISTOOCT25!$A$6:$AQ$51,22,0)</f>
        <v>0</v>
      </c>
      <c r="K31" s="36">
        <f>VLOOKUP($A31,[26]HISTOOCT25!$A$6:$AU$51,45,0)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VLOOKUP($A31,[26]HISTOOCT25!$A$6:$AU$51,8,0)</f>
        <v>0</v>
      </c>
      <c r="Q31" s="36">
        <f>VLOOKUP($A31,[26]HISTOOCT25!$A$6:$AU$51,23,0)</f>
        <v>0</v>
      </c>
      <c r="R31" s="36">
        <f>VLOOKUP($A31,[26]HISTOOCT25!$A$6:$AU$51,46,0)</f>
        <v>0</v>
      </c>
      <c r="S31" s="36">
        <f>VLOOKUP($A31,[26]HISTOOCT25!$A$6:$AU$51,26,0)</f>
        <v>0</v>
      </c>
      <c r="T31" s="36">
        <f>VLOOKUP($A31,[26]HISTOOCT25!$A$6:$BG$51,58,0)</f>
        <v>0</v>
      </c>
      <c r="U31" s="36">
        <f>VLOOKUP($A31,[26]HISTOOCT25!$A$6:$AU$51,28,0)</f>
        <v>0</v>
      </c>
      <c r="V31" s="36">
        <f>VLOOKUP($A31,[26]HISTOOCT25!$A$6:$AU$51,19,0)</f>
        <v>0</v>
      </c>
      <c r="W31" s="36">
        <f>VLOOKUP($A31,[26]HISTOOCT25!$A$6:$AU$51,20,0)</f>
        <v>0</v>
      </c>
      <c r="X31" s="36">
        <f>VLOOKUP($A31,[26]HISTOOCT25!$A$6:$AU$51,27,0)</f>
        <v>0</v>
      </c>
      <c r="Y31" s="36">
        <f>VLOOKUP($A31,[26]HISTOOCT25!$A$6:$BM$51,33,0)</f>
        <v>0</v>
      </c>
      <c r="Z31" s="36">
        <f>VLOOKUP($A31,[26]HISTOOCT25!$A$6:$BM$51,64,0)</f>
        <v>0</v>
      </c>
      <c r="AA31" s="36"/>
      <c r="AB31" s="36">
        <f>VLOOKUP($A31,[26]HISTOOCT25!$A$6:$AU$51,44,0)</f>
        <v>0</v>
      </c>
      <c r="AC31" s="36">
        <f>VLOOKUP($A31,[26]HISTOOCT25!$A$6:$AU$51,43,0)</f>
        <v>0</v>
      </c>
      <c r="AD31" s="36">
        <f>VLOOKUP($A31,[26]HISTOOCT25!$A$6:$BR$51,47,0)</f>
        <v>0</v>
      </c>
      <c r="AE31" s="36">
        <f>VLOOKUP(A31,[26]HISTOOCT25!$A$6:$BR$51,54,0)</f>
        <v>0</v>
      </c>
      <c r="AF31" s="36">
        <f>VLOOKUP($A31,[26]HISTOOCT25!$A$6:$BR$51,60,0)</f>
        <v>0</v>
      </c>
      <c r="AG31" s="36">
        <f>VLOOKUP($A31,[26]HISTOOCT25!$A$6:$CB$51,61,0)</f>
        <v>0</v>
      </c>
      <c r="AH31" s="36">
        <f>VLOOKUP($A31,[26]HISTOOCT25!$A$6:$CB$51,62,0)</f>
        <v>0</v>
      </c>
      <c r="AI31" s="36">
        <f>VLOOKUP($A31,[26]HISTOOCT25!$A$6:$CB$51,63,0)</f>
        <v>0</v>
      </c>
      <c r="AJ31" s="36">
        <f>VLOOKUP($A31,[26]HISTOOCT25!$A$6:$BR$51,64,0)</f>
        <v>0</v>
      </c>
      <c r="AK31" s="36">
        <f>VLOOKUP($A31,[26]HISTOOCT25!$A$6:$BR$51,65,0)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VLOOKUP($A32,[26]HISTOOCT25!$A$6:$BA$51,48,0)</f>
        <v>0</v>
      </c>
      <c r="F32" s="36">
        <f>VLOOKUP(A32,MVTSEPT25!A32:AM67,6,0)+MVTSEPT25!H32-E32+L32</f>
        <v>1139362.5759304503</v>
      </c>
      <c r="G32" s="5">
        <f>IF(MVTOCT25!F32&gt;800000,(MVTAVRIL25!I32-E32+L32),0)</f>
        <v>1038852.2265319447</v>
      </c>
      <c r="H32" s="36">
        <f>VLOOKUP(A32,[27]MVTOCT25!$A$6:$AM$42,8,0)</f>
        <v>3476.9722334696608</v>
      </c>
      <c r="I32" s="6">
        <f t="shared" si="1"/>
        <v>1142839.5481639199</v>
      </c>
      <c r="J32" s="36">
        <f>VLOOKUP($A32,[26]HISTOOCT25!$A$6:$AQ$51,22,0)</f>
        <v>0</v>
      </c>
      <c r="K32" s="36">
        <f>VLOOKUP($A32,[26]HISTOOCT25!$A$6:$AU$51,45,0)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VLOOKUP($A32,[26]HISTOOCT25!$A$6:$AU$51,8,0)</f>
        <v>3000</v>
      </c>
      <c r="Q32" s="36">
        <f>VLOOKUP($A32,[26]HISTOOCT25!$A$6:$AU$51,23,0)</f>
        <v>0</v>
      </c>
      <c r="R32" s="36">
        <f>VLOOKUP($A32,[26]HISTOOCT25!$A$6:$AU$51,46,0)</f>
        <v>0</v>
      </c>
      <c r="S32" s="36">
        <f>VLOOKUP($A32,[26]HISTOOCT25!$A$6:$AU$51,26,0)</f>
        <v>1000000</v>
      </c>
      <c r="T32" s="36">
        <f>VLOOKUP($A32,[26]HISTOOCT25!$A$6:$BG$51,58,0)</f>
        <v>30000</v>
      </c>
      <c r="U32" s="36">
        <f>VLOOKUP($A32,[26]HISTOOCT25!$A$6:$AU$51,28,0)</f>
        <v>0</v>
      </c>
      <c r="V32" s="36">
        <f>VLOOKUP($A32,[26]HISTOOCT25!$A$6:$AU$51,19,0)</f>
        <v>1000000</v>
      </c>
      <c r="W32" s="36" t="str">
        <f>VLOOKUP($A32,[26]HISTOOCT25!$A$6:$AU$51,20,0)</f>
        <v>BANQUE</v>
      </c>
      <c r="X32" s="36" t="str">
        <f>VLOOKUP($A32,[26]HISTOOCT25!$A$6:$AU$51,27,0)</f>
        <v>BANQUE</v>
      </c>
      <c r="Y32" s="36">
        <f>VLOOKUP($A32,[26]HISTOOCT25!$A$6:$BM$51,33,0)</f>
        <v>0</v>
      </c>
      <c r="Z32" s="36">
        <f>VLOOKUP($A32,[26]HISTOOCT25!$A$6:$BM$51,64,0)</f>
        <v>0</v>
      </c>
      <c r="AA32" s="36"/>
      <c r="AB32" s="36">
        <f>VLOOKUP($A32,[26]HISTOOCT25!$A$6:$AU$51,44,0)</f>
        <v>0</v>
      </c>
      <c r="AC32" s="36">
        <f>VLOOKUP($A32,[26]HISTOOCT25!$A$6:$AU$51,43,0)</f>
        <v>0</v>
      </c>
      <c r="AD32" s="36">
        <f>VLOOKUP($A32,[26]HISTOOCT25!$A$6:$BR$51,47,0)</f>
        <v>0</v>
      </c>
      <c r="AE32" s="36">
        <f>VLOOKUP(A32,[26]HISTOOCT25!$A$6:$BR$51,54,0)</f>
        <v>0</v>
      </c>
      <c r="AF32" s="36">
        <f>VLOOKUP($A32,[26]HISTOOCT25!$A$6:$BR$51,60,0)</f>
        <v>0</v>
      </c>
      <c r="AG32" s="36">
        <f>VLOOKUP($A32,[26]HISTOOCT25!$A$6:$CB$51,61,0)</f>
        <v>0</v>
      </c>
      <c r="AH32" s="36">
        <f>VLOOKUP($A32,[26]HISTOOCT25!$A$6:$CB$51,62,0)</f>
        <v>0</v>
      </c>
      <c r="AI32" s="36">
        <f>VLOOKUP($A32,[26]HISTOOCT25!$A$6:$CB$51,63,0)</f>
        <v>0</v>
      </c>
      <c r="AJ32" s="36">
        <f>VLOOKUP($A32,[26]HISTOOCT25!$A$6:$BR$51,64,0)</f>
        <v>0</v>
      </c>
      <c r="AK32" s="36">
        <f>VLOOKUP($A32,[26]HISTOOCT25!$A$6:$BR$51,65,0)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VLOOKUP($A33,[26]HISTOOCT25!$A$6:$BA$51,48,0)</f>
        <v>0</v>
      </c>
      <c r="F33" s="36">
        <f>VLOOKUP(A33,MVTSEPT25!A33:AM68,6,0)+MVTSEPT25!H33-E33+L33</f>
        <v>178000</v>
      </c>
      <c r="G33" s="5">
        <f>IF(MVTOCT25!F33&gt;800000,(MVTAVRIL25!I33-E33+L33),0)</f>
        <v>0</v>
      </c>
      <c r="H33" s="36">
        <f>VLOOKUP(A33,[27]MVTOCT25!$A$6:$AM$42,8,0)</f>
        <v>0</v>
      </c>
      <c r="I33" s="6">
        <f t="shared" si="1"/>
        <v>178000</v>
      </c>
      <c r="J33" s="36">
        <f>VLOOKUP($A33,[26]HISTOOCT25!$A$6:$AQ$51,22,0)</f>
        <v>0</v>
      </c>
      <c r="K33" s="36">
        <f>VLOOKUP($A33,[26]HISTOOCT25!$A$6:$AU$51,45,0)</f>
        <v>25000</v>
      </c>
      <c r="L33" s="36">
        <f t="shared" si="2"/>
        <v>19000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VLOOKUP($A33,[26]HISTOOCT25!$A$6:$AU$51,8,0)</f>
        <v>0</v>
      </c>
      <c r="Q33" s="36">
        <f>VLOOKUP($A33,[26]HISTOOCT25!$A$6:$AU$51,23,0)</f>
        <v>0</v>
      </c>
      <c r="R33" s="36">
        <f>VLOOKUP($A33,[26]HISTOOCT25!$A$6:$AU$51,46,0)</f>
        <v>0</v>
      </c>
      <c r="S33" s="36">
        <f>VLOOKUP($A33,[26]HISTOOCT25!$A$6:$AU$51,26,0)</f>
        <v>0</v>
      </c>
      <c r="T33" s="36">
        <f>VLOOKUP($A33,[26]HISTOOCT25!$A$6:$BG$51,58,0)</f>
        <v>0</v>
      </c>
      <c r="U33" s="36">
        <f>VLOOKUP($A33,[26]HISTOOCT25!$A$6:$AU$51,28,0)</f>
        <v>0</v>
      </c>
      <c r="V33" s="36">
        <f>VLOOKUP($A33,[26]HISTOOCT25!$A$6:$AU$51,19,0)</f>
        <v>0</v>
      </c>
      <c r="W33" s="36">
        <f>VLOOKUP($A33,[26]HISTOOCT25!$A$6:$AU$51,20,0)</f>
        <v>0</v>
      </c>
      <c r="X33" s="36">
        <f>VLOOKUP($A33,[26]HISTOOCT25!$A$6:$AU$51,27,0)</f>
        <v>0</v>
      </c>
      <c r="Y33" s="36">
        <f>VLOOKUP($A33,[26]HISTOOCT25!$A$6:$BM$51,33,0)</f>
        <v>0</v>
      </c>
      <c r="Z33" s="36">
        <f>VLOOKUP($A33,[26]HISTOOCT25!$A$6:$BM$51,64,0)</f>
        <v>0</v>
      </c>
      <c r="AA33" s="36"/>
      <c r="AB33" s="36">
        <f>VLOOKUP($A33,[26]HISTOOCT25!$A$6:$AU$51,44,0)</f>
        <v>0</v>
      </c>
      <c r="AC33" s="36">
        <f>VLOOKUP($A33,[26]HISTOOCT25!$A$6:$AU$51,43,0)</f>
        <v>0</v>
      </c>
      <c r="AD33" s="36">
        <f>VLOOKUP($A33,[26]HISTOOCT25!$A$6:$BR$51,47,0)</f>
        <v>0</v>
      </c>
      <c r="AE33" s="36">
        <f>VLOOKUP(A33,[26]HISTOOCT25!$A$6:$BR$51,54,0)</f>
        <v>0</v>
      </c>
      <c r="AF33" s="36">
        <f>VLOOKUP($A33,[26]HISTOOCT25!$A$6:$BR$51,60,0)</f>
        <v>0</v>
      </c>
      <c r="AG33" s="36">
        <f>VLOOKUP($A33,[26]HISTOOCT25!$A$6:$CB$51,61,0)</f>
        <v>0</v>
      </c>
      <c r="AH33" s="36">
        <f>VLOOKUP($A33,[26]HISTOOCT25!$A$6:$CB$51,62,0)</f>
        <v>0</v>
      </c>
      <c r="AI33" s="36">
        <f>VLOOKUP($A33,[26]HISTOOCT25!$A$6:$CB$51,63,0)</f>
        <v>0</v>
      </c>
      <c r="AJ33" s="36">
        <f>VLOOKUP($A33,[26]HISTOOCT25!$A$6:$BR$51,64,0)</f>
        <v>0</v>
      </c>
      <c r="AK33" s="36">
        <f>VLOOKUP($A33,[26]HISTOOCT25!$A$6:$BR$51,65,0)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VLOOKUP($A34,[26]HISTOOCT25!$A$6:$BA$51,48,0)</f>
        <v>0</v>
      </c>
      <c r="F34" s="36">
        <f>VLOOKUP(A34,MVTSEPT25!A34:AM69,6,0)+MVTSEPT25!H34-E34+L34</f>
        <v>1071425.1636715028</v>
      </c>
      <c r="G34" s="5">
        <f>IF(MVTOCT25!F34&gt;800000,(MVTAVRIL25!I34-E34+L34),0)</f>
        <v>985087.8813039019</v>
      </c>
      <c r="H34" s="36">
        <f>VLOOKUP(A34,[27]MVTOCT25!$A$6:$AM$42,8,0)</f>
        <v>3269.6488571991722</v>
      </c>
      <c r="I34" s="6">
        <f t="shared" si="1"/>
        <v>1074694.812528702</v>
      </c>
      <c r="J34" s="36">
        <f>VLOOKUP($A34,[26]HISTOOCT25!$A$6:$AQ$51,22,0)</f>
        <v>0</v>
      </c>
      <c r="K34" s="36"/>
      <c r="L34" s="36"/>
      <c r="M34" s="36"/>
      <c r="N34" s="36"/>
      <c r="O34" s="36"/>
      <c r="P34" s="36">
        <f>VLOOKUP($A34,[26]HISTOOCT25!$A$6:$AU$51,8,0)</f>
        <v>0</v>
      </c>
      <c r="Q34" s="36">
        <f>VLOOKUP($A34,[26]HISTOOCT25!$A$6:$AU$51,23,0)</f>
        <v>0</v>
      </c>
      <c r="R34" s="36">
        <f>VLOOKUP($A34,[26]HISTOOCT25!$A$6:$AU$51,46,0)</f>
        <v>0</v>
      </c>
      <c r="S34" s="36">
        <f>VLOOKUP($A34,[26]HISTOOCT25!$A$6:$AU$51,26,0)</f>
        <v>0</v>
      </c>
      <c r="T34" s="36">
        <f>VLOOKUP($A34,[26]HISTOOCT25!$A$6:$BG$51,58,0)</f>
        <v>0</v>
      </c>
      <c r="U34" s="36">
        <f>VLOOKUP($A34,[26]HISTOOCT25!$A$6:$AU$51,28,0)</f>
        <v>0</v>
      </c>
      <c r="V34" s="36">
        <f>VLOOKUP($A34,[26]HISTOOCT25!$A$6:$AU$51,19,0)</f>
        <v>500000</v>
      </c>
      <c r="W34" s="36" t="str">
        <f>VLOOKUP($A34,[26]HISTOOCT25!$A$6:$AU$51,20,0)</f>
        <v>BANQUE</v>
      </c>
      <c r="X34" s="36">
        <f>VLOOKUP($A34,[26]HISTOOCT25!$A$6:$AU$51,27,0)</f>
        <v>0</v>
      </c>
      <c r="Y34" s="36">
        <f>VLOOKUP($A34,[26]HISTOOCT25!$A$6:$BM$51,33,0)</f>
        <v>0</v>
      </c>
      <c r="Z34" s="36">
        <f>VLOOKUP($A34,[26]HISTOOCT25!$A$6:$BM$51,64,0)</f>
        <v>0</v>
      </c>
      <c r="AA34" s="36"/>
      <c r="AB34" s="36">
        <f>VLOOKUP($A34,[26]HISTOOCT25!$A$6:$AU$51,44,0)</f>
        <v>0</v>
      </c>
      <c r="AC34" s="36">
        <f>VLOOKUP($A34,[26]HISTOOCT25!$A$6:$AU$51,43,0)</f>
        <v>0</v>
      </c>
      <c r="AD34" s="36">
        <f>VLOOKUP($A34,[26]HISTOOCT25!$A$6:$BR$51,47,0)</f>
        <v>0</v>
      </c>
      <c r="AE34" s="36">
        <f>VLOOKUP(A34,[26]HISTOOCT25!$A$6:$BR$51,54,0)</f>
        <v>0</v>
      </c>
      <c r="AF34" s="36">
        <f>VLOOKUP($A34,[26]HISTOOCT25!$A$6:$BR$51,60,0)</f>
        <v>0</v>
      </c>
      <c r="AG34" s="36">
        <f>VLOOKUP($A34,[26]HISTOOCT25!$A$6:$CB$51,61,0)</f>
        <v>0</v>
      </c>
      <c r="AH34" s="36">
        <f>VLOOKUP($A34,[26]HISTOOCT25!$A$6:$CB$51,62,0)</f>
        <v>0</v>
      </c>
      <c r="AI34" s="36">
        <f>VLOOKUP($A34,[26]HISTOOCT25!$A$6:$CB$51,63,0)</f>
        <v>0</v>
      </c>
      <c r="AJ34" s="36">
        <f>VLOOKUP($A34,[26]HISTOOCT25!$A$6:$BR$51,64,0)</f>
        <v>0</v>
      </c>
      <c r="AK34" s="36">
        <f>VLOOKUP($A34,[26]HISTOOCT25!$A$6:$BR$51,65,0)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VLOOKUP($A35,[26]HISTOOCT25!$A$6:$BA$51,48,0)</f>
        <v>0</v>
      </c>
      <c r="F35" s="36">
        <f>VLOOKUP(A35,MVTSEPT25!A35:AM70,6,0)+MVTSEPT25!H35-E35+L35</f>
        <v>1060607.8547104672</v>
      </c>
      <c r="G35" s="5">
        <f>IF(MVTOCT25!F35&gt;800000,(MVTAVRIL25!I35-E35+L35),0)</f>
        <v>960501.3394432544</v>
      </c>
      <c r="H35" s="36">
        <f>VLOOKUP(A35,[27]MVTOCT25!$A$6:$AM$42,8,0)</f>
        <v>3236.6378704483841</v>
      </c>
      <c r="I35" s="6">
        <f t="shared" si="1"/>
        <v>1063844.4925809156</v>
      </c>
      <c r="J35" s="36">
        <f>VLOOKUP($A35,[26]HISTOOCT25!$A$6:$AQ$51,22,0)</f>
        <v>0</v>
      </c>
      <c r="K35" s="36">
        <f>VLOOKUP($A35,[26]HISTOOCT25!$A$6:$AU$51,45,0)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VLOOKUP($A35,[26]HISTOOCT25!$A$6:$AU$51,8,0)</f>
        <v>0</v>
      </c>
      <c r="Q35" s="36">
        <f>VLOOKUP($A35,[26]HISTOOCT25!$A$6:$AU$51,23,0)</f>
        <v>0</v>
      </c>
      <c r="R35" s="36">
        <f>VLOOKUP($A35,[26]HISTOOCT25!$A$6:$AU$51,46,0)</f>
        <v>0</v>
      </c>
      <c r="S35" s="36">
        <f>VLOOKUP($A35,[26]HISTOOCT25!$A$6:$AU$51,26,0)</f>
        <v>0</v>
      </c>
      <c r="T35" s="36">
        <f>VLOOKUP($A35,[26]HISTOOCT25!$A$6:$BG$51,58,0)</f>
        <v>0</v>
      </c>
      <c r="U35" s="36">
        <f>VLOOKUP($A35,[26]HISTOOCT25!$A$6:$AU$51,28,0)</f>
        <v>0</v>
      </c>
      <c r="V35" s="36">
        <f>VLOOKUP($A35,[26]HISTOOCT25!$A$6:$AU$51,19,0)</f>
        <v>0</v>
      </c>
      <c r="W35" s="36">
        <f>VLOOKUP($A35,[26]HISTOOCT25!$A$6:$AU$51,20,0)</f>
        <v>0</v>
      </c>
      <c r="X35" s="36">
        <f>VLOOKUP($A35,[26]HISTOOCT25!$A$6:$AU$51,27,0)</f>
        <v>0</v>
      </c>
      <c r="Y35" s="36">
        <f>VLOOKUP($A35,[26]HISTOOCT25!$A$6:$BM$51,33,0)</f>
        <v>0</v>
      </c>
      <c r="Z35" s="36">
        <f>VLOOKUP($A35,[26]HISTOOCT25!$A$6:$BM$51,64,0)</f>
        <v>0</v>
      </c>
      <c r="AA35" s="36"/>
      <c r="AB35" s="36">
        <f>VLOOKUP($A35,[26]HISTOOCT25!$A$6:$AU$51,44,0)</f>
        <v>0</v>
      </c>
      <c r="AC35" s="36">
        <f>VLOOKUP($A35,[26]HISTOOCT25!$A$6:$AU$51,43,0)</f>
        <v>0</v>
      </c>
      <c r="AD35" s="36">
        <f>VLOOKUP($A35,[26]HISTOOCT25!$A$6:$BR$51,47,0)</f>
        <v>0</v>
      </c>
      <c r="AE35" s="36">
        <f>VLOOKUP(A35,[26]HISTOOCT25!$A$6:$BR$51,54,0)</f>
        <v>0</v>
      </c>
      <c r="AF35" s="36">
        <f>VLOOKUP($A35,[26]HISTOOCT25!$A$6:$BR$51,60,0)</f>
        <v>0</v>
      </c>
      <c r="AG35" s="36">
        <f>VLOOKUP($A35,[26]HISTOOCT25!$A$6:$CB$51,61,0)</f>
        <v>0</v>
      </c>
      <c r="AH35" s="36">
        <f>VLOOKUP($A35,[26]HISTOOCT25!$A$6:$CB$51,62,0)</f>
        <v>0</v>
      </c>
      <c r="AI35" s="36">
        <f>VLOOKUP($A35,[26]HISTOOCT25!$A$6:$CB$51,63,0)</f>
        <v>0</v>
      </c>
      <c r="AJ35" s="36">
        <f>VLOOKUP($A35,[26]HISTOOCT25!$A$6:$BR$51,64,0)</f>
        <v>0</v>
      </c>
      <c r="AK35" s="36">
        <f>VLOOKUP($A35,[26]HISTOOCT25!$A$6:$BR$51,65,0)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VLOOKUP($A36,[26]HISTOOCT25!$A$6:$BA$51,48,0)</f>
        <v>0</v>
      </c>
      <c r="F36" s="36">
        <f>VLOOKUP(A36,MVTSEPT25!A36:AM71,6,0)+MVTSEPT25!H36-E36+L36</f>
        <v>1050429.3330591442</v>
      </c>
      <c r="G36" s="5">
        <f>IF(MVTOCT25!F36&gt;800000,(MVTAVRIL25!I36-E36+L36),0)</f>
        <v>950375.01065586659</v>
      </c>
      <c r="H36" s="36">
        <f>VLOOKUP(A36,[27]MVTOCT25!$A$6:$AM$42,8,0)</f>
        <v>3205.5762594151111</v>
      </c>
      <c r="I36" s="6">
        <f t="shared" si="1"/>
        <v>1053634.9093185593</v>
      </c>
      <c r="J36" s="36">
        <f>VLOOKUP($A36,[26]HISTOOCT25!$A$6:$AQ$51,22,0)</f>
        <v>0</v>
      </c>
      <c r="K36" s="36">
        <f>VLOOKUP($A36,[26]HISTOOCT25!$A$6:$AU$51,45,0)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VLOOKUP($A36,[26]HISTOOCT25!$A$6:$AU$51,8,0)</f>
        <v>0</v>
      </c>
      <c r="Q36" s="36">
        <f>VLOOKUP($A36,[26]HISTOOCT25!$A$6:$AU$51,23,0)</f>
        <v>0</v>
      </c>
      <c r="R36" s="36">
        <f>VLOOKUP($A36,[26]HISTOOCT25!$A$6:$AU$51,46,0)</f>
        <v>0</v>
      </c>
      <c r="S36" s="36">
        <f>VLOOKUP($A36,[26]HISTOOCT25!$A$6:$AU$51,26,0)</f>
        <v>0</v>
      </c>
      <c r="T36" s="36">
        <f>VLOOKUP($A36,[26]HISTOOCT25!$A$6:$BG$51,58,0)</f>
        <v>0</v>
      </c>
      <c r="U36" s="36">
        <f>VLOOKUP($A36,[26]HISTOOCT25!$A$6:$AU$51,28,0)</f>
        <v>0</v>
      </c>
      <c r="V36" s="36">
        <f>VLOOKUP($A36,[26]HISTOOCT25!$A$6:$AU$51,19,0)</f>
        <v>0</v>
      </c>
      <c r="W36" s="36">
        <f>VLOOKUP($A36,[26]HISTOOCT25!$A$6:$AU$51,20,0)</f>
        <v>0</v>
      </c>
      <c r="X36" s="36">
        <f>VLOOKUP($A36,[26]HISTOOCT25!$A$6:$AU$51,27,0)</f>
        <v>0</v>
      </c>
      <c r="Y36" s="36">
        <f>VLOOKUP($A36,[26]HISTOOCT25!$A$6:$BM$51,33,0)</f>
        <v>0</v>
      </c>
      <c r="Z36" s="36">
        <f>VLOOKUP($A36,[26]HISTOOCT25!$A$6:$BM$51,64,0)</f>
        <v>0</v>
      </c>
      <c r="AA36" s="36"/>
      <c r="AB36" s="36">
        <f>VLOOKUP($A36,[26]HISTOOCT25!$A$6:$AU$51,44,0)</f>
        <v>0</v>
      </c>
      <c r="AC36" s="36">
        <f>VLOOKUP($A36,[26]HISTOOCT25!$A$6:$AU$51,43,0)</f>
        <v>0</v>
      </c>
      <c r="AD36" s="36">
        <f>VLOOKUP($A36,[26]HISTOOCT25!$A$6:$BR$51,47,0)</f>
        <v>0</v>
      </c>
      <c r="AE36" s="36">
        <f>VLOOKUP(A36,[26]HISTOOCT25!$A$6:$BR$51,54,0)</f>
        <v>0</v>
      </c>
      <c r="AF36" s="36">
        <f>VLOOKUP($A36,[26]HISTOOCT25!$A$6:$BR$51,60,0)</f>
        <v>0</v>
      </c>
      <c r="AG36" s="36">
        <f>VLOOKUP($A36,[26]HISTOOCT25!$A$6:$CB$51,61,0)</f>
        <v>0</v>
      </c>
      <c r="AH36" s="36">
        <f>VLOOKUP($A36,[26]HISTOOCT25!$A$6:$CB$51,62,0)</f>
        <v>0</v>
      </c>
      <c r="AI36" s="36">
        <f>VLOOKUP($A36,[26]HISTOOCT25!$A$6:$CB$51,63,0)</f>
        <v>0</v>
      </c>
      <c r="AJ36" s="36">
        <f>VLOOKUP($A36,[26]HISTOOCT25!$A$6:$BR$51,64,0)</f>
        <v>0</v>
      </c>
      <c r="AK36" s="36">
        <f>VLOOKUP($A36,[26]HISTOOCT25!$A$6:$BR$51,65,0)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VLOOKUP($A37,[26]HISTOOCT25!$A$6:$BA$51,48,0)</f>
        <v>0</v>
      </c>
      <c r="F37" s="36">
        <f>VLOOKUP(A37,MVTSEPT25!A37:AM72,6,0)+MVTSEPT25!H37-E37+L37</f>
        <v>674750</v>
      </c>
      <c r="G37" s="5">
        <f>IF(MVTOCT25!F37&gt;800000,(MVTAVRIL25!I37-E37+L37),0)</f>
        <v>0</v>
      </c>
      <c r="H37" s="36">
        <f>VLOOKUP(A37,[27]MVTOCT25!$A$6:$AM$42,8,0)</f>
        <v>0</v>
      </c>
      <c r="I37" s="6">
        <f t="shared" si="1"/>
        <v>674750</v>
      </c>
      <c r="J37" s="36">
        <f>VLOOKUP($A37,[26]HISTOOCT25!$A$6:$AQ$51,22,0)</f>
        <v>0</v>
      </c>
      <c r="K37" s="36">
        <f>VLOOKUP($A37,[26]HISTOOCT25!$A$6:$AU$51,45,0)</f>
        <v>25000</v>
      </c>
      <c r="L37" s="36">
        <f t="shared" si="2"/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VLOOKUP($A37,[26]HISTOOCT25!$A$6:$AU$51,8,0)</f>
        <v>0</v>
      </c>
      <c r="Q37" s="36">
        <f>VLOOKUP($A37,[26]HISTOOCT25!$A$6:$AU$51,23,0)</f>
        <v>0</v>
      </c>
      <c r="R37" s="36">
        <f>VLOOKUP($A37,[26]HISTOOCT25!$A$6:$AU$51,46,0)</f>
        <v>0</v>
      </c>
      <c r="S37" s="36">
        <f>VLOOKUP($A37,[26]HISTOOCT25!$A$6:$AU$51,26,0)</f>
        <v>0</v>
      </c>
      <c r="T37" s="36">
        <f>VLOOKUP($A37,[26]HISTOOCT25!$A$6:$BG$51,58,0)</f>
        <v>0</v>
      </c>
      <c r="U37" s="36">
        <f>VLOOKUP($A37,[26]HISTOOCT25!$A$6:$AU$51,28,0)</f>
        <v>0</v>
      </c>
      <c r="V37" s="36">
        <f>VLOOKUP($A37,[26]HISTOOCT25!$A$6:$AU$51,19,0)</f>
        <v>0</v>
      </c>
      <c r="W37" s="36">
        <f>VLOOKUP($A37,[26]HISTOOCT25!$A$6:$AU$51,20,0)</f>
        <v>0</v>
      </c>
      <c r="X37" s="36">
        <f>VLOOKUP($A37,[26]HISTOOCT25!$A$6:$AU$51,27,0)</f>
        <v>0</v>
      </c>
      <c r="Y37" s="36">
        <f>VLOOKUP($A37,[26]HISTOOCT25!$A$6:$BM$51,33,0)</f>
        <v>0</v>
      </c>
      <c r="Z37" s="36">
        <f>VLOOKUP($A37,[26]HISTOOCT25!$A$6:$BM$51,64,0)</f>
        <v>0</v>
      </c>
      <c r="AA37" s="36"/>
      <c r="AB37" s="36">
        <f>VLOOKUP($A37,[26]HISTOOCT25!$A$6:$AU$51,44,0)</f>
        <v>0</v>
      </c>
      <c r="AC37" s="36">
        <f>VLOOKUP($A37,[26]HISTOOCT25!$A$6:$AU$51,43,0)</f>
        <v>0</v>
      </c>
      <c r="AD37" s="36">
        <f>VLOOKUP($A37,[26]HISTOOCT25!$A$6:$BR$51,47,0)</f>
        <v>0</v>
      </c>
      <c r="AE37" s="36">
        <f>VLOOKUP(A37,[26]HISTOOCT25!$A$6:$BR$51,54,0)</f>
        <v>0</v>
      </c>
      <c r="AF37" s="36">
        <f>VLOOKUP($A37,[26]HISTOOCT25!$A$6:$BR$51,60,0)</f>
        <v>0</v>
      </c>
      <c r="AG37" s="36">
        <f>VLOOKUP($A37,[26]HISTOOCT25!$A$6:$CB$51,61,0)</f>
        <v>0</v>
      </c>
      <c r="AH37" s="36">
        <f>VLOOKUP($A37,[26]HISTOOCT25!$A$6:$CB$51,62,0)</f>
        <v>0</v>
      </c>
      <c r="AI37" s="36">
        <f>VLOOKUP($A37,[26]HISTOOCT25!$A$6:$CB$51,63,0)</f>
        <v>0</v>
      </c>
      <c r="AJ37" s="36">
        <f>VLOOKUP($A37,[26]HISTOOCT25!$A$6:$BR$51,64,0)</f>
        <v>0</v>
      </c>
      <c r="AK37" s="36">
        <f>VLOOKUP($A37,[26]HISTOOCT25!$A$6:$BR$51,65,0)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VLOOKUP($A38,[26]HISTOOCT25!$A$6:$BA$51,48,0)</f>
        <v>0</v>
      </c>
      <c r="F38" s="36">
        <f>VLOOKUP(A38,MVTSEPT25!A38:AM73,6,0)+MVTSEPT25!H38-E38+L38</f>
        <v>175000</v>
      </c>
      <c r="G38" s="5">
        <f>IF(MVTOCT25!F38&gt;800000,(MVTAVRIL25!I38-E38+L38),0)</f>
        <v>0</v>
      </c>
      <c r="H38" s="36">
        <f>VLOOKUP(A38,[27]MVTOCT25!$A$6:$AM$42,8,0)</f>
        <v>0</v>
      </c>
      <c r="I38" s="6">
        <f t="shared" si="1"/>
        <v>175000</v>
      </c>
      <c r="J38" s="36">
        <f>VLOOKUP($A38,[26]HISTOOCT25!$A$6:$AQ$51,22,0)</f>
        <v>0</v>
      </c>
      <c r="K38" s="36">
        <f>VLOOKUP($A38,[26]HISTOOCT25!$A$6:$AU$51,45,0)</f>
        <v>22000</v>
      </c>
      <c r="L38" s="36">
        <f t="shared" si="2"/>
        <v>16000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VLOOKUP($A38,[26]HISTOOCT25!$A$6:$AU$51,8,0)</f>
        <v>3000</v>
      </c>
      <c r="Q38" s="36">
        <f>VLOOKUP($A38,[26]HISTOOCT25!$A$6:$AU$51,23,0)</f>
        <v>0</v>
      </c>
      <c r="R38" s="36">
        <f>VLOOKUP($A38,[26]HISTOOCT25!$A$6:$AU$51,46,0)</f>
        <v>0</v>
      </c>
      <c r="S38" s="36">
        <f>VLOOKUP($A38,[26]HISTOOCT25!$A$6:$AU$51,26,0)</f>
        <v>0</v>
      </c>
      <c r="T38" s="36">
        <f>VLOOKUP($A38,[26]HISTOOCT25!$A$6:$BG$51,58,0)</f>
        <v>0</v>
      </c>
      <c r="U38" s="36">
        <f>VLOOKUP($A38,[26]HISTOOCT25!$A$6:$AU$51,28,0)</f>
        <v>0</v>
      </c>
      <c r="V38" s="36">
        <f>VLOOKUP($A38,[26]HISTOOCT25!$A$6:$AU$51,19,0)</f>
        <v>0</v>
      </c>
      <c r="W38" s="36">
        <f>VLOOKUP($A38,[26]HISTOOCT25!$A$6:$AU$51,20,0)</f>
        <v>0</v>
      </c>
      <c r="X38" s="36">
        <f>VLOOKUP($A38,[26]HISTOOCT25!$A$6:$AU$51,27,0)</f>
        <v>0</v>
      </c>
      <c r="Y38" s="36">
        <f>VLOOKUP($A38,[26]HISTOOCT25!$A$6:$BM$51,33,0)</f>
        <v>0</v>
      </c>
      <c r="Z38" s="36">
        <f>VLOOKUP($A38,[26]HISTOOCT25!$A$6:$BM$51,64,0)</f>
        <v>0</v>
      </c>
      <c r="AA38" s="36"/>
      <c r="AB38" s="36">
        <f>VLOOKUP($A38,[26]HISTOOCT25!$A$6:$AU$51,44,0)</f>
        <v>0</v>
      </c>
      <c r="AC38" s="36">
        <f>VLOOKUP($A38,[26]HISTOOCT25!$A$6:$AU$51,43,0)</f>
        <v>0</v>
      </c>
      <c r="AD38" s="36">
        <f>VLOOKUP($A38,[26]HISTOOCT25!$A$6:$BR$51,47,0)</f>
        <v>0</v>
      </c>
      <c r="AE38" s="36">
        <f>VLOOKUP(A38,[26]HISTOOCT25!$A$6:$BR$51,54,0)</f>
        <v>0</v>
      </c>
      <c r="AF38" s="36">
        <f>VLOOKUP($A38,[26]HISTOOCT25!$A$6:$BR$51,60,0)</f>
        <v>0</v>
      </c>
      <c r="AG38" s="36">
        <f>VLOOKUP($A38,[26]HISTOOCT25!$A$6:$CB$51,61,0)</f>
        <v>0</v>
      </c>
      <c r="AH38" s="36">
        <f>VLOOKUP($A38,[26]HISTOOCT25!$A$6:$CB$51,62,0)</f>
        <v>0</v>
      </c>
      <c r="AI38" s="36">
        <f>VLOOKUP($A38,[26]HISTOOCT25!$A$6:$CB$51,63,0)</f>
        <v>0</v>
      </c>
      <c r="AJ38" s="36">
        <f>VLOOKUP($A38,[26]HISTOOCT25!$A$6:$BR$51,64,0)</f>
        <v>0</v>
      </c>
      <c r="AK38" s="36">
        <f>VLOOKUP($A38,[26]HISTOOCT25!$A$6:$BR$51,65,0)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VLOOKUP($A39,[26]HISTOOCT25!$A$6:$BA$51,48,0)</f>
        <v>0</v>
      </c>
      <c r="F39" s="36">
        <f>VLOOKUP(A39,MVTSEPT25!A39:AM74,6,0)+MVTSEPT25!H39-E39+L39</f>
        <v>1029154.7412118572</v>
      </c>
      <c r="G39" s="5">
        <f>IF(MVTOCT25!F39&gt;800000,(MVTAVRIL25!I39-E39+L39),0)</f>
        <v>924235.14821666293</v>
      </c>
      <c r="H39" s="36">
        <f>VLOOKUP(A39,[27]MVTOCT25!$A$6:$AM$42,8,0)</f>
        <v>3140.652970995699</v>
      </c>
      <c r="I39" s="6">
        <f t="shared" si="1"/>
        <v>1032295.3941828529</v>
      </c>
      <c r="J39" s="36">
        <f>VLOOKUP($A39,[26]HISTOOCT25!$A$6:$AQ$51,22,0)</f>
        <v>0</v>
      </c>
      <c r="K39" s="36">
        <f>VLOOKUP($A39,[26]HISTOOCT25!$A$6:$AU$51,45,0)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VLOOKUP($A39,[26]HISTOOCT25!$A$6:$AU$51,8,0)</f>
        <v>0</v>
      </c>
      <c r="Q39" s="36">
        <f>VLOOKUP($A39,[26]HISTOOCT25!$A$6:$AU$51,23,0)</f>
        <v>0</v>
      </c>
      <c r="R39" s="36">
        <f>VLOOKUP($A39,[26]HISTOOCT25!$A$6:$AU$51,46,0)</f>
        <v>0</v>
      </c>
      <c r="S39" s="36">
        <f>VLOOKUP($A39,[26]HISTOOCT25!$A$6:$AU$51,26,0)</f>
        <v>0</v>
      </c>
      <c r="T39" s="36">
        <f>VLOOKUP($A39,[26]HISTOOCT25!$A$6:$BG$51,58,0)</f>
        <v>0</v>
      </c>
      <c r="U39" s="36">
        <f>VLOOKUP($A39,[26]HISTOOCT25!$A$6:$AU$51,28,0)</f>
        <v>0</v>
      </c>
      <c r="V39" s="36">
        <f>VLOOKUP($A39,[26]HISTOOCT25!$A$6:$AU$51,19,0)</f>
        <v>0</v>
      </c>
      <c r="W39" s="36">
        <f>VLOOKUP($A39,[26]HISTOOCT25!$A$6:$AU$51,20,0)</f>
        <v>0</v>
      </c>
      <c r="X39" s="36">
        <f>VLOOKUP($A39,[26]HISTOOCT25!$A$6:$AU$51,27,0)</f>
        <v>0</v>
      </c>
      <c r="Y39" s="36">
        <f>VLOOKUP($A39,[26]HISTOOCT25!$A$6:$BM$51,33,0)</f>
        <v>0</v>
      </c>
      <c r="Z39" s="36">
        <f>VLOOKUP($A39,[26]HISTOOCT25!$A$6:$BM$51,64,0)</f>
        <v>0</v>
      </c>
      <c r="AA39" s="36"/>
      <c r="AB39" s="36">
        <f>VLOOKUP($A39,[26]HISTOOCT25!$A$6:$AU$51,44,0)</f>
        <v>0</v>
      </c>
      <c r="AC39" s="36">
        <f>VLOOKUP($A39,[26]HISTOOCT25!$A$6:$AU$51,43,0)</f>
        <v>0</v>
      </c>
      <c r="AD39" s="36">
        <f>VLOOKUP($A39,[26]HISTOOCT25!$A$6:$BR$51,47,0)</f>
        <v>0</v>
      </c>
      <c r="AE39" s="36">
        <f>VLOOKUP(A39,[26]HISTOOCT25!$A$6:$BR$51,54,0)</f>
        <v>0</v>
      </c>
      <c r="AF39" s="36">
        <f>VLOOKUP($A39,[26]HISTOOCT25!$A$6:$BR$51,60,0)</f>
        <v>0</v>
      </c>
      <c r="AG39" s="36">
        <f>VLOOKUP($A39,[26]HISTOOCT25!$A$6:$CB$51,61,0)</f>
        <v>0</v>
      </c>
      <c r="AH39" s="36">
        <f>VLOOKUP($A39,[26]HISTOOCT25!$A$6:$CB$51,62,0)</f>
        <v>0</v>
      </c>
      <c r="AI39" s="36">
        <f>VLOOKUP($A39,[26]HISTOOCT25!$A$6:$CB$51,63,0)</f>
        <v>0</v>
      </c>
      <c r="AJ39" s="36">
        <f>VLOOKUP($A39,[26]HISTOOCT25!$A$6:$BR$51,64,0)</f>
        <v>0</v>
      </c>
      <c r="AK39" s="36">
        <f>VLOOKUP($A39,[26]HISTOOCT25!$A$6:$BR$51,65,0)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VLOOKUP($A40,[26]HISTOOCT25!$A$6:$BA$51,48,0)</f>
        <v>0</v>
      </c>
      <c r="F40" s="36">
        <f>VLOOKUP(A40,MVTSEPT25!A40:AM75,6,0)+MVTSEPT25!H40-E40+L40</f>
        <v>1845346.0424379371</v>
      </c>
      <c r="G40" s="5">
        <f>IF(MVTOCT25!F40&gt;800000,(MVTAVRIL25!I40-E40+L40),0)</f>
        <v>1744215.5898191084</v>
      </c>
      <c r="H40" s="36">
        <f>VLOOKUP(A40,[27]MVTOCT25!$A$6:$AM$42,8,0)</f>
        <v>5631.4092513176383</v>
      </c>
      <c r="I40" s="6">
        <f t="shared" si="1"/>
        <v>1850977.4516892547</v>
      </c>
      <c r="J40" s="36">
        <f>VLOOKUP($A40,[26]HISTOOCT25!$A$6:$AQ$51,22,0)</f>
        <v>0</v>
      </c>
      <c r="K40" s="36">
        <f>VLOOKUP($A40,[26]HISTOOCT25!$A$6:$AU$51,45,0)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VLOOKUP($A40,[26]HISTOOCT25!$A$6:$AU$51,8,0)</f>
        <v>0</v>
      </c>
      <c r="Q40" s="36">
        <f>VLOOKUP($A40,[26]HISTOOCT25!$A$6:$AU$51,23,0)</f>
        <v>0</v>
      </c>
      <c r="R40" s="36">
        <f>VLOOKUP($A40,[26]HISTOOCT25!$A$6:$AU$51,46,0)</f>
        <v>0</v>
      </c>
      <c r="S40" s="36">
        <f>VLOOKUP($A40,[26]HISTOOCT25!$A$6:$AU$51,26,0)</f>
        <v>0</v>
      </c>
      <c r="T40" s="36">
        <f>VLOOKUP($A40,[26]HISTOOCT25!$A$6:$BG$51,58,0)</f>
        <v>0</v>
      </c>
      <c r="U40" s="36">
        <f>VLOOKUP($A40,[26]HISTOOCT25!$A$6:$AU$51,28,0)</f>
        <v>0</v>
      </c>
      <c r="V40" s="36">
        <f>VLOOKUP($A40,[26]HISTOOCT25!$A$6:$AU$51,19,0)</f>
        <v>0</v>
      </c>
      <c r="W40" s="36">
        <f>VLOOKUP($A40,[26]HISTOOCT25!$A$6:$AU$51,20,0)</f>
        <v>0</v>
      </c>
      <c r="X40" s="36">
        <f>VLOOKUP($A40,[26]HISTOOCT25!$A$6:$AU$51,27,0)</f>
        <v>0</v>
      </c>
      <c r="Y40" s="36">
        <f>VLOOKUP($A40,[26]HISTOOCT25!$A$6:$BM$51,33,0)</f>
        <v>0</v>
      </c>
      <c r="Z40" s="36">
        <f>VLOOKUP($A40,[26]HISTOOCT25!$A$6:$BM$51,64,0)</f>
        <v>0</v>
      </c>
      <c r="AA40" s="36"/>
      <c r="AB40" s="36">
        <f>VLOOKUP($A40,[26]HISTOOCT25!$A$6:$AU$51,44,0)</f>
        <v>0</v>
      </c>
      <c r="AC40" s="36">
        <f>VLOOKUP($A40,[26]HISTOOCT25!$A$6:$AU$51,43,0)</f>
        <v>0</v>
      </c>
      <c r="AD40" s="36">
        <f>VLOOKUP($A40,[26]HISTOOCT25!$A$6:$BR$51,47,0)</f>
        <v>0</v>
      </c>
      <c r="AE40" s="36">
        <f>VLOOKUP(A40,[26]HISTOOCT25!$A$6:$BR$51,54,0)</f>
        <v>0</v>
      </c>
      <c r="AF40" s="36">
        <f>VLOOKUP($A40,[26]HISTOOCT25!$A$6:$BR$51,60,0)</f>
        <v>0</v>
      </c>
      <c r="AG40" s="36">
        <f>VLOOKUP($A40,[26]HISTOOCT25!$A$6:$CB$51,61,0)</f>
        <v>0</v>
      </c>
      <c r="AH40" s="36">
        <f>VLOOKUP($A40,[26]HISTOOCT25!$A$6:$CB$51,62,0)</f>
        <v>0</v>
      </c>
      <c r="AI40" s="36">
        <f>VLOOKUP($A40,[26]HISTOOCT25!$A$6:$CB$51,63,0)</f>
        <v>0</v>
      </c>
      <c r="AJ40" s="36">
        <f>VLOOKUP($A40,[26]HISTOOCT25!$A$6:$BR$51,64,0)</f>
        <v>0</v>
      </c>
      <c r="AK40" s="36">
        <f>VLOOKUP($A40,[26]HISTOOCT25!$A$6:$BR$51,65,0)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VLOOKUP($A41,[26]HISTOOCT25!$A$6:$BA$51,48,0)</f>
        <v>0</v>
      </c>
      <c r="F41" s="36">
        <f>VLOOKUP(A41,MVTSEPT25!A41:AM76,6,0)+MVTSEPT25!H41-E41+L41</f>
        <v>1054345.7246244117</v>
      </c>
      <c r="G41" s="5">
        <f>IF(MVTOCT25!F41&gt;800000,(MVTAVRIL25!I41-E41+L41),0)</f>
        <v>954271.31996370177</v>
      </c>
      <c r="H41" s="36">
        <f>VLOOKUP(A41,[27]MVTOCT25!$A$6:$AM$42,8,0)</f>
        <v>3217.5278409533316</v>
      </c>
      <c r="I41" s="6">
        <f t="shared" si="1"/>
        <v>1057563.252465365</v>
      </c>
      <c r="J41" s="36">
        <f>VLOOKUP($A41,[26]HISTOOCT25!$A$6:$AQ$51,22,0)</f>
        <v>0</v>
      </c>
      <c r="K41" s="36">
        <f>VLOOKUP($A41,[26]HISTOOCT25!$A$6:$AU$51,45,0)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VLOOKUP($A41,[26]HISTOOCT25!$A$6:$AU$51,8,0)</f>
        <v>3000</v>
      </c>
      <c r="Q41" s="36">
        <f>VLOOKUP($A41,[26]HISTOOCT25!$A$6:$AU$51,23,0)</f>
        <v>0</v>
      </c>
      <c r="R41" s="36">
        <f>VLOOKUP($A41,[26]HISTOOCT25!$A$6:$AU$51,46,0)</f>
        <v>0</v>
      </c>
      <c r="S41" s="36">
        <f>VLOOKUP($A41,[26]HISTOOCT25!$A$6:$AU$51,26,0)</f>
        <v>0</v>
      </c>
      <c r="T41" s="36">
        <f>VLOOKUP($A41,[26]HISTOOCT25!$A$6:$BG$51,58,0)</f>
        <v>0</v>
      </c>
      <c r="U41" s="36">
        <f>VLOOKUP($A41,[26]HISTOOCT25!$A$6:$AU$51,28,0)</f>
        <v>0</v>
      </c>
      <c r="V41" s="36">
        <f>VLOOKUP($A41,[26]HISTOOCT25!$A$6:$AU$51,19,0)</f>
        <v>0</v>
      </c>
      <c r="W41" s="36">
        <f>VLOOKUP($A41,[26]HISTOOCT25!$A$6:$AU$51,20,0)</f>
        <v>0</v>
      </c>
      <c r="X41" s="36">
        <f>VLOOKUP($A41,[26]HISTOOCT25!$A$6:$AU$51,27,0)</f>
        <v>0</v>
      </c>
      <c r="Y41" s="36">
        <f>VLOOKUP($A41,[26]HISTOOCT25!$A$6:$BM$51,33,0)</f>
        <v>0</v>
      </c>
      <c r="Z41" s="36">
        <f>VLOOKUP($A41,[26]HISTOOCT25!$A$6:$BM$51,64,0)</f>
        <v>0</v>
      </c>
      <c r="AA41" s="36"/>
      <c r="AB41" s="36">
        <f>VLOOKUP($A41,[26]HISTOOCT25!$A$6:$AU$51,44,0)</f>
        <v>0</v>
      </c>
      <c r="AC41" s="36">
        <f>VLOOKUP($A41,[26]HISTOOCT25!$A$6:$AU$51,43,0)</f>
        <v>0</v>
      </c>
      <c r="AD41" s="36">
        <f>VLOOKUP($A41,[26]HISTOOCT25!$A$6:$BR$51,47,0)</f>
        <v>0</v>
      </c>
      <c r="AE41" s="36">
        <f>VLOOKUP(A41,[26]HISTOOCT25!$A$6:$BR$51,54,0)</f>
        <v>0</v>
      </c>
      <c r="AF41" s="36">
        <f>VLOOKUP($A41,[26]HISTOOCT25!$A$6:$BR$51,60,0)</f>
        <v>0</v>
      </c>
      <c r="AG41" s="36">
        <f>VLOOKUP($A41,[26]HISTOOCT25!$A$6:$CB$51,61,0)</f>
        <v>0</v>
      </c>
      <c r="AH41" s="36">
        <f>VLOOKUP($A41,[26]HISTOOCT25!$A$6:$CB$51,62,0)</f>
        <v>0</v>
      </c>
      <c r="AI41" s="36">
        <f>VLOOKUP($A41,[26]HISTOOCT25!$A$6:$CB$51,63,0)</f>
        <v>0</v>
      </c>
      <c r="AJ41" s="36">
        <f>VLOOKUP($A41,[26]HISTOOCT25!$A$6:$BR$51,64,0)</f>
        <v>0</v>
      </c>
      <c r="AK41" s="36">
        <f>VLOOKUP($A41,[26]HISTOOCT25!$A$6:$BR$51,65,0)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VLOOKUP($A42,[26]HISTOOCT25!$A$6:$BA$51,48,0)</f>
        <v>0</v>
      </c>
      <c r="F42" s="36">
        <f>VLOOKUP(A42,MVTSEPT25!A42:AM77,6,0)+MVTSEPT25!H42-E42+L42</f>
        <v>2349706.8818942341</v>
      </c>
      <c r="G42" s="5">
        <f>IF(MVTOCT25!F42&gt;800000,(MVTAVRIL25!I42-E42+L42),0)</f>
        <v>2242990.1954813572</v>
      </c>
      <c r="H42" s="36">
        <f>VLOOKUP(A42,[27]MVTOCT25!$A$6:$AM$42,8,0)</f>
        <v>7170.5581328814305</v>
      </c>
      <c r="I42" s="6">
        <f t="shared" si="1"/>
        <v>2356877.4400271154</v>
      </c>
      <c r="J42" s="36">
        <f>VLOOKUP($A42,[26]HISTOOCT25!$A$6:$AQ$51,22,0)</f>
        <v>0</v>
      </c>
      <c r="K42" s="36">
        <f>VLOOKUP($A42,[26]HISTOOCT25!$A$6:$AU$51,45,0)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VLOOKUP($A42,[26]HISTOOCT25!$A$6:$AU$51,8,0)</f>
        <v>0</v>
      </c>
      <c r="Q42" s="36">
        <f>VLOOKUP($A42,[26]HISTOOCT25!$A$6:$AU$51,23,0)</f>
        <v>0</v>
      </c>
      <c r="R42" s="36">
        <f>VLOOKUP($A42,[26]HISTOOCT25!$A$6:$AU$51,46,0)</f>
        <v>0</v>
      </c>
      <c r="S42" s="36">
        <f>VLOOKUP($A42,[26]HISTOOCT25!$A$6:$AU$51,26,0)</f>
        <v>0</v>
      </c>
      <c r="T42" s="36">
        <f>VLOOKUP($A42,[26]HISTOOCT25!$A$6:$BG$51,58,0)</f>
        <v>0</v>
      </c>
      <c r="U42" s="36">
        <f>VLOOKUP($A42,[26]HISTOOCT25!$A$6:$AU$51,28,0)</f>
        <v>0</v>
      </c>
      <c r="V42" s="36">
        <f>VLOOKUP($A42,[26]HISTOOCT25!$A$6:$AU$51,19,0)</f>
        <v>0</v>
      </c>
      <c r="W42" s="36">
        <f>VLOOKUP($A42,[26]HISTOOCT25!$A$6:$AU$51,20,0)</f>
        <v>0</v>
      </c>
      <c r="X42" s="36">
        <f>VLOOKUP($A42,[26]HISTOOCT25!$A$6:$AU$51,27,0)</f>
        <v>0</v>
      </c>
      <c r="Y42" s="36">
        <f>VLOOKUP($A42,[26]HISTOOCT25!$A$6:$BM$51,33,0)</f>
        <v>0</v>
      </c>
      <c r="Z42" s="36">
        <f>VLOOKUP($A42,[26]HISTOOCT25!$A$6:$BM$51,64,0)</f>
        <v>0</v>
      </c>
      <c r="AA42" s="36"/>
      <c r="AB42" s="36">
        <f>VLOOKUP($A42,[26]HISTOOCT25!$A$6:$AU$51,44,0)</f>
        <v>0</v>
      </c>
      <c r="AC42" s="36">
        <f>VLOOKUP($A42,[26]HISTOOCT25!$A$6:$AU$51,43,0)</f>
        <v>0</v>
      </c>
      <c r="AD42" s="36">
        <f>VLOOKUP($A42,[26]HISTOOCT25!$A$6:$BR$51,47,0)</f>
        <v>0</v>
      </c>
      <c r="AE42" s="36">
        <f>VLOOKUP(A42,[26]HISTOOCT25!$A$6:$BR$51,54,0)</f>
        <v>0</v>
      </c>
      <c r="AF42" s="36">
        <f>VLOOKUP($A42,[26]HISTOOCT25!$A$6:$BR$51,60,0)</f>
        <v>0</v>
      </c>
      <c r="AG42" s="36">
        <f>VLOOKUP($A42,[26]HISTOOCT25!$A$6:$CB$51,61,0)</f>
        <v>0</v>
      </c>
      <c r="AH42" s="36">
        <f>VLOOKUP($A42,[26]HISTOOCT25!$A$6:$CB$51,62,0)</f>
        <v>0</v>
      </c>
      <c r="AI42" s="36">
        <f>VLOOKUP($A42,[26]HISTOOCT25!$A$6:$CB$51,63,0)</f>
        <v>0</v>
      </c>
      <c r="AJ42" s="36">
        <f>VLOOKUP($A42,[26]HISTOOCT25!$A$6:$BR$51,64,0)</f>
        <v>0</v>
      </c>
      <c r="AK42" s="36">
        <f>VLOOKUP($A42,[26]HISTOOCT25!$A$6:$BR$51,65,0)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42753611.999999985</v>
      </c>
      <c r="G44" s="9">
        <f t="shared" si="9"/>
        <v>35872862.000000007</v>
      </c>
      <c r="H44" s="36">
        <f t="shared" si="9"/>
        <v>125500.00000000007</v>
      </c>
      <c r="I44" s="9">
        <f t="shared" si="9"/>
        <v>42879112</v>
      </c>
      <c r="J44" s="9">
        <f t="shared" si="9"/>
        <v>0</v>
      </c>
      <c r="K44" s="9">
        <f t="shared" si="9"/>
        <v>932000</v>
      </c>
      <c r="L44" s="9">
        <f t="shared" si="9"/>
        <v>778000</v>
      </c>
      <c r="M44" s="9">
        <f t="shared" si="9"/>
        <v>34000</v>
      </c>
      <c r="N44" s="9">
        <f t="shared" si="9"/>
        <v>34000</v>
      </c>
      <c r="O44" s="9">
        <f t="shared" si="9"/>
        <v>136000</v>
      </c>
      <c r="P44" s="9">
        <f t="shared" si="9"/>
        <v>21000</v>
      </c>
      <c r="Q44" s="9">
        <f t="shared" si="9"/>
        <v>0</v>
      </c>
      <c r="R44" s="9">
        <f t="shared" si="9"/>
        <v>0</v>
      </c>
      <c r="S44" s="9">
        <f t="shared" si="9"/>
        <v>4550000</v>
      </c>
      <c r="T44" s="9">
        <f t="shared" si="9"/>
        <v>125500</v>
      </c>
      <c r="U44" s="9">
        <f t="shared" si="9"/>
        <v>0</v>
      </c>
      <c r="V44" s="9">
        <f t="shared" si="9"/>
        <v>5900000</v>
      </c>
      <c r="W44" s="9"/>
      <c r="X44" s="9">
        <f t="shared" si="9"/>
        <v>0</v>
      </c>
      <c r="Y44" s="9">
        <f t="shared" si="9"/>
        <v>0</v>
      </c>
      <c r="Z44" s="9">
        <f t="shared" si="9"/>
        <v>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0</v>
      </c>
      <c r="AF44" s="9">
        <f t="shared" si="9"/>
        <v>6000</v>
      </c>
      <c r="AG44" s="9">
        <f t="shared" si="9"/>
        <v>0</v>
      </c>
      <c r="AH44" s="9">
        <f t="shared" si="9"/>
        <v>0</v>
      </c>
      <c r="AI44" s="9">
        <f t="shared" si="9"/>
        <v>100000</v>
      </c>
      <c r="AJ44" s="9">
        <f t="shared" si="9"/>
        <v>0</v>
      </c>
      <c r="AK44" s="9">
        <f t="shared" si="9"/>
        <v>0</v>
      </c>
      <c r="AL44" s="9">
        <f t="shared" si="9"/>
        <v>0</v>
      </c>
    </row>
    <row r="47" spans="1:38" s="2" customFormat="1" x14ac:dyDescent="0.35">
      <c r="A47"/>
      <c r="B47"/>
      <c r="C47"/>
      <c r="D47"/>
      <c r="E47"/>
      <c r="F47"/>
      <c r="H47">
        <v>123999.99999999997</v>
      </c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380BD-5AC9-4803-9C65-EC1DA373E863}">
  <dimension ref="A1:AM47"/>
  <sheetViews>
    <sheetView workbookViewId="0">
      <pane xSplit="2" ySplit="5" topLeftCell="H9" activePane="bottomRight" state="frozen"/>
      <selection activeCell="F8" sqref="F8"/>
      <selection pane="topRight" activeCell="F8" sqref="F8"/>
      <selection pane="bottomLeft" activeCell="F8" sqref="F8"/>
      <selection pane="bottomRight" activeCell="A15" sqref="A15:XFD1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2">
        <v>45978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/>
      <c r="D6" s="36"/>
      <c r="E6" s="36"/>
      <c r="F6" s="36">
        <f>VLOOKUP(A6,MVTOCT25!A6:AM42,6,0)+MVTOCT25!H6-E6+L6</f>
        <v>1106309.2312590538</v>
      </c>
      <c r="G6" s="5">
        <f>IF(MVTNOV25!F6&gt;800000,(MVTAVRIL25!I6-E6+L6),0)</f>
        <v>1097287.7862270027</v>
      </c>
      <c r="H6" s="36">
        <f>VLOOKUP(A6,[27]MVTNOV25!$A$6:$AM$42,8,0)</f>
        <v>170.85953472534871</v>
      </c>
      <c r="I6" s="6">
        <f>F6+H6</f>
        <v>1106480.0907937791</v>
      </c>
      <c r="J6" s="36">
        <f>VLOOKUP($A6,[26]HISTONOV25!$A$6:$AQ$51,22,0)</f>
        <v>0</v>
      </c>
      <c r="K6" s="36">
        <f>VLOOKUP($A6,[26]HISTONOV25!$A$6:$AU$51,45,0)</f>
        <v>0</v>
      </c>
      <c r="L6" s="36">
        <f>IF(K6=0,0,K6-(M6+N6+O6))</f>
        <v>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VLOOKUP($A6,[26]HISTONOV25!$A$6:$AU$51,8,0)</f>
        <v>0</v>
      </c>
      <c r="Q6" s="36">
        <f>VLOOKUP($A6,[26]HISTONOV25!$A$6:$AU$51,23,0)</f>
        <v>0</v>
      </c>
      <c r="R6" s="36">
        <f>VLOOKUP($A6,[26]HISTONOV25!$A$6:$AU$51,46,0)</f>
        <v>0</v>
      </c>
      <c r="S6" s="36">
        <f>VLOOKUP($A6,[26]HISTONOV25!$A$6:$AU$51,26,0)</f>
        <v>0</v>
      </c>
      <c r="T6" s="36">
        <f>VLOOKUP($A6,[26]HISTONOV25!$A$6:$BG$51,58,0)</f>
        <v>0</v>
      </c>
      <c r="U6" s="36">
        <f>VLOOKUP($A6,[26]HISTONOV25!$A$6:$AU$51,28,0)</f>
        <v>0</v>
      </c>
      <c r="V6" s="36">
        <f>VLOOKUP($A6,[26]HISTONOV25!$A$6:$AU$51,19,0)</f>
        <v>0</v>
      </c>
      <c r="W6" s="36">
        <f>VLOOKUP($A6,[26]HISTONOV25!$A$6:$AU$51,20,0)</f>
        <v>0</v>
      </c>
      <c r="X6" s="36">
        <f>VLOOKUP($A6,[26]HISTONOV25!$A$6:$AU$51,27,0)</f>
        <v>0</v>
      </c>
      <c r="Y6" s="36">
        <f>VLOOKUP($A6,[26]HISTONOV25!$A$6:$BM$51,33,0)</f>
        <v>0</v>
      </c>
      <c r="Z6" s="36">
        <f>VLOOKUP($A6,[26]HISTONOV25!$A$6:$BM$51,64,0)</f>
        <v>0</v>
      </c>
      <c r="AA6" s="36"/>
      <c r="AB6" s="36">
        <f>VLOOKUP($A6,[26]HISTONOV25!$A$6:$AU$51,44,0)</f>
        <v>0</v>
      </c>
      <c r="AC6" s="36">
        <f>VLOOKUP($A6,[26]HISTONOV25!$A$6:$AU$51,43,0)</f>
        <v>0</v>
      </c>
      <c r="AD6" s="36">
        <f>VLOOKUP($A6,[26]HISTONOV25!$A$6:$BR$51,47,0)</f>
        <v>0</v>
      </c>
      <c r="AE6" s="36">
        <f>VLOOKUP(A6,[26]HISTONOV25!$A$6:$BR$51,54,0)</f>
        <v>0</v>
      </c>
      <c r="AF6" s="36">
        <f>VLOOKUP($A6,[26]HISTONOV25!$A$6:$BR$51,60,0)</f>
        <v>6000</v>
      </c>
      <c r="AG6" s="36">
        <f>VLOOKUP($A6,[26]HISTONOV25!$A$6:$CB$51,61,0)</f>
        <v>0</v>
      </c>
      <c r="AH6" s="36">
        <f>VLOOKUP($A6,[26]HISTONOV25!$A$6:$CB$51,62,0)</f>
        <v>100000</v>
      </c>
      <c r="AI6" s="36">
        <f>VLOOKUP($A6,[26]HISTONOV25!$A$6:$CB$51,63,0)</f>
        <v>0</v>
      </c>
      <c r="AJ6" s="36">
        <f>VLOOKUP($A6,[26]HISTONOV25!$A$6:$BR$51,64,0)</f>
        <v>0</v>
      </c>
      <c r="AK6" s="36">
        <f>VLOOKUP($A6,[26]HISTONOV25!$A$6:$BR$51,65,0)</f>
        <v>0</v>
      </c>
      <c r="AL6" s="36">
        <f>VLOOKUP($A6,[26]HISTONOV25!$A$6:$BR$40,66,0)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VLOOKUP($A7,[26]HISTONOV25!$A$6:$BA$51,48,0)</f>
        <v>0</v>
      </c>
      <c r="F7" s="36">
        <f>VLOOKUP(A7,MVTOCT25!A7:AM43,6,0)+MVTOCT25!H7-E7+L7</f>
        <v>1091366.5589197369</v>
      </c>
      <c r="G7" s="5">
        <f>IF(MVTNOV25!F7&gt;800000,(MVTAVRIL25!I7-E7+L7),0)</f>
        <v>954953.91223464545</v>
      </c>
      <c r="H7" s="36">
        <f>VLOOKUP(A7,[27]MVTNOV25!$A$6:$AM$42,8,0)</f>
        <v>168.55177305138761</v>
      </c>
      <c r="I7" s="6">
        <f t="shared" ref="I7:I42" si="1">F7+H7</f>
        <v>1091535.1106927884</v>
      </c>
      <c r="J7" s="36">
        <f>VLOOKUP($A7,[26]HISTONOV25!$A$6:$AQ$51,22,0)</f>
        <v>0</v>
      </c>
      <c r="K7" s="36">
        <f>VLOOKUP($A7,[26]HISTONOV25!$A$6:$AU$51,45,0)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VLOOKUP($A7,[26]HISTONOV25!$A$6:$AU$51,8,0)</f>
        <v>0</v>
      </c>
      <c r="Q7" s="36">
        <f>VLOOKUP($A7,[26]HISTONOV25!$A$6:$AU$51,23,0)</f>
        <v>0</v>
      </c>
      <c r="R7" s="36">
        <f>VLOOKUP($A7,[26]HISTONOV25!$A$6:$AU$51,46,0)</f>
        <v>0</v>
      </c>
      <c r="S7" s="36">
        <f>VLOOKUP($A7,[26]HISTONOV25!$A$6:$AU$51,26,0)</f>
        <v>0</v>
      </c>
      <c r="T7" s="36">
        <f>VLOOKUP($A7,[26]HISTONOV25!$A$6:$BG$51,58,0)</f>
        <v>0</v>
      </c>
      <c r="U7" s="36">
        <f>VLOOKUP($A7,[26]HISTONOV25!$A$6:$AU$51,28,0)</f>
        <v>0</v>
      </c>
      <c r="V7" s="36">
        <f>VLOOKUP($A7,[26]HISTONOV25!$A$6:$AU$51,19,0)</f>
        <v>0</v>
      </c>
      <c r="W7" s="36">
        <f>VLOOKUP($A7,[26]HISTONOV25!$A$6:$AU$51,20,0)</f>
        <v>0</v>
      </c>
      <c r="X7" s="36">
        <f>VLOOKUP($A7,[26]HISTONOV25!$A$6:$AU$51,27,0)</f>
        <v>0</v>
      </c>
      <c r="Y7" s="36">
        <f>VLOOKUP($A7,[26]HISTONOV25!$A$6:$BM$51,33,0)</f>
        <v>0</v>
      </c>
      <c r="Z7" s="36">
        <f>VLOOKUP($A7,[26]HISTONOV25!$A$6:$BM$51,64,0)</f>
        <v>0</v>
      </c>
      <c r="AA7" s="36"/>
      <c r="AB7" s="36">
        <f>VLOOKUP($A7,[26]HISTONOV25!$A$6:$AU$51,44,0)</f>
        <v>0</v>
      </c>
      <c r="AC7" s="36">
        <f>VLOOKUP($A7,[26]HISTONOV25!$A$6:$AU$51,43,0)</f>
        <v>0</v>
      </c>
      <c r="AD7" s="36">
        <f>VLOOKUP($A7,[26]HISTONOV25!$A$6:$BR$51,47,0)</f>
        <v>0</v>
      </c>
      <c r="AE7" s="36">
        <f>VLOOKUP(A7,[26]HISTONOV25!$A$6:$BR$51,54,0)</f>
        <v>0</v>
      </c>
      <c r="AF7" s="36">
        <f>VLOOKUP($A7,[26]HISTONOV25!$A$6:$BR$51,60,0)</f>
        <v>0</v>
      </c>
      <c r="AG7" s="36">
        <f>VLOOKUP($A7,[26]HISTONOV25!$A$6:$CB$51,61,0)</f>
        <v>0</v>
      </c>
      <c r="AH7" s="36">
        <f>VLOOKUP($A7,[26]HISTONOV25!$A$6:$CB$51,62,0)</f>
        <v>0</v>
      </c>
      <c r="AI7" s="36">
        <f>VLOOKUP($A7,[26]HISTONOV25!$A$6:$CB$51,63,0)</f>
        <v>0</v>
      </c>
      <c r="AJ7" s="36">
        <f>VLOOKUP($A7,[26]HISTONOV25!$A$6:$BR$51,64,0)</f>
        <v>0</v>
      </c>
      <c r="AK7" s="36">
        <f>VLOOKUP($A7,[26]HISTONOV25!$A$6:$BR$51,65,0)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VLOOKUP($A8,[26]HISTONOV25!$A$6:$BA$51,48,0)</f>
        <v>0</v>
      </c>
      <c r="F8" s="36">
        <f>VLOOKUP(A8,MVTOCT25!A8:AM44,6,0)+MVTOCT25!H8-E8+L8</f>
        <v>1219756.9288334399</v>
      </c>
      <c r="G8" s="5">
        <f>IF(MVTNOV25!F8&gt;800000,(MVTAVRIL25!I8-E8+L8),0)</f>
        <v>1096297.3174913663</v>
      </c>
      <c r="H8" s="36">
        <f>VLOOKUP(A8,[27]MVTNOV25!$A$6:$AM$42,8,0)</f>
        <v>188.38051373874973</v>
      </c>
      <c r="I8" s="6">
        <f t="shared" si="1"/>
        <v>1219945.3093471788</v>
      </c>
      <c r="J8" s="36">
        <f>VLOOKUP($A8,[26]HISTONOV25!$A$6:$AQ$51,22,0)</f>
        <v>0</v>
      </c>
      <c r="K8" s="36">
        <f>VLOOKUP($A8,[26]HISTONOV25!$A$6:$AU$51,45,0)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VLOOKUP($A8,[26]HISTONOV25!$A$6:$AU$51,8,0)</f>
        <v>0</v>
      </c>
      <c r="Q8" s="36">
        <f>VLOOKUP($A8,[26]HISTONOV25!$A$6:$AU$51,23,0)</f>
        <v>0</v>
      </c>
      <c r="R8" s="36">
        <f>VLOOKUP($A8,[26]HISTONOV25!$A$6:$AU$51,46,0)</f>
        <v>0</v>
      </c>
      <c r="S8" s="36">
        <f>VLOOKUP($A8,[26]HISTONOV25!$A$6:$AU$51,26,0)</f>
        <v>0</v>
      </c>
      <c r="T8" s="36">
        <f>VLOOKUP($A8,[26]HISTONOV25!$A$6:$BG$51,58,0)</f>
        <v>0</v>
      </c>
      <c r="U8" s="36">
        <f>VLOOKUP($A8,[26]HISTONOV25!$A$6:$AU$51,28,0)</f>
        <v>0</v>
      </c>
      <c r="V8" s="36">
        <f>VLOOKUP($A8,[26]HISTONOV25!$A$6:$AU$51,19,0)</f>
        <v>0</v>
      </c>
      <c r="W8" s="36">
        <f>VLOOKUP($A8,[26]HISTONOV25!$A$6:$AU$51,20,0)</f>
        <v>0</v>
      </c>
      <c r="X8" s="36">
        <f>VLOOKUP($A8,[26]HISTONOV25!$A$6:$AU$51,27,0)</f>
        <v>0</v>
      </c>
      <c r="Y8" s="36">
        <f>VLOOKUP($A8,[26]HISTONOV25!$A$6:$BM$51,33,0)</f>
        <v>0</v>
      </c>
      <c r="Z8" s="36">
        <f>VLOOKUP($A8,[26]HISTONOV25!$A$6:$BM$51,64,0)</f>
        <v>0</v>
      </c>
      <c r="AA8" s="36"/>
      <c r="AB8" s="36">
        <f>VLOOKUP($A8,[26]HISTONOV25!$A$6:$AU$51,44,0)</f>
        <v>0</v>
      </c>
      <c r="AC8" s="36">
        <f>VLOOKUP($A8,[26]HISTONOV25!$A$6:$AU$51,43,0)</f>
        <v>0</v>
      </c>
      <c r="AD8" s="36">
        <f>VLOOKUP($A8,[26]HISTONOV25!$A$6:$BR$51,47,0)</f>
        <v>0</v>
      </c>
      <c r="AE8" s="36">
        <f>VLOOKUP(A8,[26]HISTONOV25!$A$6:$BR$51,54,0)</f>
        <v>0</v>
      </c>
      <c r="AF8" s="36">
        <f>VLOOKUP($A8,[26]HISTONOV25!$A$6:$BR$51,60,0)</f>
        <v>0</v>
      </c>
      <c r="AG8" s="36">
        <f>VLOOKUP($A8,[26]HISTONOV25!$A$6:$CB$51,61,0)</f>
        <v>0</v>
      </c>
      <c r="AH8" s="36">
        <f>VLOOKUP($A8,[26]HISTONOV25!$A$6:$CB$51,62,0)</f>
        <v>0</v>
      </c>
      <c r="AI8" s="36">
        <f>VLOOKUP($A8,[26]HISTONOV25!$A$6:$CB$51,63,0)</f>
        <v>0</v>
      </c>
      <c r="AJ8" s="36">
        <f>VLOOKUP($A8,[26]HISTONOV25!$A$6:$BR$51,64,0)</f>
        <v>0</v>
      </c>
      <c r="AK8" s="36">
        <f>VLOOKUP($A8,[26]HISTONOV25!$A$6:$BR$51,65,0)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VLOOKUP($A9,[26]HISTONOV25!$A$6:$BA$51,48,0)</f>
        <v>0</v>
      </c>
      <c r="F9" s="36">
        <f>VLOOKUP(A9,MVTOCT25!A9:AM45,6,0)+MVTOCT25!H9-E9+L9</f>
        <v>1083485.7002566811</v>
      </c>
      <c r="G9" s="5">
        <f>IF(MVTNOV25!F9&gt;800000,(MVTAVRIL25!I9-E9+L9),0)</f>
        <v>961137.3183641315</v>
      </c>
      <c r="H9" s="36">
        <f>VLOOKUP(A9,[27]MVTNOV25!$A$6:$AM$42,8,0)</f>
        <v>167.33464513962505</v>
      </c>
      <c r="I9" s="6">
        <f t="shared" si="1"/>
        <v>1083653.0349018206</v>
      </c>
      <c r="J9" s="36">
        <f>VLOOKUP($A9,[26]HISTONOV25!$A$6:$AQ$51,22,0)</f>
        <v>0</v>
      </c>
      <c r="K9" s="36">
        <f>VLOOKUP($A9,[26]HISTONOV25!$A$6:$AU$51,45,0)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VLOOKUP($A9,[26]HISTONOV25!$A$6:$AU$51,8,0)</f>
        <v>0</v>
      </c>
      <c r="Q9" s="36">
        <f>VLOOKUP($A9,[26]HISTONOV25!$A$6:$AU$51,23,0)</f>
        <v>0</v>
      </c>
      <c r="R9" s="36">
        <f>VLOOKUP($A9,[26]HISTONOV25!$A$6:$AU$51,46,0)</f>
        <v>0</v>
      </c>
      <c r="S9" s="36">
        <f>VLOOKUP($A9,[26]HISTONOV25!$A$6:$AU$51,26,0)</f>
        <v>0</v>
      </c>
      <c r="T9" s="36">
        <f>VLOOKUP($A9,[26]HISTONOV25!$A$6:$BG$51,58,0)</f>
        <v>0</v>
      </c>
      <c r="U9" s="36">
        <f>VLOOKUP($A9,[26]HISTONOV25!$A$6:$AU$51,28,0)</f>
        <v>0</v>
      </c>
      <c r="V9" s="36">
        <f>VLOOKUP($A9,[26]HISTONOV25!$A$6:$AU$51,19,0)</f>
        <v>0</v>
      </c>
      <c r="W9" s="36">
        <f>VLOOKUP($A9,[26]HISTONOV25!$A$6:$AU$51,20,0)</f>
        <v>0</v>
      </c>
      <c r="X9" s="36">
        <f>VLOOKUP($A9,[26]HISTONOV25!$A$6:$AU$51,27,0)</f>
        <v>0</v>
      </c>
      <c r="Y9" s="36">
        <f>VLOOKUP($A9,[26]HISTONOV25!$A$6:$BM$51,33,0)</f>
        <v>0</v>
      </c>
      <c r="Z9" s="36">
        <f>VLOOKUP($A9,[26]HISTONOV25!$A$6:$BM$51,64,0)</f>
        <v>0</v>
      </c>
      <c r="AA9" s="36"/>
      <c r="AB9" s="36">
        <f>VLOOKUP($A9,[26]HISTONOV25!$A$6:$AU$51,44,0)</f>
        <v>0</v>
      </c>
      <c r="AC9" s="36">
        <f>VLOOKUP($A9,[26]HISTONOV25!$A$6:$AU$51,43,0)</f>
        <v>0</v>
      </c>
      <c r="AD9" s="36">
        <f>VLOOKUP($A9,[26]HISTONOV25!$A$6:$BR$51,47,0)</f>
        <v>0</v>
      </c>
      <c r="AE9" s="36">
        <f>VLOOKUP(A9,[26]HISTONOV25!$A$6:$BR$51,54,0)</f>
        <v>0</v>
      </c>
      <c r="AF9" s="36">
        <f>VLOOKUP($A9,[26]HISTONOV25!$A$6:$BR$51,60,0)</f>
        <v>0</v>
      </c>
      <c r="AG9" s="36">
        <f>VLOOKUP($A9,[26]HISTONOV25!$A$6:$CB$51,61,0)</f>
        <v>0</v>
      </c>
      <c r="AH9" s="36">
        <f>VLOOKUP($A9,[26]HISTONOV25!$A$6:$CB$51,62,0)</f>
        <v>0</v>
      </c>
      <c r="AI9" s="36">
        <f>VLOOKUP($A9,[26]HISTONOV25!$A$6:$CB$51,63,0)</f>
        <v>0</v>
      </c>
      <c r="AJ9" s="36">
        <f>VLOOKUP($A9,[26]HISTONOV25!$A$6:$BR$51,64,0)</f>
        <v>0</v>
      </c>
      <c r="AK9" s="36">
        <f>VLOOKUP($A9,[26]HISTONOV25!$A$6:$BR$51,65,0)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VLOOKUP($A10,[26]HISTONOV25!$A$6:$BA$51,48,0)</f>
        <v>0</v>
      </c>
      <c r="F10" s="36">
        <f>VLOOKUP(A10,MVTOCT25!A10:AM46,6,0)+MVTOCT25!H10-E10+L10</f>
        <v>1091855.5756484808</v>
      </c>
      <c r="G10" s="5">
        <f>IF(MVTNOV25!F10&gt;800000,(MVTAVRIL25!I10-E10+L10),0)</f>
        <v>971425.7308667925</v>
      </c>
      <c r="H10" s="36">
        <f>VLOOKUP(A10,[27]MVTNOV25!$A$6:$AM$42,8,0)</f>
        <v>168.62729729757962</v>
      </c>
      <c r="I10" s="6">
        <f t="shared" si="1"/>
        <v>1092024.2029457784</v>
      </c>
      <c r="J10" s="36">
        <f>VLOOKUP($A10,[26]HISTONOV25!$A$6:$AQ$51,22,0)</f>
        <v>0</v>
      </c>
      <c r="K10" s="36">
        <f>VLOOKUP($A10,[26]HISTONOV25!$A$6:$AU$51,45,0)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VLOOKUP($A10,[26]HISTONOV25!$A$6:$AU$51,8,0)</f>
        <v>0</v>
      </c>
      <c r="Q10" s="36">
        <f>VLOOKUP($A10,[26]HISTONOV25!$A$6:$AU$51,23,0)</f>
        <v>0</v>
      </c>
      <c r="R10" s="36">
        <f>VLOOKUP($A10,[26]HISTONOV25!$A$6:$AU$51,46,0)</f>
        <v>0</v>
      </c>
      <c r="S10" s="36">
        <f>VLOOKUP($A10,[26]HISTONOV25!$A$6:$AU$51,26,0)</f>
        <v>0</v>
      </c>
      <c r="T10" s="36">
        <f>VLOOKUP($A10,[26]HISTONOV25!$A$6:$BG$51,58,0)</f>
        <v>0</v>
      </c>
      <c r="U10" s="36">
        <f>VLOOKUP($A10,[26]HISTONOV25!$A$6:$AU$51,28,0)</f>
        <v>0</v>
      </c>
      <c r="V10" s="36">
        <f>VLOOKUP($A10,[26]HISTONOV25!$A$6:$AU$51,19,0)</f>
        <v>0</v>
      </c>
      <c r="W10" s="36">
        <f>VLOOKUP($A10,[26]HISTONOV25!$A$6:$AU$51,20,0)</f>
        <v>0</v>
      </c>
      <c r="X10" s="36">
        <f>VLOOKUP($A10,[26]HISTONOV25!$A$6:$AU$51,27,0)</f>
        <v>0</v>
      </c>
      <c r="Y10" s="36">
        <f>VLOOKUP($A10,[26]HISTONOV25!$A$6:$BM$51,33,0)</f>
        <v>0</v>
      </c>
      <c r="Z10" s="36">
        <f>VLOOKUP($A10,[26]HISTONOV25!$A$6:$BM$51,64,0)</f>
        <v>0</v>
      </c>
      <c r="AA10" s="36"/>
      <c r="AB10" s="36">
        <f>VLOOKUP($A10,[26]HISTONOV25!$A$6:$AU$51,44,0)</f>
        <v>0</v>
      </c>
      <c r="AC10" s="36">
        <f>VLOOKUP($A10,[26]HISTONOV25!$A$6:$AU$51,43,0)</f>
        <v>0</v>
      </c>
      <c r="AD10" s="36">
        <f>VLOOKUP($A10,[26]HISTONOV25!$A$6:$BR$51,47,0)</f>
        <v>0</v>
      </c>
      <c r="AE10" s="36">
        <f>VLOOKUP(A10,[26]HISTONOV25!$A$6:$BR$51,54,0)</f>
        <v>0</v>
      </c>
      <c r="AF10" s="36">
        <f>VLOOKUP($A10,[26]HISTONOV25!$A$6:$BR$51,60,0)</f>
        <v>0</v>
      </c>
      <c r="AG10" s="36">
        <f>VLOOKUP($A10,[26]HISTONOV25!$A$6:$CB$51,61,0)</f>
        <v>0</v>
      </c>
      <c r="AH10" s="36">
        <f>VLOOKUP($A10,[26]HISTONOV25!$A$6:$CB$51,62,0)</f>
        <v>0</v>
      </c>
      <c r="AI10" s="36">
        <f>VLOOKUP($A10,[26]HISTONOV25!$A$6:$CB$51,63,0)</f>
        <v>0</v>
      </c>
      <c r="AJ10" s="36">
        <f>VLOOKUP($A10,[26]HISTONOV25!$A$6:$BR$51,64,0)</f>
        <v>0</v>
      </c>
      <c r="AK10" s="36">
        <f>VLOOKUP($A10,[26]HISTONOV25!$A$6:$BR$51,65,0)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VLOOKUP($A11,[26]HISTONOV25!$A$6:$BA$51,48,0)</f>
        <v>0</v>
      </c>
      <c r="F11" s="36">
        <f>VLOOKUP(A11,MVTOCT25!A11:AM47,6,0)+MVTOCT25!H11-E11+L11</f>
        <v>1334169.1327799612</v>
      </c>
      <c r="G11" s="5">
        <f>IF(MVTNOV25!F11&gt;800000,(MVTAVRIL25!I11-E11+L11),0)</f>
        <v>960862.96530022437</v>
      </c>
      <c r="H11" s="36">
        <f>VLOOKUP(A11,[27]MVTNOV25!$A$6:$AM$42,8,0)</f>
        <v>206.05045210756992</v>
      </c>
      <c r="I11" s="6">
        <f t="shared" si="1"/>
        <v>1334375.1832320688</v>
      </c>
      <c r="J11" s="36">
        <f>VLOOKUP($A11,[26]HISTONOV25!$A$6:$AQ$51,22,0)</f>
        <v>0</v>
      </c>
      <c r="K11" s="36">
        <f>VLOOKUP($A11,[26]HISTONOV25!$A$6:$AU$51,45,0)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VLOOKUP($A11,[26]HISTONOV25!$A$6:$AU$51,8,0)</f>
        <v>0</v>
      </c>
      <c r="Q11" s="36">
        <f>VLOOKUP($A11,[26]HISTONOV25!$A$6:$AU$51,23,0)</f>
        <v>0</v>
      </c>
      <c r="R11" s="36">
        <f>VLOOKUP($A11,[26]HISTONOV25!$A$6:$AU$51,46,0)</f>
        <v>0</v>
      </c>
      <c r="S11" s="36">
        <f>VLOOKUP($A11,[26]HISTONOV25!$A$6:$AU$51,26,0)</f>
        <v>0</v>
      </c>
      <c r="T11" s="36">
        <f>VLOOKUP($A11,[26]HISTONOV25!$A$6:$BG$51,58,0)</f>
        <v>0</v>
      </c>
      <c r="U11" s="36">
        <f>VLOOKUP($A11,[26]HISTONOV25!$A$6:$AU$51,28,0)</f>
        <v>0</v>
      </c>
      <c r="V11" s="36">
        <f>VLOOKUP($A11,[26]HISTONOV25!$A$6:$AU$51,19,0)</f>
        <v>0</v>
      </c>
      <c r="W11" s="36">
        <f>VLOOKUP($A11,[26]HISTONOV25!$A$6:$AU$51,20,0)</f>
        <v>0</v>
      </c>
      <c r="X11" s="36">
        <f>VLOOKUP($A11,[26]HISTONOV25!$A$6:$AU$51,27,0)</f>
        <v>0</v>
      </c>
      <c r="Y11" s="36">
        <f>VLOOKUP($A11,[26]HISTONOV25!$A$6:$BM$51,33,0)</f>
        <v>0</v>
      </c>
      <c r="Z11" s="36">
        <f>VLOOKUP($A11,[26]HISTONOV25!$A$6:$BM$51,64,0)</f>
        <v>0</v>
      </c>
      <c r="AA11" s="36"/>
      <c r="AB11" s="36">
        <f>VLOOKUP($A11,[26]HISTONOV25!$A$6:$AU$51,44,0)</f>
        <v>0</v>
      </c>
      <c r="AC11" s="36">
        <f>VLOOKUP($A11,[26]HISTONOV25!$A$6:$AU$51,43,0)</f>
        <v>0</v>
      </c>
      <c r="AD11" s="36">
        <f>VLOOKUP($A11,[26]HISTONOV25!$A$6:$BR$51,47,0)</f>
        <v>0</v>
      </c>
      <c r="AE11" s="36">
        <f>VLOOKUP(A11,[26]HISTONOV25!$A$6:$BR$51,54,0)</f>
        <v>0</v>
      </c>
      <c r="AF11" s="36">
        <f>VLOOKUP($A11,[26]HISTONOV25!$A$6:$BR$51,60,0)</f>
        <v>0</v>
      </c>
      <c r="AG11" s="36">
        <f>VLOOKUP($A11,[26]HISTONOV25!$A$6:$CB$51,61,0)</f>
        <v>0</v>
      </c>
      <c r="AH11" s="36">
        <f>VLOOKUP($A11,[26]HISTONOV25!$A$6:$CB$51,62,0)</f>
        <v>0</v>
      </c>
      <c r="AI11" s="36">
        <f>VLOOKUP($A11,[26]HISTONOV25!$A$6:$CB$51,63,0)</f>
        <v>0</v>
      </c>
      <c r="AJ11" s="36">
        <f>VLOOKUP($A11,[26]HISTONOV25!$A$6:$BR$51,64,0)</f>
        <v>0</v>
      </c>
      <c r="AK11" s="36">
        <f>VLOOKUP($A11,[26]HISTONOV25!$A$6:$BR$51,65,0)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VLOOKUP($A12,[26]HISTONOV25!$A$6:$BA$51,48,0)</f>
        <v>0</v>
      </c>
      <c r="F12" s="36">
        <f>VLOOKUP(A12,MVTOCT25!A12:AM48,6,0)+MVTOCT25!H12-E12+L12</f>
        <v>2079445.0947852028</v>
      </c>
      <c r="G12" s="5">
        <f>IF(MVTNOV25!F12&gt;800000,(MVTAVRIL25!I12-E12+L12),0)</f>
        <v>1870370.9161111314</v>
      </c>
      <c r="H12" s="36">
        <f>VLOOKUP(A12,[27]MVTNOV25!$A$6:$AM$42,8,0)</f>
        <v>321.15163766423717</v>
      </c>
      <c r="I12" s="6">
        <f t="shared" si="1"/>
        <v>2079766.2464228671</v>
      </c>
      <c r="J12" s="36">
        <f>VLOOKUP($A12,[26]HISTONOV25!$A$6:$AQ$51,22,0)</f>
        <v>0</v>
      </c>
      <c r="K12" s="36">
        <f>VLOOKUP($A12,[26]HISTONOV25!$A$6:$AU$51,45,0)</f>
        <v>225000</v>
      </c>
      <c r="L12" s="36">
        <f t="shared" si="2"/>
        <v>219000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VLOOKUP($A12,[26]HISTONOV25!$A$6:$AU$51,8,0)</f>
        <v>0</v>
      </c>
      <c r="Q12" s="36">
        <f>VLOOKUP($A12,[26]HISTONOV25!$A$6:$AU$51,23,0)</f>
        <v>0</v>
      </c>
      <c r="R12" s="36">
        <f>VLOOKUP($A12,[26]HISTONOV25!$A$6:$AU$51,46,0)</f>
        <v>0</v>
      </c>
      <c r="S12" s="36">
        <f>VLOOKUP($A12,[26]HISTONOV25!$A$6:$AU$51,26,0)</f>
        <v>0</v>
      </c>
      <c r="T12" s="36">
        <f>VLOOKUP($A12,[26]HISTONOV25!$A$6:$BG$51,58,0)</f>
        <v>0</v>
      </c>
      <c r="U12" s="36">
        <f>VLOOKUP($A12,[26]HISTONOV25!$A$6:$AU$51,28,0)</f>
        <v>0</v>
      </c>
      <c r="V12" s="36">
        <f>VLOOKUP($A12,[26]HISTONOV25!$A$6:$AU$51,19,0)</f>
        <v>150000</v>
      </c>
      <c r="W12" s="36" t="str">
        <f>VLOOKUP($A12,[26]HISTONOV25!$A$6:$AU$51,20,0)</f>
        <v>BANQUE</v>
      </c>
      <c r="X12" s="36">
        <f>VLOOKUP($A12,[26]HISTONOV25!$A$6:$AU$51,27,0)</f>
        <v>0</v>
      </c>
      <c r="Y12" s="36">
        <f>VLOOKUP($A12,[26]HISTONOV25!$A$6:$BM$51,33,0)</f>
        <v>0</v>
      </c>
      <c r="Z12" s="36">
        <f>VLOOKUP($A12,[26]HISTONOV25!$A$6:$BM$51,64,0)</f>
        <v>0</v>
      </c>
      <c r="AA12" s="36"/>
      <c r="AB12" s="36">
        <f>VLOOKUP($A12,[26]HISTONOV25!$A$6:$AU$51,44,0)</f>
        <v>0</v>
      </c>
      <c r="AC12" s="36">
        <f>VLOOKUP($A12,[26]HISTONOV25!$A$6:$AU$51,43,0)</f>
        <v>0</v>
      </c>
      <c r="AD12" s="36">
        <f>VLOOKUP($A12,[26]HISTONOV25!$A$6:$BR$51,47,0)</f>
        <v>0</v>
      </c>
      <c r="AE12" s="36">
        <f>VLOOKUP(A12,[26]HISTONOV25!$A$6:$BR$51,54,0)</f>
        <v>0</v>
      </c>
      <c r="AF12" s="36">
        <f>VLOOKUP($A12,[26]HISTONOV25!$A$6:$BR$51,60,0)</f>
        <v>0</v>
      </c>
      <c r="AG12" s="36">
        <f>VLOOKUP($A12,[26]HISTONOV25!$A$6:$CB$51,61,0)</f>
        <v>0</v>
      </c>
      <c r="AH12" s="36">
        <f>VLOOKUP($A12,[26]HISTONOV25!$A$6:$CB$51,62,0)</f>
        <v>0</v>
      </c>
      <c r="AI12" s="36">
        <f>VLOOKUP($A12,[26]HISTONOV25!$A$6:$CB$51,63,0)</f>
        <v>0</v>
      </c>
      <c r="AJ12" s="36">
        <f>VLOOKUP($A12,[26]HISTONOV25!$A$6:$BR$51,64,0)</f>
        <v>0</v>
      </c>
      <c r="AK12" s="36">
        <f>VLOOKUP($A12,[26]HISTONOV25!$A$6:$BR$51,65,0)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VLOOKUP($A13,[26]HISTONOV25!$A$6:$BA$51,48,0)</f>
        <v>0</v>
      </c>
      <c r="F13" s="36">
        <f>VLOOKUP(A13,MVTOCT25!A13:AM49,6,0)+MVTOCT25!H13-E13+L13</f>
        <v>1083185.100368211</v>
      </c>
      <c r="G13" s="5">
        <f>IF(MVTNOV25!F13&gt;800000,(MVTAVRIL25!I13-E13+L13),0)</f>
        <v>960839.16973006097</v>
      </c>
      <c r="H13" s="36">
        <f>VLOOKUP(A13,[27]MVTNOV25!$A$6:$AM$42,8,0)</f>
        <v>167.28822018389724</v>
      </c>
      <c r="I13" s="6">
        <f t="shared" si="1"/>
        <v>1083352.388588395</v>
      </c>
      <c r="J13" s="36">
        <f>VLOOKUP($A13,[26]HISTONOV25!$A$6:$AQ$51,22,0)</f>
        <v>0</v>
      </c>
      <c r="K13" s="36">
        <f>VLOOKUP($A13,[26]HISTONOV25!$A$6:$AU$51,45,0)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VLOOKUP($A13,[26]HISTONOV25!$A$6:$AU$51,8,0)</f>
        <v>0</v>
      </c>
      <c r="Q13" s="36">
        <f>VLOOKUP($A13,[26]HISTONOV25!$A$6:$AU$51,23,0)</f>
        <v>0</v>
      </c>
      <c r="R13" s="36">
        <f>VLOOKUP($A13,[26]HISTONOV25!$A$6:$AU$51,46,0)</f>
        <v>0</v>
      </c>
      <c r="S13" s="36">
        <f>VLOOKUP($A13,[26]HISTONOV25!$A$6:$AU$51,26,0)</f>
        <v>0</v>
      </c>
      <c r="T13" s="36">
        <f>VLOOKUP($A13,[26]HISTONOV25!$A$6:$BG$51,58,0)</f>
        <v>0</v>
      </c>
      <c r="U13" s="36">
        <f>VLOOKUP($A13,[26]HISTONOV25!$A$6:$AU$51,28,0)</f>
        <v>0</v>
      </c>
      <c r="V13" s="36">
        <f>VLOOKUP($A13,[26]HISTONOV25!$A$6:$AU$51,19,0)</f>
        <v>0</v>
      </c>
      <c r="W13" s="36">
        <f>VLOOKUP($A13,[26]HISTONOV25!$A$6:$AU$51,20,0)</f>
        <v>0</v>
      </c>
      <c r="X13" s="36">
        <f>VLOOKUP($A13,[26]HISTONOV25!$A$6:$AU$51,27,0)</f>
        <v>0</v>
      </c>
      <c r="Y13" s="36">
        <f>VLOOKUP($A13,[26]HISTONOV25!$A$6:$BM$51,33,0)</f>
        <v>0</v>
      </c>
      <c r="Z13" s="36">
        <f>VLOOKUP($A13,[26]HISTONOV25!$A$6:$BM$51,64,0)</f>
        <v>0</v>
      </c>
      <c r="AA13" s="36"/>
      <c r="AB13" s="36">
        <f>VLOOKUP($A13,[26]HISTONOV25!$A$6:$AU$51,44,0)</f>
        <v>0</v>
      </c>
      <c r="AC13" s="36">
        <f>VLOOKUP($A13,[26]HISTONOV25!$A$6:$AU$51,43,0)</f>
        <v>0</v>
      </c>
      <c r="AD13" s="36">
        <f>VLOOKUP($A13,[26]HISTONOV25!$A$6:$BR$51,47,0)</f>
        <v>0</v>
      </c>
      <c r="AE13" s="36">
        <f>VLOOKUP(A13,[26]HISTONOV25!$A$6:$BR$51,54,0)</f>
        <v>0</v>
      </c>
      <c r="AF13" s="36">
        <f>VLOOKUP($A13,[26]HISTONOV25!$A$6:$BR$51,60,0)</f>
        <v>0</v>
      </c>
      <c r="AG13" s="36">
        <f>VLOOKUP($A13,[26]HISTONOV25!$A$6:$CB$51,61,0)</f>
        <v>0</v>
      </c>
      <c r="AH13" s="36">
        <f>VLOOKUP($A13,[26]HISTONOV25!$A$6:$CB$51,62,0)</f>
        <v>0</v>
      </c>
      <c r="AI13" s="36">
        <f>VLOOKUP($A13,[26]HISTONOV25!$A$6:$CB$51,63,0)</f>
        <v>0</v>
      </c>
      <c r="AJ13" s="36">
        <f>VLOOKUP($A13,[26]HISTONOV25!$A$6:$BR$51,64,0)</f>
        <v>0</v>
      </c>
      <c r="AK13" s="36">
        <f>VLOOKUP($A13,[26]HISTONOV25!$A$6:$BR$51,65,0)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VLOOKUP($A14,[26]HISTONOV25!$A$6:$BA$51,48,0)</f>
        <v>0</v>
      </c>
      <c r="F14" s="36">
        <f>VLOOKUP(A14,MVTOCT25!A14:AM50,6,0)+MVTOCT25!H14-E14+L14</f>
        <v>1832785.0747191403</v>
      </c>
      <c r="G14" s="5">
        <f>IF(MVTNOV25!F14&gt;800000,(MVTAVRIL25!I14-E14+L14),0)</f>
        <v>1707311.1164119579</v>
      </c>
      <c r="H14" s="36">
        <f>VLOOKUP(A14,[27]MVTNOV25!$A$6:$AM$42,8,0)</f>
        <v>283.05721065139403</v>
      </c>
      <c r="I14" s="6">
        <f t="shared" si="1"/>
        <v>1833068.1319297918</v>
      </c>
      <c r="J14" s="36">
        <f>VLOOKUP($A14,[26]HISTONOV25!$A$6:$AQ$51,22,0)</f>
        <v>0</v>
      </c>
      <c r="K14" s="36">
        <f>VLOOKUP($A14,[26]HISTONOV25!$A$6:$AU$51,45,0)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VLOOKUP($A14,[26]HISTONOV25!$A$6:$AU$51,8,0)</f>
        <v>0</v>
      </c>
      <c r="Q14" s="36">
        <f>VLOOKUP($A14,[26]HISTONOV25!$A$6:$AU$51,23,0)</f>
        <v>0</v>
      </c>
      <c r="R14" s="36">
        <f>VLOOKUP($A14,[26]HISTONOV25!$A$6:$AU$51,46,0)</f>
        <v>0</v>
      </c>
      <c r="S14" s="36">
        <f>VLOOKUP($A14,[26]HISTONOV25!$A$6:$AU$51,26,0)</f>
        <v>0</v>
      </c>
      <c r="T14" s="36">
        <f>VLOOKUP($A14,[26]HISTONOV25!$A$6:$BG$51,58,0)</f>
        <v>0</v>
      </c>
      <c r="U14" s="36">
        <f>VLOOKUP($A14,[26]HISTONOV25!$A$6:$AU$51,28,0)</f>
        <v>0</v>
      </c>
      <c r="V14" s="36">
        <f>VLOOKUP($A14,[26]HISTONOV25!$A$6:$AU$51,19,0)</f>
        <v>0</v>
      </c>
      <c r="W14" s="36">
        <f>VLOOKUP($A14,[26]HISTONOV25!$A$6:$AU$51,20,0)</f>
        <v>0</v>
      </c>
      <c r="X14" s="36">
        <f>VLOOKUP($A14,[26]HISTONOV25!$A$6:$AU$51,27,0)</f>
        <v>0</v>
      </c>
      <c r="Y14" s="36">
        <f>VLOOKUP($A14,[26]HISTONOV25!$A$6:$BM$51,33,0)</f>
        <v>0</v>
      </c>
      <c r="Z14" s="36">
        <f>VLOOKUP($A14,[26]HISTONOV25!$A$6:$BM$51,64,0)</f>
        <v>0</v>
      </c>
      <c r="AA14" s="36"/>
      <c r="AB14" s="36">
        <f>VLOOKUP($A14,[26]HISTONOV25!$A$6:$AU$51,44,0)</f>
        <v>0</v>
      </c>
      <c r="AC14" s="36">
        <f>VLOOKUP($A14,[26]HISTONOV25!$A$6:$AU$51,43,0)</f>
        <v>0</v>
      </c>
      <c r="AD14" s="36">
        <f>VLOOKUP($A14,[26]HISTONOV25!$A$6:$BR$51,47,0)</f>
        <v>0</v>
      </c>
      <c r="AE14" s="36">
        <f>VLOOKUP(A14,[26]HISTONOV25!$A$6:$BR$51,54,0)</f>
        <v>0</v>
      </c>
      <c r="AF14" s="36">
        <f>VLOOKUP($A14,[26]HISTONOV25!$A$6:$BR$51,60,0)</f>
        <v>0</v>
      </c>
      <c r="AG14" s="36">
        <f>VLOOKUP($A14,[26]HISTONOV25!$A$6:$CB$51,61,0)</f>
        <v>0</v>
      </c>
      <c r="AH14" s="36">
        <f>VLOOKUP($A14,[26]HISTONOV25!$A$6:$CB$51,62,0)</f>
        <v>0</v>
      </c>
      <c r="AI14" s="36">
        <f>VLOOKUP($A14,[26]HISTONOV25!$A$6:$CB$51,63,0)</f>
        <v>0</v>
      </c>
      <c r="AJ14" s="36">
        <f>VLOOKUP($A14,[26]HISTONOV25!$A$6:$BR$51,64,0)</f>
        <v>0</v>
      </c>
      <c r="AK14" s="36">
        <f>VLOOKUP($A14,[26]HISTONOV25!$A$6:$BR$51,65,0)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VLOOKUP($A15,[26]HISTONOV25!$A$6:$BA$51,48,0)</f>
        <v>0</v>
      </c>
      <c r="F15" s="36">
        <f>VLOOKUP(A15,MVTOCT25!A15:AM51,6,0)+MVTOCT25!H15-E15+L15</f>
        <v>1812998.6550714748</v>
      </c>
      <c r="G15" s="5">
        <f>IF(MVTNOV25!F15&gt;800000,(MVTAVRIL25!I15-E15+L15),0)</f>
        <v>95000</v>
      </c>
      <c r="H15" s="36">
        <f>VLOOKUP(A15,[27]MVTNOV25!$A$6:$AM$42,8,0)</f>
        <v>256.68078046903088</v>
      </c>
      <c r="I15" s="6">
        <f t="shared" si="1"/>
        <v>1813255.3358519438</v>
      </c>
      <c r="J15" s="36">
        <f>VLOOKUP($A15,[26]HISTONOV25!$A$6:$AQ$51,22,0)</f>
        <v>0</v>
      </c>
      <c r="K15" s="36">
        <f>VLOOKUP($A15,[26]HISTONOV25!$A$6:$AU$51,45,0)</f>
        <v>25000</v>
      </c>
      <c r="L15" s="36">
        <f t="shared" si="2"/>
        <v>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VLOOKUP($A15,[26]HISTONOV25!$A$6:$AU$51,8,0)</f>
        <v>0</v>
      </c>
      <c r="Q15" s="36">
        <f>VLOOKUP($A15,[26]HISTONOV25!$A$6:$AU$51,23,0)</f>
        <v>0</v>
      </c>
      <c r="R15" s="36">
        <f>VLOOKUP($A15,[26]HISTONOV25!$A$6:$AU$51,46,0)</f>
        <v>0</v>
      </c>
      <c r="S15" s="36">
        <f>VLOOKUP($A15,[26]HISTONOV25!$A$6:$AU$51,26,0)</f>
        <v>0</v>
      </c>
      <c r="T15" s="36">
        <f>VLOOKUP($A15,[26]HISTONOV25!$A$6:$BG$51,58,0)</f>
        <v>0</v>
      </c>
      <c r="U15" s="36">
        <f>VLOOKUP($A15,[26]HISTONOV25!$A$6:$AU$51,28,0)</f>
        <v>0</v>
      </c>
      <c r="V15" s="36">
        <f>VLOOKUP($A15,[26]HISTONOV25!$A$6:$AU$51,19,0)</f>
        <v>0</v>
      </c>
      <c r="W15" s="36">
        <f>VLOOKUP($A15,[26]HISTONOV25!$A$6:$AU$51,20,0)</f>
        <v>0</v>
      </c>
      <c r="X15" s="36">
        <f>VLOOKUP($A15,[26]HISTONOV25!$A$6:$AU$51,27,0)</f>
        <v>0</v>
      </c>
      <c r="Y15" s="36">
        <f>VLOOKUP($A15,[26]HISTONOV25!$A$6:$BM$51,33,0)</f>
        <v>0</v>
      </c>
      <c r="Z15" s="36">
        <f>VLOOKUP($A15,[26]HISTONOV25!$A$6:$BM$51,64,0)</f>
        <v>0</v>
      </c>
      <c r="AA15" s="36"/>
      <c r="AB15" s="36">
        <f>VLOOKUP($A15,[26]HISTONOV25!$A$6:$AU$51,44,0)</f>
        <v>0</v>
      </c>
      <c r="AC15" s="36">
        <f>VLOOKUP($A15,[26]HISTONOV25!$A$6:$AU$51,43,0)</f>
        <v>0</v>
      </c>
      <c r="AD15" s="36">
        <f>VLOOKUP($A15,[26]HISTONOV25!$A$6:$BR$51,47,0)</f>
        <v>0</v>
      </c>
      <c r="AE15" s="36">
        <f>VLOOKUP(A15,[26]HISTONOV25!$A$6:$BR$51,54,0)</f>
        <v>0</v>
      </c>
      <c r="AF15" s="36">
        <f>VLOOKUP($A15,[26]HISTONOV25!$A$6:$BR$51,60,0)</f>
        <v>0</v>
      </c>
      <c r="AG15" s="36">
        <f>VLOOKUP($A15,[26]HISTONOV25!$A$6:$CB$51,61,0)</f>
        <v>0</v>
      </c>
      <c r="AH15" s="36">
        <f>VLOOKUP($A15,[26]HISTONOV25!$A$6:$CB$51,62,0)</f>
        <v>0</v>
      </c>
      <c r="AI15" s="36">
        <f>VLOOKUP($A15,[26]HISTONOV25!$A$6:$CB$51,63,0)</f>
        <v>0</v>
      </c>
      <c r="AJ15" s="36">
        <f>VLOOKUP($A15,[26]HISTONOV25!$A$6:$BR$51,64,0)</f>
        <v>0</v>
      </c>
      <c r="AK15" s="36">
        <f>VLOOKUP($A15,[26]HISTONOV25!$A$6:$BR$51,65,0)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VLOOKUP($A16,[26]HISTONOV25!$A$6:$BA$51,48,0)</f>
        <v>0</v>
      </c>
      <c r="F16" s="36">
        <f>VLOOKUP(A16,MVTOCT25!A16:AM52,6,0)+MVTOCT25!H16-E16+L16</f>
        <v>1078983.9475305672</v>
      </c>
      <c r="G16" s="5">
        <f>IF(MVTNOV25!F16&gt;800000,(MVTAVRIL25!I16-E16+L16),0)</f>
        <v>956672.27536945511</v>
      </c>
      <c r="H16" s="36">
        <f>VLOOKUP(A16,[27]MVTNOV25!$A$6:$AM$42,8,0)</f>
        <v>166.63938982176333</v>
      </c>
      <c r="I16" s="6">
        <f t="shared" si="1"/>
        <v>1079150.586920389</v>
      </c>
      <c r="J16" s="36">
        <f>VLOOKUP($A16,[26]HISTONOV25!$A$6:$AQ$51,22,0)</f>
        <v>0</v>
      </c>
      <c r="K16" s="36">
        <f>VLOOKUP($A16,[26]HISTONOV25!$A$6:$AU$51,45,0)</f>
        <v>25000</v>
      </c>
      <c r="L16" s="36">
        <f t="shared" si="2"/>
        <v>19000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VLOOKUP($A16,[26]HISTONOV25!$A$6:$AU$51,8,0)</f>
        <v>0</v>
      </c>
      <c r="Q16" s="36">
        <f>VLOOKUP($A16,[26]HISTONOV25!$A$6:$AU$51,23,0)</f>
        <v>0</v>
      </c>
      <c r="R16" s="36">
        <f>VLOOKUP($A16,[26]HISTONOV25!$A$6:$AU$51,46,0)</f>
        <v>0</v>
      </c>
      <c r="S16" s="36">
        <f>VLOOKUP($A16,[26]HISTONOV25!$A$6:$AU$51,26,0)</f>
        <v>0</v>
      </c>
      <c r="T16" s="36">
        <f>VLOOKUP($A16,[26]HISTONOV25!$A$6:$BG$51,58,0)</f>
        <v>0</v>
      </c>
      <c r="U16" s="36">
        <f>VLOOKUP($A16,[26]HISTONOV25!$A$6:$AU$51,28,0)</f>
        <v>0</v>
      </c>
      <c r="V16" s="36">
        <f>VLOOKUP($A16,[26]HISTONOV25!$A$6:$AU$51,19,0)</f>
        <v>0</v>
      </c>
      <c r="W16" s="36">
        <f>VLOOKUP($A16,[26]HISTONOV25!$A$6:$AU$51,20,0)</f>
        <v>0</v>
      </c>
      <c r="X16" s="36">
        <f>VLOOKUP($A16,[26]HISTONOV25!$A$6:$AU$51,27,0)</f>
        <v>0</v>
      </c>
      <c r="Y16" s="36">
        <f>VLOOKUP($A16,[26]HISTONOV25!$A$6:$BM$51,33,0)</f>
        <v>0</v>
      </c>
      <c r="Z16" s="36">
        <f>VLOOKUP($A16,[26]HISTONOV25!$A$6:$BM$51,64,0)</f>
        <v>0</v>
      </c>
      <c r="AA16" s="36"/>
      <c r="AB16" s="36">
        <f>VLOOKUP($A16,[26]HISTONOV25!$A$6:$AU$51,44,0)</f>
        <v>0</v>
      </c>
      <c r="AC16" s="36">
        <f>VLOOKUP($A16,[26]HISTONOV25!$A$6:$AU$51,43,0)</f>
        <v>0</v>
      </c>
      <c r="AD16" s="36">
        <f>VLOOKUP($A16,[26]HISTONOV25!$A$6:$BR$51,47,0)</f>
        <v>0</v>
      </c>
      <c r="AE16" s="36">
        <f>VLOOKUP(A16,[26]HISTONOV25!$A$6:$BR$51,54,0)</f>
        <v>0</v>
      </c>
      <c r="AF16" s="36">
        <f>VLOOKUP($A16,[26]HISTONOV25!$A$6:$BR$51,60,0)</f>
        <v>0</v>
      </c>
      <c r="AG16" s="36">
        <f>VLOOKUP($A16,[26]HISTONOV25!$A$6:$CB$51,61,0)</f>
        <v>0</v>
      </c>
      <c r="AH16" s="36">
        <f>VLOOKUP($A16,[26]HISTONOV25!$A$6:$CB$51,62,0)</f>
        <v>0</v>
      </c>
      <c r="AI16" s="36">
        <f>VLOOKUP($A16,[26]HISTONOV25!$A$6:$CB$51,63,0)</f>
        <v>0</v>
      </c>
      <c r="AJ16" s="36">
        <f>VLOOKUP($A16,[26]HISTONOV25!$A$6:$BR$51,64,0)</f>
        <v>0</v>
      </c>
      <c r="AK16" s="36">
        <f>VLOOKUP($A16,[26]HISTONOV25!$A$6:$BR$51,65,0)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VLOOKUP($A17,[26]HISTONOV25!$A$6:$BA$51,48,0)</f>
        <v>0</v>
      </c>
      <c r="F17" s="36">
        <f>VLOOKUP(A17,MVTOCT25!A17:AM53,6,0)+MVTOCT25!H17-E17+L17</f>
        <v>1346322.5982872597</v>
      </c>
      <c r="G17" s="5">
        <f>IF(MVTNOV25!F17&gt;800000,(MVTAVRIL25!I17-E17+L17),0)</f>
        <v>1082859.9095470994</v>
      </c>
      <c r="H17" s="36">
        <f>VLOOKUP(A17,[27]MVTNOV25!$A$6:$AM$42,8,0)</f>
        <v>207.92744581168498</v>
      </c>
      <c r="I17" s="6">
        <f t="shared" si="1"/>
        <v>1346530.5257330714</v>
      </c>
      <c r="J17" s="36">
        <f>VLOOKUP($A17,[26]HISTONOV25!$A$6:$AQ$51,22,0)</f>
        <v>0</v>
      </c>
      <c r="K17" s="36">
        <f>VLOOKUP($A17,[26]HISTONOV25!$A$6:$AU$51,45,0)</f>
        <v>40000</v>
      </c>
      <c r="L17" s="36">
        <f t="shared" si="2"/>
        <v>34000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VLOOKUP($A17,[26]HISTONOV25!$A$6:$AU$51,8,0)</f>
        <v>0</v>
      </c>
      <c r="Q17" s="36">
        <f>VLOOKUP($A17,[26]HISTONOV25!$A$6:$AU$51,23,0)</f>
        <v>0</v>
      </c>
      <c r="R17" s="36">
        <f>VLOOKUP($A17,[26]HISTONOV25!$A$6:$AU$51,46,0)</f>
        <v>0</v>
      </c>
      <c r="S17" s="36">
        <f>VLOOKUP($A17,[26]HISTONOV25!$A$6:$AU$51,26,0)</f>
        <v>400000</v>
      </c>
      <c r="T17" s="36">
        <f>VLOOKUP($A17,[26]HISTONOV25!$A$6:$BG$51,58,0)</f>
        <v>4000</v>
      </c>
      <c r="U17" s="36">
        <f>VLOOKUP($A17,[26]HISTONOV25!$A$6:$AU$51,28,0)</f>
        <v>0</v>
      </c>
      <c r="V17" s="36">
        <f>VLOOKUP($A17,[26]HISTONOV25!$A$6:$AU$51,19,0)</f>
        <v>400000</v>
      </c>
      <c r="W17" s="36" t="str">
        <f>VLOOKUP($A17,[26]HISTONOV25!$A$6:$AU$51,20,0)</f>
        <v>BANQUE</v>
      </c>
      <c r="X17" s="36" t="str">
        <f>VLOOKUP($A17,[26]HISTONOV25!$A$6:$AU$51,27,0)</f>
        <v>BANQUE</v>
      </c>
      <c r="Y17" s="36">
        <f>VLOOKUP($A17,[26]HISTONOV25!$A$6:$BM$51,33,0)</f>
        <v>0</v>
      </c>
      <c r="Z17" s="36">
        <f>VLOOKUP($A17,[26]HISTONOV25!$A$6:$BM$51,64,0)</f>
        <v>0</v>
      </c>
      <c r="AA17" s="36"/>
      <c r="AB17" s="36">
        <f>VLOOKUP($A17,[26]HISTONOV25!$A$6:$AU$51,44,0)</f>
        <v>0</v>
      </c>
      <c r="AC17" s="36">
        <f>VLOOKUP($A17,[26]HISTONOV25!$A$6:$AU$51,43,0)</f>
        <v>0</v>
      </c>
      <c r="AD17" s="36">
        <f>VLOOKUP($A17,[26]HISTONOV25!$A$6:$BR$51,47,0)</f>
        <v>0</v>
      </c>
      <c r="AE17" s="36">
        <f>VLOOKUP(A17,[26]HISTONOV25!$A$6:$BR$51,54,0)</f>
        <v>0</v>
      </c>
      <c r="AF17" s="36">
        <f>VLOOKUP($A17,[26]HISTONOV25!$A$6:$BR$51,60,0)</f>
        <v>0</v>
      </c>
      <c r="AG17" s="36">
        <f>VLOOKUP($A17,[26]HISTONOV25!$A$6:$CB$51,61,0)</f>
        <v>0</v>
      </c>
      <c r="AH17" s="36">
        <f>VLOOKUP($A17,[26]HISTONOV25!$A$6:$CB$51,62,0)</f>
        <v>0</v>
      </c>
      <c r="AI17" s="36">
        <f>VLOOKUP($A17,[26]HISTONOV25!$A$6:$CB$51,63,0)</f>
        <v>0</v>
      </c>
      <c r="AJ17" s="36">
        <f>VLOOKUP($A17,[26]HISTONOV25!$A$6:$BR$51,64,0)</f>
        <v>0</v>
      </c>
      <c r="AK17" s="36">
        <f>VLOOKUP($A17,[26]HISTONOV25!$A$6:$BR$51,65,0)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VLOOKUP($A18,[26]HISTONOV25!$A$6:$BA$51,48,0)</f>
        <v>0</v>
      </c>
      <c r="F18" s="36">
        <f>VLOOKUP(A18,MVTOCT25!A18:AM54,6,0)+MVTOCT25!H18-E18+L18</f>
        <v>1080172.1248334572</v>
      </c>
      <c r="G18" s="5">
        <f>IF(MVTNOV25!F18&gt;800000,(MVTAVRIL25!I18-E18+L18),0)</f>
        <v>957826.30000484944</v>
      </c>
      <c r="H18" s="36">
        <f>VLOOKUP(A18,[27]MVTNOV25!$A$6:$AM$42,8,0)</f>
        <v>166.82289314561424</v>
      </c>
      <c r="I18" s="6">
        <f t="shared" si="1"/>
        <v>1080338.9477266029</v>
      </c>
      <c r="J18" s="36">
        <f>VLOOKUP($A18,[26]HISTONOV25!$A$6:$AQ$51,22,0)</f>
        <v>0</v>
      </c>
      <c r="K18" s="36">
        <f>VLOOKUP($A18,[26]HISTONOV25!$A$6:$AU$51,45,0)</f>
        <v>22000</v>
      </c>
      <c r="L18" s="36">
        <f t="shared" si="2"/>
        <v>16000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VLOOKUP($A18,[26]HISTONOV25!$A$6:$AU$51,8,0)</f>
        <v>3000</v>
      </c>
      <c r="Q18" s="36">
        <f>VLOOKUP($A18,[26]HISTONOV25!$A$6:$AU$51,23,0)</f>
        <v>0</v>
      </c>
      <c r="R18" s="36">
        <f>VLOOKUP($A18,[26]HISTONOV25!$A$6:$AU$51,46,0)</f>
        <v>0</v>
      </c>
      <c r="S18" s="36">
        <f>VLOOKUP($A18,[26]HISTONOV25!$A$6:$AU$51,26,0)</f>
        <v>0</v>
      </c>
      <c r="T18" s="36">
        <f>VLOOKUP($A18,[26]HISTONOV25!$A$6:$BG$51,58,0)</f>
        <v>0</v>
      </c>
      <c r="U18" s="36">
        <f>VLOOKUP($A18,[26]HISTONOV25!$A$6:$AU$51,28,0)</f>
        <v>0</v>
      </c>
      <c r="V18" s="36">
        <f>VLOOKUP($A18,[26]HISTONOV25!$A$6:$AU$51,19,0)</f>
        <v>0</v>
      </c>
      <c r="W18" s="36">
        <f>VLOOKUP($A18,[26]HISTONOV25!$A$6:$AU$51,20,0)</f>
        <v>0</v>
      </c>
      <c r="X18" s="36">
        <f>VLOOKUP($A18,[26]HISTONOV25!$A$6:$AU$51,27,0)</f>
        <v>0</v>
      </c>
      <c r="Y18" s="36">
        <f>VLOOKUP($A18,[26]HISTONOV25!$A$6:$BM$51,33,0)</f>
        <v>0</v>
      </c>
      <c r="Z18" s="36">
        <f>VLOOKUP($A18,[26]HISTONOV25!$A$6:$BM$51,64,0)</f>
        <v>0</v>
      </c>
      <c r="AA18" s="36"/>
      <c r="AB18" s="36">
        <f>VLOOKUP($A18,[26]HISTONOV25!$A$6:$AU$51,44,0)</f>
        <v>0</v>
      </c>
      <c r="AC18" s="36">
        <f>VLOOKUP($A18,[26]HISTONOV25!$A$6:$AU$51,43,0)</f>
        <v>0</v>
      </c>
      <c r="AD18" s="36">
        <f>VLOOKUP($A18,[26]HISTONOV25!$A$6:$BR$51,47,0)</f>
        <v>0</v>
      </c>
      <c r="AE18" s="36">
        <f>VLOOKUP(A18,[26]HISTONOV25!$A$6:$BR$51,54,0)</f>
        <v>0</v>
      </c>
      <c r="AF18" s="36">
        <f>VLOOKUP($A18,[26]HISTONOV25!$A$6:$BR$51,60,0)</f>
        <v>0</v>
      </c>
      <c r="AG18" s="36">
        <f>VLOOKUP($A18,[26]HISTONOV25!$A$6:$CB$51,61,0)</f>
        <v>0</v>
      </c>
      <c r="AH18" s="36">
        <f>VLOOKUP($A18,[26]HISTONOV25!$A$6:$CB$51,62,0)</f>
        <v>0</v>
      </c>
      <c r="AI18" s="36">
        <f>VLOOKUP($A18,[26]HISTONOV25!$A$6:$CB$51,63,0)</f>
        <v>100000</v>
      </c>
      <c r="AJ18" s="36">
        <f>VLOOKUP($A18,[26]HISTONOV25!$A$6:$BR$51,64,0)</f>
        <v>0</v>
      </c>
      <c r="AK18" s="36">
        <f>VLOOKUP($A18,[26]HISTONOV25!$A$6:$BR$51,65,0)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VLOOKUP($A19,[26]HISTONOV25!$A$6:$BA$51,48,0)</f>
        <v>0</v>
      </c>
      <c r="F19" s="36">
        <f>VLOOKUP(A19,MVTOCT25!A19:AM55,6,0)+MVTOCT25!H19-E19+L19</f>
        <v>1183680.9730165557</v>
      </c>
      <c r="G19" s="5">
        <f>IF(MVTNOV25!F19&gt;800000,(MVTAVRIL25!I19-E19+L19),0)</f>
        <v>1011742.1499443398</v>
      </c>
      <c r="H19" s="36">
        <f>VLOOKUP(A19,[27]MVTNOV25!$A$6:$AM$42,8,0)</f>
        <v>182.80890604400949</v>
      </c>
      <c r="I19" s="6">
        <f t="shared" si="1"/>
        <v>1183863.7819225998</v>
      </c>
      <c r="J19" s="36">
        <f>VLOOKUP($A19,[26]HISTONOV25!$A$6:$AQ$51,22,0)</f>
        <v>0</v>
      </c>
      <c r="K19" s="36">
        <f>VLOOKUP($A19,[26]HISTONOV25!$A$6:$AU$51,45,0)</f>
        <v>32000</v>
      </c>
      <c r="L19" s="36">
        <f t="shared" si="2"/>
        <v>26000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VLOOKUP($A19,[26]HISTONOV25!$A$6:$AU$51,8,0)</f>
        <v>0</v>
      </c>
      <c r="Q19" s="36">
        <f>VLOOKUP($A19,[26]HISTONOV25!$A$6:$AU$51,23,0)</f>
        <v>0</v>
      </c>
      <c r="R19" s="36">
        <f>VLOOKUP($A19,[26]HISTONOV25!$A$6:$AU$51,46,0)</f>
        <v>0</v>
      </c>
      <c r="S19" s="36">
        <f>VLOOKUP($A19,[26]HISTONOV25!$A$6:$AU$51,26,0)</f>
        <v>0</v>
      </c>
      <c r="T19" s="36">
        <f>VLOOKUP($A19,[26]HISTONOV25!$A$6:$BG$51,58,0)</f>
        <v>0</v>
      </c>
      <c r="U19" s="36">
        <f>VLOOKUP($A19,[26]HISTONOV25!$A$6:$AU$51,28,0)</f>
        <v>0</v>
      </c>
      <c r="V19" s="36">
        <f>VLOOKUP($A19,[26]HISTONOV25!$A$6:$AU$51,19,0)</f>
        <v>0</v>
      </c>
      <c r="W19" s="36">
        <f>VLOOKUP($A19,[26]HISTONOV25!$A$6:$AU$51,20,0)</f>
        <v>0</v>
      </c>
      <c r="X19" s="36">
        <f>VLOOKUP($A19,[26]HISTONOV25!$A$6:$AU$51,27,0)</f>
        <v>0</v>
      </c>
      <c r="Y19" s="36">
        <f>VLOOKUP($A19,[26]HISTONOV25!$A$6:$BM$51,33,0)</f>
        <v>0</v>
      </c>
      <c r="Z19" s="36">
        <f>VLOOKUP($A19,[26]HISTONOV25!$A$6:$BM$51,64,0)</f>
        <v>0</v>
      </c>
      <c r="AA19" s="36"/>
      <c r="AB19" s="36">
        <f>VLOOKUP($A19,[26]HISTONOV25!$A$6:$AU$51,44,0)</f>
        <v>0</v>
      </c>
      <c r="AC19" s="36">
        <f>VLOOKUP($A19,[26]HISTONOV25!$A$6:$AU$51,43,0)</f>
        <v>0</v>
      </c>
      <c r="AD19" s="36">
        <f>VLOOKUP($A19,[26]HISTONOV25!$A$6:$BR$51,47,0)</f>
        <v>0</v>
      </c>
      <c r="AE19" s="36">
        <f>VLOOKUP(A19,[26]HISTONOV25!$A$6:$BR$51,54,0)</f>
        <v>0</v>
      </c>
      <c r="AF19" s="36">
        <f>VLOOKUP($A19,[26]HISTONOV25!$A$6:$BR$51,60,0)</f>
        <v>0</v>
      </c>
      <c r="AG19" s="36">
        <f>VLOOKUP($A19,[26]HISTONOV25!$A$6:$CB$51,61,0)</f>
        <v>0</v>
      </c>
      <c r="AH19" s="36">
        <f>VLOOKUP($A19,[26]HISTONOV25!$A$6:$CB$51,62,0)</f>
        <v>0</v>
      </c>
      <c r="AI19" s="36">
        <f>VLOOKUP($A19,[26]HISTONOV25!$A$6:$CB$51,63,0)</f>
        <v>0</v>
      </c>
      <c r="AJ19" s="36">
        <f>VLOOKUP($A19,[26]HISTONOV25!$A$6:$BR$51,64,0)</f>
        <v>0</v>
      </c>
      <c r="AK19" s="36">
        <f>VLOOKUP($A19,[26]HISTONOV25!$A$6:$BR$51,65,0)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VLOOKUP($A20,[26]HISTONOV25!$A$6:$BA$51,48,0)</f>
        <v>0</v>
      </c>
      <c r="F20" s="36">
        <f>VLOOKUP(A20,MVTOCT25!A20:AM56,6,0)+MVTOCT25!H20-E20+L20</f>
        <v>450000</v>
      </c>
      <c r="G20" s="5">
        <f>IF(MVTNOV25!F20&gt;800000,(MVTAVRIL25!I20-E20+L20),0)</f>
        <v>0</v>
      </c>
      <c r="H20" s="36">
        <f>VLOOKUP(A20,[27]MVTNOV25!$A$6:$AM$42,8,0)</f>
        <v>0</v>
      </c>
      <c r="I20" s="6">
        <f t="shared" ref="I20" si="5">F20+H20</f>
        <v>450000</v>
      </c>
      <c r="J20" s="36">
        <f>VLOOKUP($A20,[26]HISTONOV25!$A$6:$AQ$51,22,0)</f>
        <v>0</v>
      </c>
      <c r="K20" s="36">
        <f>VLOOKUP($A20,[26]HISTONOV25!$A$6:$AU$51,45,0)</f>
        <v>0</v>
      </c>
      <c r="L20" s="36">
        <f>IF(K20=0,0,K20-(M20+N20+O20))</f>
        <v>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VLOOKUP($A20,[26]HISTONOV25!$A$6:$AU$51,8,0)</f>
        <v>0</v>
      </c>
      <c r="Q20" s="36">
        <f>VLOOKUP($A20,[26]HISTONOV25!$A$6:$AU$51,23,0)</f>
        <v>0</v>
      </c>
      <c r="R20" s="36">
        <f>VLOOKUP($A20,[26]HISTONOV25!$A$6:$AU$51,46,0)</f>
        <v>0</v>
      </c>
      <c r="S20" s="36">
        <f>VLOOKUP($A20,[26]HISTONOV25!$A$6:$AU$51,26,0)</f>
        <v>0</v>
      </c>
      <c r="T20" s="36">
        <f>VLOOKUP($A20,[26]HISTONOV25!$A$6:$BG$51,58,0)</f>
        <v>0</v>
      </c>
      <c r="U20" s="36">
        <f>VLOOKUP($A20,[26]HISTONOV25!$A$6:$AU$51,28,0)</f>
        <v>0</v>
      </c>
      <c r="V20" s="36">
        <f>VLOOKUP($A20,[26]HISTONOV25!$A$6:$AU$51,19,0)</f>
        <v>0</v>
      </c>
      <c r="W20" s="36">
        <f>VLOOKUP($A20,[26]HISTONOV25!$A$6:$AU$51,20,0)</f>
        <v>0</v>
      </c>
      <c r="X20" s="36">
        <f>VLOOKUP($A20,[26]HISTONOV25!$A$6:$AU$51,27,0)</f>
        <v>0</v>
      </c>
      <c r="Y20" s="36">
        <f>VLOOKUP($A20,[26]HISTONOV25!$A$6:$BM$51,33,0)</f>
        <v>0</v>
      </c>
      <c r="Z20" s="36">
        <f>VLOOKUP($A20,[26]HISTONOV25!$A$6:$BM$51,64,0)</f>
        <v>0</v>
      </c>
      <c r="AA20" s="36"/>
      <c r="AB20" s="36">
        <f>VLOOKUP($A20,[26]HISTONOV25!$A$6:$AU$51,44,0)</f>
        <v>0</v>
      </c>
      <c r="AC20" s="36">
        <f>VLOOKUP($A20,[26]HISTONOV25!$A$6:$AU$51,43,0)</f>
        <v>0</v>
      </c>
      <c r="AD20" s="36">
        <f>VLOOKUP($A20,[26]HISTONOV25!$A$6:$BR$51,47,0)</f>
        <v>0</v>
      </c>
      <c r="AE20" s="36">
        <f>VLOOKUP(A20,[26]HISTONOV25!$A$6:$BR$51,54,0)</f>
        <v>0</v>
      </c>
      <c r="AF20" s="36">
        <f>VLOOKUP($A20,[26]HISTONOV25!$A$6:$BR$51,60,0)</f>
        <v>0</v>
      </c>
      <c r="AG20" s="36">
        <f>VLOOKUP($A20,[26]HISTONOV25!$A$6:$CB$51,61,0)</f>
        <v>0</v>
      </c>
      <c r="AH20" s="36">
        <f>VLOOKUP($A20,[26]HISTONOV25!$A$6:$CB$51,62,0)</f>
        <v>0</v>
      </c>
      <c r="AI20" s="36">
        <f>VLOOKUP($A20,[26]HISTONOV25!$A$6:$CB$51,63,0)</f>
        <v>0</v>
      </c>
      <c r="AJ20" s="36">
        <f>VLOOKUP($A20,[26]HISTONOV25!$A$6:$BR$51,64,0)</f>
        <v>0</v>
      </c>
      <c r="AK20" s="36">
        <f>VLOOKUP($A20,[26]HISTONOV25!$A$6:$BR$51,65,0)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VLOOKUP($A21,[26]HISTONOV25!$A$6:$BA$51,48,0)</f>
        <v>0</v>
      </c>
      <c r="F21" s="36">
        <f>VLOOKUP(A21,MVTOCT25!A21:AM56,6,0)+MVTOCT25!H21-E21+L21</f>
        <v>1240127.53955526</v>
      </c>
      <c r="G21" s="5">
        <f>IF(MVTNOV25!F21&gt;800000,(MVTAVRIL25!I21-E21+L21),0)</f>
        <v>1116501.8152135806</v>
      </c>
      <c r="H21" s="36">
        <f>VLOOKUP(A21,[27]MVTNOV25!$A$6:$AM$42,8,0)</f>
        <v>191.52657179526645</v>
      </c>
      <c r="I21" s="6">
        <f t="shared" si="1"/>
        <v>1240319.0661270553</v>
      </c>
      <c r="J21" s="36">
        <f>VLOOKUP($A21,[26]HISTONOV25!$A$6:$AQ$51,22,0)</f>
        <v>0</v>
      </c>
      <c r="K21" s="36">
        <f>VLOOKUP($A21,[26]HISTONOV25!$A$6:$AU$51,45,0)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VLOOKUP($A21,[26]HISTONOV25!$A$6:$AU$51,8,0)</f>
        <v>0</v>
      </c>
      <c r="Q21" s="36">
        <f>VLOOKUP($A21,[26]HISTONOV25!$A$6:$AU$51,23,0)</f>
        <v>0</v>
      </c>
      <c r="R21" s="36">
        <f>VLOOKUP($A21,[26]HISTONOV25!$A$6:$AU$51,46,0)</f>
        <v>0</v>
      </c>
      <c r="S21" s="36">
        <f>VLOOKUP($A21,[26]HISTONOV25!$A$6:$AU$51,26,0)</f>
        <v>0</v>
      </c>
      <c r="T21" s="36">
        <f>VLOOKUP($A21,[26]HISTONOV25!$A$6:$BG$51,58,0)</f>
        <v>0</v>
      </c>
      <c r="U21" s="36">
        <f>VLOOKUP($A21,[26]HISTONOV25!$A$6:$AU$51,28,0)</f>
        <v>0</v>
      </c>
      <c r="V21" s="36">
        <f>VLOOKUP($A21,[26]HISTONOV25!$A$6:$AU$51,19,0)</f>
        <v>0</v>
      </c>
      <c r="W21" s="36">
        <f>VLOOKUP($A21,[26]HISTONOV25!$A$6:$AU$51,20,0)</f>
        <v>0</v>
      </c>
      <c r="X21" s="36">
        <f>VLOOKUP($A21,[26]HISTONOV25!$A$6:$AU$51,27,0)</f>
        <v>0</v>
      </c>
      <c r="Y21" s="36">
        <f>VLOOKUP($A21,[26]HISTONOV25!$A$6:$BM$51,33,0)</f>
        <v>0</v>
      </c>
      <c r="Z21" s="36">
        <f>VLOOKUP($A21,[26]HISTONOV25!$A$6:$BM$51,64,0)</f>
        <v>0</v>
      </c>
      <c r="AA21" s="36"/>
      <c r="AB21" s="36">
        <f>VLOOKUP($A21,[26]HISTONOV25!$A$6:$AU$51,44,0)</f>
        <v>0</v>
      </c>
      <c r="AC21" s="36">
        <f>VLOOKUP($A21,[26]HISTONOV25!$A$6:$AU$51,43,0)</f>
        <v>0</v>
      </c>
      <c r="AD21" s="36">
        <f>VLOOKUP($A21,[26]HISTONOV25!$A$6:$BR$51,47,0)</f>
        <v>0</v>
      </c>
      <c r="AE21" s="36">
        <f>VLOOKUP(A21,[26]HISTONOV25!$A$6:$BR$51,54,0)</f>
        <v>0</v>
      </c>
      <c r="AF21" s="36">
        <f>VLOOKUP($A21,[26]HISTONOV25!$A$6:$BR$51,60,0)</f>
        <v>0</v>
      </c>
      <c r="AG21" s="36">
        <f>VLOOKUP($A21,[26]HISTONOV25!$A$6:$CB$51,61,0)</f>
        <v>0</v>
      </c>
      <c r="AH21" s="36">
        <f>VLOOKUP($A21,[26]HISTONOV25!$A$6:$CB$51,62,0)</f>
        <v>0</v>
      </c>
      <c r="AI21" s="36">
        <f>VLOOKUP($A21,[26]HISTONOV25!$A$6:$CB$51,63,0)</f>
        <v>0</v>
      </c>
      <c r="AJ21" s="36">
        <f>VLOOKUP($A21,[26]HISTONOV25!$A$6:$BR$51,64,0)</f>
        <v>0</v>
      </c>
      <c r="AK21" s="36">
        <f>VLOOKUP($A21,[26]HISTONOV25!$A$6:$BR$51,65,0)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VLOOKUP($A22,[26]HISTONOV25!$A$6:$BA$51,48,0)</f>
        <v>0</v>
      </c>
      <c r="F22" s="36">
        <f>VLOOKUP(A22,MVTOCT25!A22:AM57,6,0)+MVTOCT25!H22-E22+L22</f>
        <v>1090405.6736686174</v>
      </c>
      <c r="G22" s="5">
        <f>IF(MVTNOV25!F22&gt;800000,(MVTAVRIL25!I22-E22+L22),0)</f>
        <v>963529.9808177395</v>
      </c>
      <c r="H22" s="36">
        <f>VLOOKUP(A22,[27]MVTNOV25!$A$6:$AM$42,8,0)</f>
        <v>168.40337294561982</v>
      </c>
      <c r="I22" s="6">
        <f t="shared" si="1"/>
        <v>1090574.0770415631</v>
      </c>
      <c r="J22" s="36">
        <f>VLOOKUP($A22,[26]HISTONOV25!$A$6:$AQ$51,22,0)</f>
        <v>0</v>
      </c>
      <c r="K22" s="36">
        <f>VLOOKUP($A22,[26]HISTONOV25!$A$6:$AU$51,45,0)</f>
        <v>25400</v>
      </c>
      <c r="L22" s="36">
        <f t="shared" si="2"/>
        <v>19400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VLOOKUP($A22,[26]HISTONOV25!$A$6:$AU$51,8,0)</f>
        <v>0</v>
      </c>
      <c r="Q22" s="36">
        <f>VLOOKUP($A22,[26]HISTONOV25!$A$6:$AU$51,23,0)</f>
        <v>0</v>
      </c>
      <c r="R22" s="36">
        <f>VLOOKUP($A22,[26]HISTONOV25!$A$6:$AU$51,46,0)</f>
        <v>0</v>
      </c>
      <c r="S22" s="36">
        <f>VLOOKUP($A22,[26]HISTONOV25!$A$6:$AU$51,26,0)</f>
        <v>0</v>
      </c>
      <c r="T22" s="36">
        <f>VLOOKUP($A22,[26]HISTONOV25!$A$6:$BG$51,58,0)</f>
        <v>0</v>
      </c>
      <c r="U22" s="36">
        <f>VLOOKUP($A22,[26]HISTONOV25!$A$6:$AU$51,28,0)</f>
        <v>0</v>
      </c>
      <c r="V22" s="36">
        <f>VLOOKUP($A22,[26]HISTONOV25!$A$6:$AU$51,19,0)</f>
        <v>0</v>
      </c>
      <c r="W22" s="36">
        <f>VLOOKUP($A22,[26]HISTONOV25!$A$6:$AU$51,20,0)</f>
        <v>0</v>
      </c>
      <c r="X22" s="36">
        <f>VLOOKUP($A22,[26]HISTONOV25!$A$6:$AU$51,27,0)</f>
        <v>0</v>
      </c>
      <c r="Y22" s="36">
        <f>VLOOKUP($A22,[26]HISTONOV25!$A$6:$BM$51,33,0)</f>
        <v>0</v>
      </c>
      <c r="Z22" s="36">
        <f>VLOOKUP($A22,[26]HISTONOV25!$A$6:$BM$51,64,0)</f>
        <v>0</v>
      </c>
      <c r="AA22" s="36"/>
      <c r="AB22" s="36">
        <f>VLOOKUP($A22,[26]HISTONOV25!$A$6:$AU$51,44,0)</f>
        <v>0</v>
      </c>
      <c r="AC22" s="36">
        <f>VLOOKUP($A22,[26]HISTONOV25!$A$6:$AU$51,43,0)</f>
        <v>0</v>
      </c>
      <c r="AD22" s="36">
        <f>VLOOKUP($A22,[26]HISTONOV25!$A$6:$BR$51,47,0)</f>
        <v>0</v>
      </c>
      <c r="AE22" s="36">
        <f>VLOOKUP(A22,[26]HISTONOV25!$A$6:$BR$51,54,0)</f>
        <v>0</v>
      </c>
      <c r="AF22" s="36">
        <f>VLOOKUP($A22,[26]HISTONOV25!$A$6:$BR$51,60,0)</f>
        <v>0</v>
      </c>
      <c r="AG22" s="36">
        <f>VLOOKUP($A22,[26]HISTONOV25!$A$6:$CB$51,61,0)</f>
        <v>0</v>
      </c>
      <c r="AH22" s="36">
        <f>VLOOKUP($A22,[26]HISTONOV25!$A$6:$CB$51,62,0)</f>
        <v>0</v>
      </c>
      <c r="AI22" s="36">
        <f>VLOOKUP($A22,[26]HISTONOV25!$A$6:$CB$51,63,0)</f>
        <v>0</v>
      </c>
      <c r="AJ22" s="36">
        <f>VLOOKUP($A22,[26]HISTONOV25!$A$6:$BR$51,64,0)</f>
        <v>0</v>
      </c>
      <c r="AK22" s="36">
        <f>VLOOKUP($A22,[26]HISTONOV25!$A$6:$BR$51,65,0)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VLOOKUP($A23,[26]HISTONOV25!$A$6:$BA$51,48,0)</f>
        <v>0</v>
      </c>
      <c r="F23" s="36">
        <f>VLOOKUP(A23,MVTOCT25!A23:AM58,6,0)+MVTOCT25!H23-E23+L23</f>
        <v>1084757.3026625838</v>
      </c>
      <c r="G23" s="5">
        <f>IF(MVTNOV25!F23&gt;800000,(MVTAVRIL25!I23-E23+L23),0)</f>
        <v>962398.55143487593</v>
      </c>
      <c r="H23" s="36">
        <f>VLOOKUP(A23,[27]MVTNOV25!$A$6:$AM$42,8,0)</f>
        <v>167.53103272212846</v>
      </c>
      <c r="I23" s="6">
        <f t="shared" si="1"/>
        <v>1084924.833695306</v>
      </c>
      <c r="J23" s="36">
        <f>VLOOKUP($A23,[26]HISTONOV25!$A$6:$AQ$51,22,0)</f>
        <v>0</v>
      </c>
      <c r="K23" s="36">
        <f>VLOOKUP($A23,[26]HISTONOV25!$A$6:$AU$51,45,0)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VLOOKUP($A23,[26]HISTONOV25!$A$6:$AU$51,8,0)</f>
        <v>0</v>
      </c>
      <c r="Q23" s="36">
        <f>VLOOKUP($A23,[26]HISTONOV25!$A$6:$AU$51,23,0)</f>
        <v>0</v>
      </c>
      <c r="R23" s="36">
        <f>VLOOKUP($A23,[26]HISTONOV25!$A$6:$AU$51,46,0)</f>
        <v>0</v>
      </c>
      <c r="S23" s="36">
        <f>VLOOKUP($A23,[26]HISTONOV25!$A$6:$AU$51,26,0)</f>
        <v>0</v>
      </c>
      <c r="T23" s="36">
        <f>VLOOKUP($A23,[26]HISTONOV25!$A$6:$BG$51,58,0)</f>
        <v>0</v>
      </c>
      <c r="U23" s="36">
        <f>VLOOKUP($A23,[26]HISTONOV25!$A$6:$AU$51,28,0)</f>
        <v>0</v>
      </c>
      <c r="V23" s="36">
        <f>VLOOKUP($A23,[26]HISTONOV25!$A$6:$AU$51,19,0)</f>
        <v>0</v>
      </c>
      <c r="W23" s="36">
        <f>VLOOKUP($A23,[26]HISTONOV25!$A$6:$AU$51,20,0)</f>
        <v>0</v>
      </c>
      <c r="X23" s="36">
        <f>VLOOKUP($A23,[26]HISTONOV25!$A$6:$AU$51,27,0)</f>
        <v>0</v>
      </c>
      <c r="Y23" s="36">
        <f>VLOOKUP($A23,[26]HISTONOV25!$A$6:$BM$51,33,0)</f>
        <v>0</v>
      </c>
      <c r="Z23" s="36">
        <f>VLOOKUP($A23,[26]HISTONOV25!$A$6:$BM$51,64,0)</f>
        <v>0</v>
      </c>
      <c r="AA23" s="36"/>
      <c r="AB23" s="36">
        <f>VLOOKUP($A23,[26]HISTONOV25!$A$6:$AU$51,44,0)</f>
        <v>0</v>
      </c>
      <c r="AC23" s="36">
        <f>VLOOKUP($A23,[26]HISTONOV25!$A$6:$AU$51,43,0)</f>
        <v>0</v>
      </c>
      <c r="AD23" s="36">
        <f>VLOOKUP($A23,[26]HISTONOV25!$A$6:$BR$51,47,0)</f>
        <v>0</v>
      </c>
      <c r="AE23" s="36">
        <f>VLOOKUP(A23,[26]HISTONOV25!$A$6:$BR$51,54,0)</f>
        <v>0</v>
      </c>
      <c r="AF23" s="36">
        <f>VLOOKUP($A23,[26]HISTONOV25!$A$6:$BR$51,60,0)</f>
        <v>0</v>
      </c>
      <c r="AG23" s="36">
        <f>VLOOKUP($A23,[26]HISTONOV25!$A$6:$CB$51,61,0)</f>
        <v>0</v>
      </c>
      <c r="AH23" s="36">
        <f>VLOOKUP($A23,[26]HISTONOV25!$A$6:$CB$51,62,0)</f>
        <v>0</v>
      </c>
      <c r="AI23" s="36">
        <f>VLOOKUP($A23,[26]HISTONOV25!$A$6:$CB$51,63,0)</f>
        <v>0</v>
      </c>
      <c r="AJ23" s="36">
        <f>VLOOKUP($A23,[26]HISTONOV25!$A$6:$BR$51,64,0)</f>
        <v>0</v>
      </c>
      <c r="AK23" s="36">
        <f>VLOOKUP($A23,[26]HISTONOV25!$A$6:$BR$51,65,0)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VLOOKUP($A24,[26]HISTONOV25!$A$6:$BA$51,48,0)</f>
        <v>0</v>
      </c>
      <c r="F24" s="36">
        <f>VLOOKUP(A24,MVTOCT25!A24:AM59,6,0)+MVTOCT25!H24-E24+L24</f>
        <v>1031436.0074862777</v>
      </c>
      <c r="G24" s="5">
        <f>IF(MVTNOV25!F24&gt;800000,(MVTAVRIL25!I24-E24+L24),0)</f>
        <v>909512.06699672434</v>
      </c>
      <c r="H24" s="36">
        <f>VLOOKUP(A24,[27]MVTNOV25!$A$6:$AM$42,8,0)</f>
        <v>159.29603709219205</v>
      </c>
      <c r="I24" s="6">
        <f t="shared" si="1"/>
        <v>1031595.3035233699</v>
      </c>
      <c r="J24" s="36">
        <f>VLOOKUP($A24,[26]HISTONOV25!$A$6:$AQ$51,22,0)</f>
        <v>0</v>
      </c>
      <c r="K24" s="36">
        <f>VLOOKUP($A24,[26]HISTONOV25!$A$6:$AU$51,45,0)</f>
        <v>25000</v>
      </c>
      <c r="L24" s="36">
        <f t="shared" si="2"/>
        <v>19000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VLOOKUP($A24,[26]HISTONOV25!$A$6:$AU$51,8,0)</f>
        <v>0</v>
      </c>
      <c r="Q24" s="36">
        <f>VLOOKUP($A24,[26]HISTONOV25!$A$6:$AU$51,23,0)</f>
        <v>0</v>
      </c>
      <c r="R24" s="36">
        <f>VLOOKUP($A24,[26]HISTONOV25!$A$6:$AU$51,46,0)</f>
        <v>0</v>
      </c>
      <c r="S24" s="36">
        <f>VLOOKUP($A24,[26]HISTONOV25!$A$6:$AU$51,26,0)</f>
        <v>0</v>
      </c>
      <c r="T24" s="36">
        <f>VLOOKUP($A24,[26]HISTONOV25!$A$6:$BG$51,58,0)</f>
        <v>0</v>
      </c>
      <c r="U24" s="36">
        <f>VLOOKUP($A24,[26]HISTONOV25!$A$6:$AU$51,28,0)</f>
        <v>0</v>
      </c>
      <c r="V24" s="36">
        <f>VLOOKUP($A24,[26]HISTONOV25!$A$6:$AU$51,19,0)</f>
        <v>0</v>
      </c>
      <c r="W24" s="36">
        <f>VLOOKUP($A24,[26]HISTONOV25!$A$6:$AU$51,20,0)</f>
        <v>0</v>
      </c>
      <c r="X24" s="36">
        <f>VLOOKUP($A24,[26]HISTONOV25!$A$6:$AU$51,27,0)</f>
        <v>0</v>
      </c>
      <c r="Y24" s="36">
        <f>VLOOKUP($A24,[26]HISTONOV25!$A$6:$BM$51,33,0)</f>
        <v>0</v>
      </c>
      <c r="Z24" s="36">
        <f>VLOOKUP($A24,[26]HISTONOV25!$A$6:$BM$51,64,0)</f>
        <v>0</v>
      </c>
      <c r="AA24" s="36"/>
      <c r="AB24" s="36">
        <f>VLOOKUP($A24,[26]HISTONOV25!$A$6:$AU$51,44,0)</f>
        <v>0</v>
      </c>
      <c r="AC24" s="36">
        <f>VLOOKUP($A24,[26]HISTONOV25!$A$6:$AU$51,43,0)</f>
        <v>0</v>
      </c>
      <c r="AD24" s="36">
        <f>VLOOKUP($A24,[26]HISTONOV25!$A$6:$BR$51,47,0)</f>
        <v>0</v>
      </c>
      <c r="AE24" s="36">
        <f>VLOOKUP(A24,[26]HISTONOV25!$A$6:$BR$51,54,0)</f>
        <v>0</v>
      </c>
      <c r="AF24" s="36">
        <f>VLOOKUP($A24,[26]HISTONOV25!$A$6:$BR$51,60,0)</f>
        <v>0</v>
      </c>
      <c r="AG24" s="36">
        <f>VLOOKUP($A24,[26]HISTONOV25!$A$6:$CB$51,61,0)</f>
        <v>0</v>
      </c>
      <c r="AH24" s="36">
        <f>VLOOKUP($A24,[26]HISTONOV25!$A$6:$CB$51,62,0)</f>
        <v>0</v>
      </c>
      <c r="AI24" s="36">
        <f>VLOOKUP($A24,[26]HISTONOV25!$A$6:$CB$51,63,0)</f>
        <v>0</v>
      </c>
      <c r="AJ24" s="36">
        <f>VLOOKUP($A24,[26]HISTONOV25!$A$6:$BR$51,64,0)</f>
        <v>0</v>
      </c>
      <c r="AK24" s="36">
        <f>VLOOKUP($A24,[26]HISTONOV25!$A$6:$BR$51,65,0)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VLOOKUP($A25,[26]HISTONOV25!$A$6:$BA$51,48,0)</f>
        <v>0</v>
      </c>
      <c r="F25" s="36">
        <f>VLOOKUP(A25,MVTOCT25!A25:AM60,6,0)+MVTOCT25!H25-E25+L25</f>
        <v>1464478.0763684318</v>
      </c>
      <c r="G25" s="5">
        <f>IF(MVTNOV25!F25&gt;800000,(MVTAVRIL25!I25-E25+L25),0)</f>
        <v>1279279.1644260087</v>
      </c>
      <c r="H25" s="36">
        <f>VLOOKUP(A25,[27]MVTNOV25!$A$6:$AM$42,8,0)</f>
        <v>226.17549928514728</v>
      </c>
      <c r="I25" s="6">
        <f t="shared" si="1"/>
        <v>1464704.2518677169</v>
      </c>
      <c r="J25" s="36">
        <f>VLOOKUP($A25,[26]HISTONOV25!$A$6:$AQ$51,22,0)</f>
        <v>0</v>
      </c>
      <c r="K25" s="36">
        <f>VLOOKUP($A25,[26]HISTONOV25!$A$6:$AU$51,45,0)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VLOOKUP($A25,[26]HISTONOV25!$A$6:$AU$51,8,0)</f>
        <v>0</v>
      </c>
      <c r="Q25" s="36">
        <f>VLOOKUP($A25,[26]HISTONOV25!$A$6:$AU$51,23,0)</f>
        <v>0</v>
      </c>
      <c r="R25" s="36">
        <f>VLOOKUP($A25,[26]HISTONOV25!$A$6:$AU$51,46,0)</f>
        <v>0</v>
      </c>
      <c r="S25" s="36">
        <f>VLOOKUP($A25,[26]HISTONOV25!$A$6:$AU$51,26,0)</f>
        <v>0</v>
      </c>
      <c r="T25" s="36">
        <f>VLOOKUP($A25,[26]HISTONOV25!$A$6:$BG$51,58,0)</f>
        <v>0</v>
      </c>
      <c r="U25" s="36">
        <f>VLOOKUP($A25,[26]HISTONOV25!$A$6:$AU$51,28,0)</f>
        <v>0</v>
      </c>
      <c r="V25" s="36">
        <f>VLOOKUP($A25,[26]HISTONOV25!$A$6:$AU$51,19,0)</f>
        <v>0</v>
      </c>
      <c r="W25" s="36">
        <f>VLOOKUP($A25,[26]HISTONOV25!$A$6:$AU$51,20,0)</f>
        <v>0</v>
      </c>
      <c r="X25" s="36">
        <f>VLOOKUP($A25,[26]HISTONOV25!$A$6:$AU$51,27,0)</f>
        <v>0</v>
      </c>
      <c r="Y25" s="36">
        <f>VLOOKUP($A25,[26]HISTONOV25!$A$6:$BM$51,33,0)</f>
        <v>0</v>
      </c>
      <c r="Z25" s="36">
        <f>VLOOKUP($A25,[26]HISTONOV25!$A$6:$BM$51,64,0)</f>
        <v>0</v>
      </c>
      <c r="AA25" s="36"/>
      <c r="AB25" s="36">
        <f>VLOOKUP($A25,[26]HISTONOV25!$A$6:$AU$51,44,0)</f>
        <v>0</v>
      </c>
      <c r="AC25" s="36">
        <f>VLOOKUP($A25,[26]HISTONOV25!$A$6:$AU$51,43,0)</f>
        <v>0</v>
      </c>
      <c r="AD25" s="36">
        <f>VLOOKUP($A25,[26]HISTONOV25!$A$6:$BR$51,47,0)</f>
        <v>0</v>
      </c>
      <c r="AE25" s="36">
        <f>VLOOKUP(A25,[26]HISTONOV25!$A$6:$BR$51,54,0)</f>
        <v>0</v>
      </c>
      <c r="AF25" s="36">
        <f>VLOOKUP($A25,[26]HISTONOV25!$A$6:$BR$51,60,0)</f>
        <v>0</v>
      </c>
      <c r="AG25" s="36">
        <f>VLOOKUP($A25,[26]HISTONOV25!$A$6:$CB$51,61,0)</f>
        <v>0</v>
      </c>
      <c r="AH25" s="36">
        <f>VLOOKUP($A25,[26]HISTONOV25!$A$6:$CB$51,62,0)</f>
        <v>0</v>
      </c>
      <c r="AI25" s="36">
        <f>VLOOKUP($A25,[26]HISTONOV25!$A$6:$CB$51,63,0)</f>
        <v>0</v>
      </c>
      <c r="AJ25" s="36">
        <f>VLOOKUP($A25,[26]HISTONOV25!$A$6:$BR$51,64,0)</f>
        <v>0</v>
      </c>
      <c r="AK25" s="36">
        <f>VLOOKUP($A25,[26]HISTONOV25!$A$6:$BR$51,65,0)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VLOOKUP($A26,[26]HISTONOV25!$A$6:$BA$51,48,0)</f>
        <v>0</v>
      </c>
      <c r="F26" s="36">
        <f>VLOOKUP(A26,MVTOCT25!A26:AM61,6,0)+MVTOCT25!H26-E26+L26</f>
        <v>1621663.2517913289</v>
      </c>
      <c r="G26" s="5">
        <f>IF(MVTNOV25!F26&gt;800000,(MVTAVRIL25!I26-E26+L26),0)</f>
        <v>1408793.154792679</v>
      </c>
      <c r="H26" s="36">
        <f>VLOOKUP(A26,[27]MVTNOV25!$A$6:$AM$42,8,0)</f>
        <v>250.4513393302619</v>
      </c>
      <c r="I26" s="6">
        <f t="shared" si="1"/>
        <v>1621913.7031306592</v>
      </c>
      <c r="J26" s="36">
        <f>VLOOKUP($A26,[26]HISTONOV25!$A$6:$AQ$51,22,0)</f>
        <v>0</v>
      </c>
      <c r="K26" s="36">
        <f>VLOOKUP($A26,[26]HISTONOV25!$A$6:$AU$51,45,0)</f>
        <v>40000</v>
      </c>
      <c r="L26" s="36">
        <f t="shared" si="2"/>
        <v>34000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VLOOKUP($A26,[26]HISTONOV25!$A$6:$AU$51,8,0)</f>
        <v>0</v>
      </c>
      <c r="Q26" s="36">
        <f>VLOOKUP($A26,[26]HISTONOV25!$A$6:$AU$51,23,0)</f>
        <v>0</v>
      </c>
      <c r="R26" s="36">
        <f>VLOOKUP($A26,[26]HISTONOV25!$A$6:$AU$51,46,0)</f>
        <v>0</v>
      </c>
      <c r="S26" s="36">
        <f>VLOOKUP($A26,[26]HISTONOV25!$A$6:$AU$51,26,0)</f>
        <v>0</v>
      </c>
      <c r="T26" s="36">
        <f>VLOOKUP($A26,[26]HISTONOV25!$A$6:$BG$51,58,0)</f>
        <v>0</v>
      </c>
      <c r="U26" s="36">
        <f>VLOOKUP($A26,[26]HISTONOV25!$A$6:$AU$51,28,0)</f>
        <v>0</v>
      </c>
      <c r="V26" s="36">
        <f>VLOOKUP($A26,[26]HISTONOV25!$A$6:$AU$51,19,0)</f>
        <v>0</v>
      </c>
      <c r="W26" s="36">
        <f>VLOOKUP($A26,[26]HISTONOV25!$A$6:$AU$51,20,0)</f>
        <v>0</v>
      </c>
      <c r="X26" s="36">
        <f>VLOOKUP($A26,[26]HISTONOV25!$A$6:$AU$51,27,0)</f>
        <v>0</v>
      </c>
      <c r="Y26" s="36">
        <f>VLOOKUP($A26,[26]HISTONOV25!$A$6:$BM$51,33,0)</f>
        <v>0</v>
      </c>
      <c r="Z26" s="36">
        <f>VLOOKUP($A26,[26]HISTONOV25!$A$6:$BM$51,64,0)</f>
        <v>0</v>
      </c>
      <c r="AA26" s="36"/>
      <c r="AB26" s="36">
        <f>VLOOKUP($A26,[26]HISTONOV25!$A$6:$AU$51,44,0)</f>
        <v>0</v>
      </c>
      <c r="AC26" s="36">
        <f>VLOOKUP($A26,[26]HISTONOV25!$A$6:$AU$51,43,0)</f>
        <v>0</v>
      </c>
      <c r="AD26" s="36">
        <f>VLOOKUP($A26,[26]HISTONOV25!$A$6:$BR$51,47,0)</f>
        <v>0</v>
      </c>
      <c r="AE26" s="36">
        <f>VLOOKUP(A26,[26]HISTONOV25!$A$6:$BR$51,54,0)</f>
        <v>0</v>
      </c>
      <c r="AF26" s="36">
        <f>VLOOKUP($A26,[26]HISTONOV25!$A$6:$BR$51,60,0)</f>
        <v>0</v>
      </c>
      <c r="AG26" s="36">
        <f>VLOOKUP($A26,[26]HISTONOV25!$A$6:$CB$51,61,0)</f>
        <v>0</v>
      </c>
      <c r="AH26" s="36">
        <f>VLOOKUP($A26,[26]HISTONOV25!$A$6:$CB$51,62,0)</f>
        <v>0</v>
      </c>
      <c r="AI26" s="36">
        <f>VLOOKUP($A26,[26]HISTONOV25!$A$6:$CB$51,63,0)</f>
        <v>0</v>
      </c>
      <c r="AJ26" s="36">
        <f>VLOOKUP($A26,[26]HISTONOV25!$A$6:$BR$51,64,0)</f>
        <v>0</v>
      </c>
      <c r="AK26" s="36">
        <f>VLOOKUP($A26,[26]HISTONOV25!$A$6:$BR$51,65,0)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VLOOKUP($A27,[26]HISTONOV25!$A$6:$BA$51,48,0)</f>
        <v>0</v>
      </c>
      <c r="F27" s="36">
        <f>VLOOKUP(A27,MVTOCT25!A27:AM62,6,0)+MVTOCT25!H27-E27+L27</f>
        <v>1079519.0969157154</v>
      </c>
      <c r="G27" s="5">
        <f>IF(MVTNOV25!F27&gt;800000,(MVTAVRIL25!I27-E27+L27),0)</f>
        <v>965255.99987830815</v>
      </c>
      <c r="H27" s="36">
        <f>VLOOKUP(A27,[27]MVTNOV25!$A$6:$AM$42,8,0)</f>
        <v>166.72203884282493</v>
      </c>
      <c r="I27" s="6">
        <f t="shared" si="1"/>
        <v>1079685.8189545581</v>
      </c>
      <c r="J27" s="36">
        <f>VLOOKUP($A27,[26]HISTONOV25!$A$6:$AQ$51,22,0)</f>
        <v>0</v>
      </c>
      <c r="K27" s="36">
        <f>VLOOKUP($A27,[26]HISTONOV25!$A$6:$AU$51,45,0)</f>
        <v>32500</v>
      </c>
      <c r="L27" s="36">
        <f t="shared" si="2"/>
        <v>26500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VLOOKUP($A27,[26]HISTONOV25!$A$6:$AU$51,8,0)</f>
        <v>0</v>
      </c>
      <c r="Q27" s="36">
        <f>VLOOKUP($A27,[26]HISTONOV25!$A$6:$AU$51,23,0)</f>
        <v>0</v>
      </c>
      <c r="R27" s="36">
        <f>VLOOKUP($A27,[26]HISTONOV25!$A$6:$AU$51,46,0)</f>
        <v>0</v>
      </c>
      <c r="S27" s="36">
        <f>VLOOKUP($A27,[26]HISTONOV25!$A$6:$AU$51,26,0)</f>
        <v>0</v>
      </c>
      <c r="T27" s="36">
        <f>VLOOKUP($A27,[26]HISTONOV25!$A$6:$BG$51,58,0)</f>
        <v>0</v>
      </c>
      <c r="U27" s="36">
        <f>VLOOKUP($A27,[26]HISTONOV25!$A$6:$AU$51,28,0)</f>
        <v>0</v>
      </c>
      <c r="V27" s="36">
        <f>VLOOKUP($A27,[26]HISTONOV25!$A$6:$AU$51,19,0)</f>
        <v>0</v>
      </c>
      <c r="W27" s="36">
        <f>VLOOKUP($A27,[26]HISTONOV25!$A$6:$AU$51,20,0)</f>
        <v>0</v>
      </c>
      <c r="X27" s="36">
        <f>VLOOKUP($A27,[26]HISTONOV25!$A$6:$AU$51,27,0)</f>
        <v>0</v>
      </c>
      <c r="Y27" s="36">
        <f>VLOOKUP($A27,[26]HISTONOV25!$A$6:$BM$51,33,0)</f>
        <v>0</v>
      </c>
      <c r="Z27" s="36">
        <f>VLOOKUP($A27,[26]HISTONOV25!$A$6:$BM$51,64,0)</f>
        <v>0</v>
      </c>
      <c r="AA27" s="36"/>
      <c r="AB27" s="36">
        <f>VLOOKUP($A27,[26]HISTONOV25!$A$6:$AU$51,44,0)</f>
        <v>0</v>
      </c>
      <c r="AC27" s="36">
        <f>VLOOKUP($A27,[26]HISTONOV25!$A$6:$AU$51,43,0)</f>
        <v>0</v>
      </c>
      <c r="AD27" s="36">
        <f>VLOOKUP($A27,[26]HISTONOV25!$A$6:$BR$51,47,0)</f>
        <v>0</v>
      </c>
      <c r="AE27" s="36">
        <f>VLOOKUP(A27,[26]HISTONOV25!$A$6:$BR$51,54,0)</f>
        <v>0</v>
      </c>
      <c r="AF27" s="36">
        <f>VLOOKUP($A27,[26]HISTONOV25!$A$6:$BR$51,60,0)</f>
        <v>0</v>
      </c>
      <c r="AG27" s="36">
        <f>VLOOKUP($A27,[26]HISTONOV25!$A$6:$CB$51,61,0)</f>
        <v>0</v>
      </c>
      <c r="AH27" s="36">
        <f>VLOOKUP($A27,[26]HISTONOV25!$A$6:$CB$51,62,0)</f>
        <v>0</v>
      </c>
      <c r="AI27" s="36">
        <f>VLOOKUP($A27,[26]HISTONOV25!$A$6:$CB$51,63,0)</f>
        <v>0</v>
      </c>
      <c r="AJ27" s="36">
        <f>VLOOKUP($A27,[26]HISTONOV25!$A$6:$BR$51,64,0)</f>
        <v>0</v>
      </c>
      <c r="AK27" s="36">
        <f>VLOOKUP($A27,[26]HISTONOV25!$A$6:$BR$51,65,0)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VLOOKUP($A28,[26]HISTONOV25!$A$6:$BA$51,48,0)</f>
        <v>0</v>
      </c>
      <c r="F28" s="36">
        <f>VLOOKUP(A28,MVTOCT25!A28:AM63,6,0)+MVTOCT25!H28-E28+L28</f>
        <v>1094883.1025174919</v>
      </c>
      <c r="G28" s="5">
        <f>IF(MVTNOV25!F28&gt;800000,(MVTAVRIL25!I28-E28+L28),0)</f>
        <v>972433.62548817939</v>
      </c>
      <c r="H28" s="36">
        <f>VLOOKUP(A28,[27]MVTNOV25!$A$6:$AM$42,8,0)</f>
        <v>169.09487165888095</v>
      </c>
      <c r="I28" s="6">
        <f t="shared" si="1"/>
        <v>1095052.1973891507</v>
      </c>
      <c r="J28" s="36">
        <f>VLOOKUP($A28,[26]HISTONOV25!$A$6:$AQ$51,22,0)</f>
        <v>0</v>
      </c>
      <c r="K28" s="36">
        <f>VLOOKUP($A28,[26]HISTONOV25!$A$6:$AU$51,45,0)</f>
        <v>24000</v>
      </c>
      <c r="L28" s="36">
        <f t="shared" si="2"/>
        <v>18000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VLOOKUP($A28,[26]HISTONOV25!$A$6:$AU$51,8,0)</f>
        <v>0</v>
      </c>
      <c r="Q28" s="36">
        <f>VLOOKUP($A28,[26]HISTONOV25!$A$6:$AU$51,23,0)</f>
        <v>0</v>
      </c>
      <c r="R28" s="36">
        <f>VLOOKUP($A28,[26]HISTONOV25!$A$6:$AU$51,46,0)</f>
        <v>0</v>
      </c>
      <c r="S28" s="36">
        <f>VLOOKUP($A28,[26]HISTONOV25!$A$6:$AU$51,26,0)</f>
        <v>0</v>
      </c>
      <c r="T28" s="36">
        <f>VLOOKUP($A28,[26]HISTONOV25!$A$6:$BG$51,58,0)</f>
        <v>0</v>
      </c>
      <c r="U28" s="36">
        <f>VLOOKUP($A28,[26]HISTONOV25!$A$6:$AU$51,28,0)</f>
        <v>0</v>
      </c>
      <c r="V28" s="36">
        <f>VLOOKUP($A28,[26]HISTONOV25!$A$6:$AU$51,19,0)</f>
        <v>0</v>
      </c>
      <c r="W28" s="36">
        <f>VLOOKUP($A28,[26]HISTONOV25!$A$6:$AU$51,20,0)</f>
        <v>0</v>
      </c>
      <c r="X28" s="36">
        <f>VLOOKUP($A28,[26]HISTONOV25!$A$6:$AU$51,27,0)</f>
        <v>0</v>
      </c>
      <c r="Y28" s="36">
        <f>VLOOKUP($A28,[26]HISTONOV25!$A$6:$BM$51,33,0)</f>
        <v>0</v>
      </c>
      <c r="Z28" s="36">
        <f>VLOOKUP($A28,[26]HISTONOV25!$A$6:$BM$51,64,0)</f>
        <v>0</v>
      </c>
      <c r="AA28" s="36"/>
      <c r="AB28" s="36">
        <f>VLOOKUP($A28,[26]HISTONOV25!$A$6:$AU$51,44,0)</f>
        <v>0</v>
      </c>
      <c r="AC28" s="36">
        <f>VLOOKUP($A28,[26]HISTONOV25!$A$6:$AU$51,43,0)</f>
        <v>0</v>
      </c>
      <c r="AD28" s="36">
        <f>VLOOKUP($A28,[26]HISTONOV25!$A$6:$BR$51,47,0)</f>
        <v>0</v>
      </c>
      <c r="AE28" s="36">
        <f>VLOOKUP(A28,[26]HISTONOV25!$A$6:$BR$51,54,0)</f>
        <v>0</v>
      </c>
      <c r="AF28" s="36">
        <f>VLOOKUP($A28,[26]HISTONOV25!$A$6:$BR$51,60,0)</f>
        <v>0</v>
      </c>
      <c r="AG28" s="36">
        <f>VLOOKUP($A28,[26]HISTONOV25!$A$6:$CB$51,61,0)</f>
        <v>0</v>
      </c>
      <c r="AH28" s="36">
        <f>VLOOKUP($A28,[26]HISTONOV25!$A$6:$CB$51,62,0)</f>
        <v>0</v>
      </c>
      <c r="AI28" s="36">
        <f>VLOOKUP($A28,[26]HISTONOV25!$A$6:$CB$51,63,0)</f>
        <v>0</v>
      </c>
      <c r="AJ28" s="36">
        <f>VLOOKUP($A28,[26]HISTONOV25!$A$6:$BR$51,64,0)</f>
        <v>0</v>
      </c>
      <c r="AK28" s="36">
        <f>VLOOKUP($A28,[26]HISTONOV25!$A$6:$BR$51,65,0)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VLOOKUP($A29,[26]HISTONOV25!$A$6:$BA$51,48,0)</f>
        <v>0</v>
      </c>
      <c r="F29" s="36">
        <f>VLOOKUP(A29,MVTOCT25!A29:AM64,6,0)+MVTOCT25!H29-E29+L29</f>
        <v>1057748.7270719097</v>
      </c>
      <c r="G29" s="5">
        <f>IF(MVTNOV25!F29&gt;800000,(MVTAVRIL25!I29-E29+L29),0)</f>
        <v>935610.21840677003</v>
      </c>
      <c r="H29" s="36">
        <f>VLOOKUP(A29,[27]MVTNOV25!$A$6:$AM$42,8,0)</f>
        <v>163.35980054885519</v>
      </c>
      <c r="I29" s="6">
        <f t="shared" si="1"/>
        <v>1057912.0868724585</v>
      </c>
      <c r="J29" s="36">
        <f>VLOOKUP($A29,[26]HISTONOV25!$A$6:$AQ$51,22,0)</f>
        <v>0</v>
      </c>
      <c r="K29" s="36">
        <f>VLOOKUP($A29,[26]HISTONOV25!$A$6:$AU$51,45,0)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VLOOKUP($A29,[26]HISTONOV25!$A$6:$AU$51,8,0)</f>
        <v>0</v>
      </c>
      <c r="Q29" s="36">
        <f>VLOOKUP($A29,[26]HISTONOV25!$A$6:$AU$51,23,0)</f>
        <v>0</v>
      </c>
      <c r="R29" s="36">
        <f>VLOOKUP($A29,[26]HISTONOV25!$A$6:$AU$51,46,0)</f>
        <v>0</v>
      </c>
      <c r="S29" s="36">
        <f>VLOOKUP($A29,[26]HISTONOV25!$A$6:$AU$51,26,0)</f>
        <v>250000</v>
      </c>
      <c r="T29" s="36">
        <f>VLOOKUP($A29,[26]HISTONOV25!$A$6:$BG$51,58,0)</f>
        <v>2500</v>
      </c>
      <c r="U29" s="36">
        <f>VLOOKUP($A29,[26]HISTONOV25!$A$6:$AU$51,28,0)</f>
        <v>0</v>
      </c>
      <c r="V29" s="36">
        <f>VLOOKUP($A29,[26]HISTONOV25!$A$6:$AU$51,19,0)</f>
        <v>150000</v>
      </c>
      <c r="W29" s="36" t="str">
        <f>VLOOKUP($A29,[26]HISTONOV25!$A$6:$AU$51,20,0)</f>
        <v>BANQUE</v>
      </c>
      <c r="X29" s="36" t="str">
        <f>VLOOKUP($A29,[26]HISTONOV25!$A$6:$AU$51,27,0)</f>
        <v>BANQUE</v>
      </c>
      <c r="Y29" s="36">
        <f>VLOOKUP($A29,[26]HISTONOV25!$A$6:$BM$51,33,0)</f>
        <v>0</v>
      </c>
      <c r="Z29" s="36">
        <f>VLOOKUP($A29,[26]HISTONOV25!$A$6:$BM$51,64,0)</f>
        <v>0</v>
      </c>
      <c r="AA29" s="36"/>
      <c r="AB29" s="36">
        <f>VLOOKUP($A29,[26]HISTONOV25!$A$6:$AU$51,44,0)</f>
        <v>0</v>
      </c>
      <c r="AC29" s="36">
        <f>VLOOKUP($A29,[26]HISTONOV25!$A$6:$AU$51,43,0)</f>
        <v>0</v>
      </c>
      <c r="AD29" s="36">
        <f>VLOOKUP($A29,[26]HISTONOV25!$A$6:$BR$51,47,0)</f>
        <v>0</v>
      </c>
      <c r="AE29" s="36">
        <f>VLOOKUP(A29,[26]HISTONOV25!$A$6:$BR$51,54,0)</f>
        <v>0</v>
      </c>
      <c r="AF29" s="36">
        <f>VLOOKUP($A29,[26]HISTONOV25!$A$6:$BR$51,60,0)</f>
        <v>0</v>
      </c>
      <c r="AG29" s="36">
        <f>VLOOKUP($A29,[26]HISTONOV25!$A$6:$CB$51,61,0)</f>
        <v>0</v>
      </c>
      <c r="AH29" s="36">
        <f>VLOOKUP($A29,[26]HISTONOV25!$A$6:$CB$51,62,0)</f>
        <v>0</v>
      </c>
      <c r="AI29" s="36">
        <f>VLOOKUP($A29,[26]HISTONOV25!$A$6:$CB$51,63,0)</f>
        <v>0</v>
      </c>
      <c r="AJ29" s="36">
        <f>VLOOKUP($A29,[26]HISTONOV25!$A$6:$BR$51,64,0)</f>
        <v>0</v>
      </c>
      <c r="AK29" s="36">
        <f>VLOOKUP($A29,[26]HISTONOV25!$A$6:$BR$51,65,0)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VLOOKUP($A30,[26]HISTONOV25!$A$6:$BA$51,48,0)</f>
        <v>0</v>
      </c>
      <c r="F30" s="36">
        <f>VLOOKUP(A30,MVTOCT25!A30:AM65,6,0)+MVTOCT25!H30-E30+L30</f>
        <v>1220484.6400742326</v>
      </c>
      <c r="G30" s="5">
        <f>IF(MVTNOV25!F30&gt;800000,(MVTAVRIL25!I30-E30+L30),0)</f>
        <v>1097019.0945803211</v>
      </c>
      <c r="H30" s="36">
        <f>VLOOKUP(A30,[27]MVTNOV25!$A$6:$AM$42,8,0)</f>
        <v>188.49290221070953</v>
      </c>
      <c r="I30" s="6">
        <f t="shared" si="1"/>
        <v>1220673.1329764433</v>
      </c>
      <c r="J30" s="36">
        <f>VLOOKUP($A30,[26]HISTONOV25!$A$6:$AQ$51,22,0)</f>
        <v>0</v>
      </c>
      <c r="K30" s="36">
        <f>VLOOKUP($A30,[26]HISTONOV25!$A$6:$AU$51,45,0)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VLOOKUP($A30,[26]HISTONOV25!$A$6:$AU$51,8,0)</f>
        <v>0</v>
      </c>
      <c r="Q30" s="36">
        <f>VLOOKUP($A30,[26]HISTONOV25!$A$6:$AU$51,23,0)</f>
        <v>0</v>
      </c>
      <c r="R30" s="36">
        <f>VLOOKUP($A30,[26]HISTONOV25!$A$6:$AU$51,46,0)</f>
        <v>0</v>
      </c>
      <c r="S30" s="36">
        <f>VLOOKUP($A30,[26]HISTONOV25!$A$6:$AU$51,26,0)</f>
        <v>0</v>
      </c>
      <c r="T30" s="36">
        <f>VLOOKUP($A30,[26]HISTONOV25!$A$6:$BG$51,58,0)</f>
        <v>0</v>
      </c>
      <c r="U30" s="36">
        <f>VLOOKUP($A30,[26]HISTONOV25!$A$6:$AU$51,28,0)</f>
        <v>0</v>
      </c>
      <c r="V30" s="36">
        <f>VLOOKUP($A30,[26]HISTONOV25!$A$6:$AU$51,19,0)</f>
        <v>0</v>
      </c>
      <c r="W30" s="36">
        <f>VLOOKUP($A30,[26]HISTONOV25!$A$6:$AU$51,20,0)</f>
        <v>0</v>
      </c>
      <c r="X30" s="36">
        <f>VLOOKUP($A30,[26]HISTONOV25!$A$6:$AU$51,27,0)</f>
        <v>0</v>
      </c>
      <c r="Y30" s="36">
        <f>VLOOKUP($A30,[26]HISTONOV25!$A$6:$BM$51,33,0)</f>
        <v>0</v>
      </c>
      <c r="Z30" s="36">
        <f>VLOOKUP($A30,[26]HISTONOV25!$A$6:$BM$51,64,0)</f>
        <v>0</v>
      </c>
      <c r="AA30" s="36"/>
      <c r="AB30" s="36">
        <f>VLOOKUP($A30,[26]HISTONOV25!$A$6:$AU$51,44,0)</f>
        <v>0</v>
      </c>
      <c r="AC30" s="36">
        <f>VLOOKUP($A30,[26]HISTONOV25!$A$6:$AU$51,43,0)</f>
        <v>0</v>
      </c>
      <c r="AD30" s="36">
        <f>VLOOKUP($A30,[26]HISTONOV25!$A$6:$BR$51,47,0)</f>
        <v>0</v>
      </c>
      <c r="AE30" s="36">
        <f>VLOOKUP(A30,[26]HISTONOV25!$A$6:$BR$51,54,0)</f>
        <v>0</v>
      </c>
      <c r="AF30" s="36">
        <f>VLOOKUP($A30,[26]HISTONOV25!$A$6:$BR$51,60,0)</f>
        <v>0</v>
      </c>
      <c r="AG30" s="36">
        <f>VLOOKUP($A30,[26]HISTONOV25!$A$6:$CB$51,61,0)</f>
        <v>0</v>
      </c>
      <c r="AH30" s="36">
        <f>VLOOKUP($A30,[26]HISTONOV25!$A$6:$CB$51,62,0)</f>
        <v>0</v>
      </c>
      <c r="AI30" s="36">
        <f>VLOOKUP($A30,[26]HISTONOV25!$A$6:$CB$51,63,0)</f>
        <v>0</v>
      </c>
      <c r="AJ30" s="36">
        <f>VLOOKUP($A30,[26]HISTONOV25!$A$6:$BR$51,64,0)</f>
        <v>0</v>
      </c>
      <c r="AK30" s="36">
        <f>VLOOKUP($A30,[26]HISTONOV25!$A$6:$BR$51,65,0)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VLOOKUP($A31,[26]HISTONOV25!$A$6:$BA$51,48,0)</f>
        <v>0</v>
      </c>
      <c r="F31" s="36">
        <f>VLOOKUP(A31,MVTOCT25!A31:AM66,6,0)+MVTOCT25!H31-E31+L31</f>
        <v>1065514.5846222425</v>
      </c>
      <c r="G31" s="5">
        <f>IF(MVTNOV25!F31&gt;800000,(MVTAVRIL25!I31-E31+L31),0)</f>
        <v>943312.74894595868</v>
      </c>
      <c r="H31" s="36">
        <f>VLOOKUP(A31,[27]MVTNOV25!$A$6:$AM$42,8,0)</f>
        <v>164.55916757057221</v>
      </c>
      <c r="I31" s="6">
        <f t="shared" si="1"/>
        <v>1065679.1437898132</v>
      </c>
      <c r="J31" s="36">
        <f>VLOOKUP($A31,[26]HISTONOV25!$A$6:$AQ$51,22,0)</f>
        <v>0</v>
      </c>
      <c r="K31" s="36">
        <f>VLOOKUP($A31,[26]HISTONOV25!$A$6:$AU$51,45,0)</f>
        <v>25000</v>
      </c>
      <c r="L31" s="36">
        <f t="shared" si="2"/>
        <v>19000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VLOOKUP($A31,[26]HISTONOV25!$A$6:$AU$51,8,0)</f>
        <v>0</v>
      </c>
      <c r="Q31" s="36">
        <f>VLOOKUP($A31,[26]HISTONOV25!$A$6:$AU$51,23,0)</f>
        <v>0</v>
      </c>
      <c r="R31" s="36">
        <f>VLOOKUP($A31,[26]HISTONOV25!$A$6:$AU$51,46,0)</f>
        <v>0</v>
      </c>
      <c r="S31" s="36">
        <f>VLOOKUP($A31,[26]HISTONOV25!$A$6:$AU$51,26,0)</f>
        <v>0</v>
      </c>
      <c r="T31" s="36">
        <f>VLOOKUP($A31,[26]HISTONOV25!$A$6:$BG$51,58,0)</f>
        <v>0</v>
      </c>
      <c r="U31" s="36">
        <f>VLOOKUP($A31,[26]HISTONOV25!$A$6:$AU$51,28,0)</f>
        <v>0</v>
      </c>
      <c r="V31" s="36">
        <f>VLOOKUP($A31,[26]HISTONOV25!$A$6:$AU$51,19,0)</f>
        <v>0</v>
      </c>
      <c r="W31" s="36">
        <f>VLOOKUP($A31,[26]HISTONOV25!$A$6:$AU$51,20,0)</f>
        <v>0</v>
      </c>
      <c r="X31" s="36">
        <f>VLOOKUP($A31,[26]HISTONOV25!$A$6:$AU$51,27,0)</f>
        <v>0</v>
      </c>
      <c r="Y31" s="36">
        <f>VLOOKUP($A31,[26]HISTONOV25!$A$6:$BM$51,33,0)</f>
        <v>0</v>
      </c>
      <c r="Z31" s="36">
        <f>VLOOKUP($A31,[26]HISTONOV25!$A$6:$BM$51,64,0)</f>
        <v>0</v>
      </c>
      <c r="AA31" s="36"/>
      <c r="AB31" s="36">
        <f>VLOOKUP($A31,[26]HISTONOV25!$A$6:$AU$51,44,0)</f>
        <v>0</v>
      </c>
      <c r="AC31" s="36">
        <f>VLOOKUP($A31,[26]HISTONOV25!$A$6:$AU$51,43,0)</f>
        <v>0</v>
      </c>
      <c r="AD31" s="36">
        <f>VLOOKUP($A31,[26]HISTONOV25!$A$6:$BR$51,47,0)</f>
        <v>0</v>
      </c>
      <c r="AE31" s="36">
        <f>VLOOKUP(A31,[26]HISTONOV25!$A$6:$BR$51,54,0)</f>
        <v>0</v>
      </c>
      <c r="AF31" s="36">
        <f>VLOOKUP($A31,[26]HISTONOV25!$A$6:$BR$51,60,0)</f>
        <v>0</v>
      </c>
      <c r="AG31" s="36">
        <f>VLOOKUP($A31,[26]HISTONOV25!$A$6:$CB$51,61,0)</f>
        <v>0</v>
      </c>
      <c r="AH31" s="36">
        <f>VLOOKUP($A31,[26]HISTONOV25!$A$6:$CB$51,62,0)</f>
        <v>0</v>
      </c>
      <c r="AI31" s="36">
        <f>VLOOKUP($A31,[26]HISTONOV25!$A$6:$CB$51,63,0)</f>
        <v>0</v>
      </c>
      <c r="AJ31" s="36">
        <f>VLOOKUP($A31,[26]HISTONOV25!$A$6:$BR$51,64,0)</f>
        <v>0</v>
      </c>
      <c r="AK31" s="36">
        <f>VLOOKUP($A31,[26]HISTONOV25!$A$6:$BR$51,65,0)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VLOOKUP($A32,[26]HISTONOV25!$A$6:$BA$51,48,0)</f>
        <v>0</v>
      </c>
      <c r="F32" s="36">
        <f>VLOOKUP(A32,MVTOCT25!A32:AM67,6,0)+MVTOCT25!H32-E32+L32</f>
        <v>1161839.5481639199</v>
      </c>
      <c r="G32" s="5">
        <f>IF(MVTNOV25!F32&gt;800000,(MVTAVRIL25!I32-E32+L32),0)</f>
        <v>1038852.2265319447</v>
      </c>
      <c r="H32" s="36">
        <f>VLOOKUP(A32,[27]MVTNOV25!$A$6:$AM$42,8,0)</f>
        <v>179.43569394144669</v>
      </c>
      <c r="I32" s="6">
        <f t="shared" si="1"/>
        <v>1162018.9838578615</v>
      </c>
      <c r="J32" s="36">
        <f>VLOOKUP($A32,[26]HISTONOV25!$A$6:$AQ$51,22,0)</f>
        <v>0</v>
      </c>
      <c r="K32" s="36">
        <f>VLOOKUP($A32,[26]HISTONOV25!$A$6:$AU$51,45,0)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VLOOKUP($A32,[26]HISTONOV25!$A$6:$AU$51,8,0)</f>
        <v>0</v>
      </c>
      <c r="Q32" s="36">
        <f>VLOOKUP($A32,[26]HISTONOV25!$A$6:$AU$51,23,0)</f>
        <v>0</v>
      </c>
      <c r="R32" s="36">
        <f>VLOOKUP($A32,[26]HISTONOV25!$A$6:$AU$51,46,0)</f>
        <v>0</v>
      </c>
      <c r="S32" s="36">
        <f>VLOOKUP($A32,[26]HISTONOV25!$A$6:$AU$51,26,0)</f>
        <v>0</v>
      </c>
      <c r="T32" s="36">
        <f>VLOOKUP($A32,[26]HISTONOV25!$A$6:$BG$51,58,0)</f>
        <v>0</v>
      </c>
      <c r="U32" s="36">
        <f>VLOOKUP($A32,[26]HISTONOV25!$A$6:$AU$51,28,0)</f>
        <v>0</v>
      </c>
      <c r="V32" s="36">
        <f>VLOOKUP($A32,[26]HISTONOV25!$A$6:$AU$51,19,0)</f>
        <v>0</v>
      </c>
      <c r="W32" s="36">
        <f>VLOOKUP($A32,[26]HISTONOV25!$A$6:$AU$51,20,0)</f>
        <v>0</v>
      </c>
      <c r="X32" s="36">
        <f>VLOOKUP($A32,[26]HISTONOV25!$A$6:$AU$51,27,0)</f>
        <v>0</v>
      </c>
      <c r="Y32" s="36">
        <f>VLOOKUP($A32,[26]HISTONOV25!$A$6:$BM$51,33,0)</f>
        <v>0</v>
      </c>
      <c r="Z32" s="36">
        <f>VLOOKUP($A32,[26]HISTONOV25!$A$6:$BM$51,64,0)</f>
        <v>0</v>
      </c>
      <c r="AA32" s="36"/>
      <c r="AB32" s="36">
        <f>VLOOKUP($A32,[26]HISTONOV25!$A$6:$AU$51,44,0)</f>
        <v>0</v>
      </c>
      <c r="AC32" s="36">
        <f>VLOOKUP($A32,[26]HISTONOV25!$A$6:$AU$51,43,0)</f>
        <v>0</v>
      </c>
      <c r="AD32" s="36">
        <f>VLOOKUP($A32,[26]HISTONOV25!$A$6:$BR$51,47,0)</f>
        <v>0</v>
      </c>
      <c r="AE32" s="36">
        <f>VLOOKUP(A32,[26]HISTONOV25!$A$6:$BR$51,54,0)</f>
        <v>0</v>
      </c>
      <c r="AF32" s="36">
        <f>VLOOKUP($A32,[26]HISTONOV25!$A$6:$BR$51,60,0)</f>
        <v>0</v>
      </c>
      <c r="AG32" s="36">
        <f>VLOOKUP($A32,[26]HISTONOV25!$A$6:$CB$51,61,0)</f>
        <v>0</v>
      </c>
      <c r="AH32" s="36">
        <f>VLOOKUP($A32,[26]HISTONOV25!$A$6:$CB$51,62,0)</f>
        <v>0</v>
      </c>
      <c r="AI32" s="36">
        <f>VLOOKUP($A32,[26]HISTONOV25!$A$6:$CB$51,63,0)</f>
        <v>0</v>
      </c>
      <c r="AJ32" s="36">
        <f>VLOOKUP($A32,[26]HISTONOV25!$A$6:$BR$51,64,0)</f>
        <v>0</v>
      </c>
      <c r="AK32" s="36">
        <f>VLOOKUP($A32,[26]HISTONOV25!$A$6:$BR$51,65,0)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VLOOKUP($A33,[26]HISTONOV25!$A$6:$BA$51,48,0)</f>
        <v>0</v>
      </c>
      <c r="F33" s="36">
        <f>VLOOKUP(A33,MVTOCT25!A33:AM68,6,0)+MVTOCT25!H33-E33+L33</f>
        <v>194000</v>
      </c>
      <c r="G33" s="5">
        <f>IF(MVTNOV25!F33&gt;800000,(MVTAVRIL25!I33-E33+L33),0)</f>
        <v>0</v>
      </c>
      <c r="H33" s="36">
        <f>VLOOKUP(A33,[27]MVTNOV25!$A$6:$AM$42,8,0)</f>
        <v>0</v>
      </c>
      <c r="I33" s="6">
        <f t="shared" si="1"/>
        <v>194000</v>
      </c>
      <c r="J33" s="36">
        <f>VLOOKUP($A33,[26]HISTONOV25!$A$6:$AQ$51,22,0)</f>
        <v>0</v>
      </c>
      <c r="K33" s="36">
        <f>VLOOKUP($A33,[26]HISTONOV25!$A$6:$AU$51,45,0)</f>
        <v>22000</v>
      </c>
      <c r="L33" s="36">
        <f t="shared" si="2"/>
        <v>16000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VLOOKUP($A33,[26]HISTONOV25!$A$6:$AU$51,8,0)</f>
        <v>3000</v>
      </c>
      <c r="Q33" s="36">
        <f>VLOOKUP($A33,[26]HISTONOV25!$A$6:$AU$51,23,0)</f>
        <v>0</v>
      </c>
      <c r="R33" s="36">
        <f>VLOOKUP($A33,[26]HISTONOV25!$A$6:$AU$51,46,0)</f>
        <v>0</v>
      </c>
      <c r="S33" s="36">
        <f>VLOOKUP($A33,[26]HISTONOV25!$A$6:$AU$51,26,0)</f>
        <v>0</v>
      </c>
      <c r="T33" s="36">
        <f>VLOOKUP($A33,[26]HISTONOV25!$A$6:$BG$51,58,0)</f>
        <v>0</v>
      </c>
      <c r="U33" s="36">
        <f>VLOOKUP($A33,[26]HISTONOV25!$A$6:$AU$51,28,0)</f>
        <v>0</v>
      </c>
      <c r="V33" s="36">
        <f>VLOOKUP($A33,[26]HISTONOV25!$A$6:$AU$51,19,0)</f>
        <v>0</v>
      </c>
      <c r="W33" s="36">
        <f>VLOOKUP($A33,[26]HISTONOV25!$A$6:$AU$51,20,0)</f>
        <v>0</v>
      </c>
      <c r="X33" s="36">
        <f>VLOOKUP($A33,[26]HISTONOV25!$A$6:$AU$51,27,0)</f>
        <v>0</v>
      </c>
      <c r="Y33" s="36">
        <f>VLOOKUP($A33,[26]HISTONOV25!$A$6:$BM$51,33,0)</f>
        <v>0</v>
      </c>
      <c r="Z33" s="36">
        <f>VLOOKUP($A33,[26]HISTONOV25!$A$6:$BM$51,64,0)</f>
        <v>0</v>
      </c>
      <c r="AA33" s="36"/>
      <c r="AB33" s="36">
        <f>VLOOKUP($A33,[26]HISTONOV25!$A$6:$AU$51,44,0)</f>
        <v>0</v>
      </c>
      <c r="AC33" s="36">
        <f>VLOOKUP($A33,[26]HISTONOV25!$A$6:$AU$51,43,0)</f>
        <v>0</v>
      </c>
      <c r="AD33" s="36">
        <f>VLOOKUP($A33,[26]HISTONOV25!$A$6:$BR$51,47,0)</f>
        <v>0</v>
      </c>
      <c r="AE33" s="36">
        <f>VLOOKUP(A33,[26]HISTONOV25!$A$6:$BR$51,54,0)</f>
        <v>0</v>
      </c>
      <c r="AF33" s="36">
        <f>VLOOKUP($A33,[26]HISTONOV25!$A$6:$BR$51,60,0)</f>
        <v>0</v>
      </c>
      <c r="AG33" s="36">
        <f>VLOOKUP($A33,[26]HISTONOV25!$A$6:$CB$51,61,0)</f>
        <v>0</v>
      </c>
      <c r="AH33" s="36">
        <f>VLOOKUP($A33,[26]HISTONOV25!$A$6:$CB$51,62,0)</f>
        <v>0</v>
      </c>
      <c r="AI33" s="36">
        <f>VLOOKUP($A33,[26]HISTONOV25!$A$6:$CB$51,63,0)</f>
        <v>0</v>
      </c>
      <c r="AJ33" s="36">
        <f>VLOOKUP($A33,[26]HISTONOV25!$A$6:$BR$51,64,0)</f>
        <v>0</v>
      </c>
      <c r="AK33" s="36">
        <f>VLOOKUP($A33,[26]HISTONOV25!$A$6:$BR$51,65,0)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VLOOKUP($A34,[26]HISTONOV25!$A$6:$BA$51,48,0)</f>
        <v>0</v>
      </c>
      <c r="F34" s="36">
        <f>VLOOKUP(A34,MVTOCT25!A34:AM69,6,0)+MVTOCT25!H34-E34+L34</f>
        <v>1074694.812528702</v>
      </c>
      <c r="G34" s="5">
        <f>IF(MVTNOV25!F34&gt;800000,(MVTAVRIL25!I34-E34+L34),0)</f>
        <v>985087.8813039019</v>
      </c>
      <c r="H34" s="36">
        <f>VLOOKUP(A34,[27]MVTNOV25!$A$6:$AM$42,8,0)</f>
        <v>165.97697140376019</v>
      </c>
      <c r="I34" s="6">
        <f t="shared" si="1"/>
        <v>1074860.7895001057</v>
      </c>
      <c r="J34" s="36">
        <f>VLOOKUP($A34,[26]HISTONOV25!$A$6:$AQ$51,22,0)</f>
        <v>0</v>
      </c>
      <c r="K34" s="36">
        <f>VLOOKUP($A34,[26]HISTONOV25!$A$6:$AU$51,45,0)</f>
        <v>0</v>
      </c>
      <c r="L34" s="36">
        <f t="shared" si="2"/>
        <v>0</v>
      </c>
      <c r="M34" s="36">
        <f t="shared" si="3"/>
        <v>0</v>
      </c>
      <c r="N34" s="36">
        <f t="shared" si="0"/>
        <v>0</v>
      </c>
      <c r="O34" s="36">
        <f t="shared" si="4"/>
        <v>0</v>
      </c>
      <c r="P34" s="36">
        <f>VLOOKUP($A34,[26]HISTONOV25!$A$6:$AU$51,8,0)</f>
        <v>0</v>
      </c>
      <c r="Q34" s="36">
        <f>VLOOKUP($A34,[26]HISTONOV25!$A$6:$AU$51,23,0)</f>
        <v>0</v>
      </c>
      <c r="R34" s="36">
        <f>VLOOKUP($A34,[26]HISTONOV25!$A$6:$AU$51,46,0)</f>
        <v>0</v>
      </c>
      <c r="S34" s="36">
        <f>VLOOKUP($A34,[26]HISTONOV25!$A$6:$AU$51,26,0)</f>
        <v>0</v>
      </c>
      <c r="T34" s="36">
        <f>VLOOKUP($A34,[26]HISTONOV25!$A$6:$BG$51,58,0)</f>
        <v>0</v>
      </c>
      <c r="U34" s="36">
        <f>VLOOKUP($A34,[26]HISTONOV25!$A$6:$AU$51,28,0)</f>
        <v>0</v>
      </c>
      <c r="V34" s="36">
        <f>VLOOKUP($A34,[26]HISTONOV25!$A$6:$AU$51,19,0)</f>
        <v>0</v>
      </c>
      <c r="W34" s="36">
        <f>VLOOKUP($A34,[26]HISTONOV25!$A$6:$AU$51,20,0)</f>
        <v>0</v>
      </c>
      <c r="X34" s="36">
        <f>VLOOKUP($A34,[26]HISTONOV25!$A$6:$AU$51,27,0)</f>
        <v>0</v>
      </c>
      <c r="Y34" s="36">
        <f>VLOOKUP($A34,[26]HISTONOV25!$A$6:$BM$51,33,0)</f>
        <v>0</v>
      </c>
      <c r="Z34" s="36">
        <f>VLOOKUP($A34,[26]HISTONOV25!$A$6:$BM$51,64,0)</f>
        <v>0</v>
      </c>
      <c r="AA34" s="36"/>
      <c r="AB34" s="36">
        <f>VLOOKUP($A34,[26]HISTONOV25!$A$6:$AU$51,44,0)</f>
        <v>0</v>
      </c>
      <c r="AC34" s="36">
        <f>VLOOKUP($A34,[26]HISTONOV25!$A$6:$AU$51,43,0)</f>
        <v>0</v>
      </c>
      <c r="AD34" s="36">
        <f>VLOOKUP($A34,[26]HISTONOV25!$A$6:$BR$51,47,0)</f>
        <v>0</v>
      </c>
      <c r="AE34" s="36">
        <f>VLOOKUP(A34,[26]HISTONOV25!$A$6:$BR$51,54,0)</f>
        <v>0</v>
      </c>
      <c r="AF34" s="36">
        <f>VLOOKUP($A34,[26]HISTONOV25!$A$6:$BR$51,60,0)</f>
        <v>0</v>
      </c>
      <c r="AG34" s="36">
        <f>VLOOKUP($A34,[26]HISTONOV25!$A$6:$CB$51,61,0)</f>
        <v>0</v>
      </c>
      <c r="AH34" s="36">
        <f>VLOOKUP($A34,[26]HISTONOV25!$A$6:$CB$51,62,0)</f>
        <v>0</v>
      </c>
      <c r="AI34" s="36">
        <f>VLOOKUP($A34,[26]HISTONOV25!$A$6:$CB$51,63,0)</f>
        <v>0</v>
      </c>
      <c r="AJ34" s="36">
        <f>VLOOKUP($A34,[26]HISTONOV25!$A$6:$BR$51,64,0)</f>
        <v>0</v>
      </c>
      <c r="AK34" s="36">
        <f>VLOOKUP($A34,[26]HISTONOV25!$A$6:$BR$51,65,0)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VLOOKUP($A35,[26]HISTONOV25!$A$6:$BA$51,48,0)</f>
        <v>0</v>
      </c>
      <c r="F35" s="36">
        <f>VLOOKUP(A35,MVTOCT25!A35:AM70,6,0)+MVTOCT25!H35-E35+L35</f>
        <v>1082844.4925809156</v>
      </c>
      <c r="G35" s="5">
        <f>IF(MVTNOV25!F35&gt;800000,(MVTAVRIL25!I35-E35+L35),0)</f>
        <v>960501.3394432544</v>
      </c>
      <c r="H35" s="36">
        <f>VLOOKUP(A35,[27]MVTNOV25!$A$6:$AM$42,8,0)</f>
        <v>167.23561636715525</v>
      </c>
      <c r="I35" s="6">
        <f t="shared" si="1"/>
        <v>1083011.7281972826</v>
      </c>
      <c r="J35" s="36">
        <f>VLOOKUP($A35,[26]HISTONOV25!$A$6:$AQ$51,22,0)</f>
        <v>0</v>
      </c>
      <c r="K35" s="36">
        <f>VLOOKUP($A35,[26]HISTONOV25!$A$6:$AU$51,45,0)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VLOOKUP($A35,[26]HISTONOV25!$A$6:$AU$51,8,0)</f>
        <v>0</v>
      </c>
      <c r="Q35" s="36">
        <f>VLOOKUP($A35,[26]HISTONOV25!$A$6:$AU$51,23,0)</f>
        <v>0</v>
      </c>
      <c r="R35" s="36">
        <f>VLOOKUP($A35,[26]HISTONOV25!$A$6:$AU$51,46,0)</f>
        <v>0</v>
      </c>
      <c r="S35" s="36">
        <f>VLOOKUP($A35,[26]HISTONOV25!$A$6:$AU$51,26,0)</f>
        <v>0</v>
      </c>
      <c r="T35" s="36">
        <f>VLOOKUP($A35,[26]HISTONOV25!$A$6:$BG$51,58,0)</f>
        <v>0</v>
      </c>
      <c r="U35" s="36">
        <f>VLOOKUP($A35,[26]HISTONOV25!$A$6:$AU$51,28,0)</f>
        <v>0</v>
      </c>
      <c r="V35" s="36">
        <f>VLOOKUP($A35,[26]HISTONOV25!$A$6:$AU$51,19,0)</f>
        <v>0</v>
      </c>
      <c r="W35" s="36">
        <f>VLOOKUP($A35,[26]HISTONOV25!$A$6:$AU$51,20,0)</f>
        <v>0</v>
      </c>
      <c r="X35" s="36">
        <f>VLOOKUP($A35,[26]HISTONOV25!$A$6:$AU$51,27,0)</f>
        <v>0</v>
      </c>
      <c r="Y35" s="36">
        <f>VLOOKUP($A35,[26]HISTONOV25!$A$6:$BM$51,33,0)</f>
        <v>0</v>
      </c>
      <c r="Z35" s="36">
        <f>VLOOKUP($A35,[26]HISTONOV25!$A$6:$BM$51,64,0)</f>
        <v>0</v>
      </c>
      <c r="AA35" s="36"/>
      <c r="AB35" s="36">
        <f>VLOOKUP($A35,[26]HISTONOV25!$A$6:$AU$51,44,0)</f>
        <v>0</v>
      </c>
      <c r="AC35" s="36">
        <f>VLOOKUP($A35,[26]HISTONOV25!$A$6:$AU$51,43,0)</f>
        <v>0</v>
      </c>
      <c r="AD35" s="36">
        <f>VLOOKUP($A35,[26]HISTONOV25!$A$6:$BR$51,47,0)</f>
        <v>0</v>
      </c>
      <c r="AE35" s="36">
        <f>VLOOKUP(A35,[26]HISTONOV25!$A$6:$BR$51,54,0)</f>
        <v>0</v>
      </c>
      <c r="AF35" s="36">
        <f>VLOOKUP($A35,[26]HISTONOV25!$A$6:$BR$51,60,0)</f>
        <v>0</v>
      </c>
      <c r="AG35" s="36">
        <f>VLOOKUP($A35,[26]HISTONOV25!$A$6:$CB$51,61,0)</f>
        <v>0</v>
      </c>
      <c r="AH35" s="36">
        <f>VLOOKUP($A35,[26]HISTONOV25!$A$6:$CB$51,62,0)</f>
        <v>0</v>
      </c>
      <c r="AI35" s="36">
        <f>VLOOKUP($A35,[26]HISTONOV25!$A$6:$CB$51,63,0)</f>
        <v>0</v>
      </c>
      <c r="AJ35" s="36">
        <f>VLOOKUP($A35,[26]HISTONOV25!$A$6:$BR$51,64,0)</f>
        <v>0</v>
      </c>
      <c r="AK35" s="36">
        <f>VLOOKUP($A35,[26]HISTONOV25!$A$6:$BR$51,65,0)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VLOOKUP($A36,[26]HISTONOV25!$A$6:$BA$51,48,0)</f>
        <v>0</v>
      </c>
      <c r="F36" s="36">
        <f>VLOOKUP(A36,MVTOCT25!A36:AM71,6,0)+MVTOCT25!H36-E36+L36</f>
        <v>1072634.9093185593</v>
      </c>
      <c r="G36" s="5">
        <f>IF(MVTNOV25!F36&gt;800000,(MVTAVRIL25!I36-E36+L36),0)</f>
        <v>950375.01065586659</v>
      </c>
      <c r="H36" s="36">
        <f>VLOOKUP(A36,[27]MVTNOV25!$A$6:$AM$42,8,0)</f>
        <v>165.65883783484503</v>
      </c>
      <c r="I36" s="6">
        <f t="shared" si="1"/>
        <v>1072800.5681563942</v>
      </c>
      <c r="J36" s="36">
        <f>VLOOKUP($A36,[26]HISTONOV25!$A$6:$AQ$51,22,0)</f>
        <v>0</v>
      </c>
      <c r="K36" s="36">
        <f>VLOOKUP($A36,[26]HISTONOV25!$A$6:$AU$51,45,0)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VLOOKUP($A36,[26]HISTONOV25!$A$6:$AU$51,8,0)</f>
        <v>0</v>
      </c>
      <c r="Q36" s="36">
        <f>VLOOKUP($A36,[26]HISTONOV25!$A$6:$AU$51,23,0)</f>
        <v>0</v>
      </c>
      <c r="R36" s="36">
        <f>VLOOKUP($A36,[26]HISTONOV25!$A$6:$AU$51,46,0)</f>
        <v>0</v>
      </c>
      <c r="S36" s="36">
        <f>VLOOKUP($A36,[26]HISTONOV25!$A$6:$AU$51,26,0)</f>
        <v>0</v>
      </c>
      <c r="T36" s="36">
        <f>VLOOKUP($A36,[26]HISTONOV25!$A$6:$BG$51,58,0)</f>
        <v>0</v>
      </c>
      <c r="U36" s="36">
        <f>VLOOKUP($A36,[26]HISTONOV25!$A$6:$AU$51,28,0)</f>
        <v>0</v>
      </c>
      <c r="V36" s="36">
        <f>VLOOKUP($A36,[26]HISTONOV25!$A$6:$AU$51,19,0)</f>
        <v>0</v>
      </c>
      <c r="W36" s="36">
        <f>VLOOKUP($A36,[26]HISTONOV25!$A$6:$AU$51,20,0)</f>
        <v>0</v>
      </c>
      <c r="X36" s="36">
        <f>VLOOKUP($A36,[26]HISTONOV25!$A$6:$AU$51,27,0)</f>
        <v>0</v>
      </c>
      <c r="Y36" s="36">
        <f>VLOOKUP($A36,[26]HISTONOV25!$A$6:$BM$51,33,0)</f>
        <v>0</v>
      </c>
      <c r="Z36" s="36">
        <f>VLOOKUP($A36,[26]HISTONOV25!$A$6:$BM$51,64,0)</f>
        <v>0</v>
      </c>
      <c r="AA36" s="36"/>
      <c r="AB36" s="36">
        <f>VLOOKUP($A36,[26]HISTONOV25!$A$6:$AU$51,44,0)</f>
        <v>0</v>
      </c>
      <c r="AC36" s="36">
        <f>VLOOKUP($A36,[26]HISTONOV25!$A$6:$AU$51,43,0)</f>
        <v>0</v>
      </c>
      <c r="AD36" s="36">
        <f>VLOOKUP($A36,[26]HISTONOV25!$A$6:$BR$51,47,0)</f>
        <v>0</v>
      </c>
      <c r="AE36" s="36">
        <f>VLOOKUP(A36,[26]HISTONOV25!$A$6:$BR$51,54,0)</f>
        <v>0</v>
      </c>
      <c r="AF36" s="36">
        <f>VLOOKUP($A36,[26]HISTONOV25!$A$6:$BR$51,60,0)</f>
        <v>0</v>
      </c>
      <c r="AG36" s="36">
        <f>VLOOKUP($A36,[26]HISTONOV25!$A$6:$CB$51,61,0)</f>
        <v>0</v>
      </c>
      <c r="AH36" s="36">
        <f>VLOOKUP($A36,[26]HISTONOV25!$A$6:$CB$51,62,0)</f>
        <v>0</v>
      </c>
      <c r="AI36" s="36">
        <f>VLOOKUP($A36,[26]HISTONOV25!$A$6:$CB$51,63,0)</f>
        <v>0</v>
      </c>
      <c r="AJ36" s="36">
        <f>VLOOKUP($A36,[26]HISTONOV25!$A$6:$BR$51,64,0)</f>
        <v>0</v>
      </c>
      <c r="AK36" s="36">
        <f>VLOOKUP($A36,[26]HISTONOV25!$A$6:$BR$51,65,0)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VLOOKUP($A37,[26]HISTONOV25!$A$6:$BA$51,48,0)</f>
        <v>0</v>
      </c>
      <c r="F37" s="36">
        <f>VLOOKUP(A37,MVTOCT25!A37:AM72,6,0)+MVTOCT25!H37-E37+L37</f>
        <v>911250</v>
      </c>
      <c r="G37" s="5">
        <f>IF(MVTNOV25!F37&gt;800000,(MVTAVRIL25!I37-E37+L37),0)</f>
        <v>797250</v>
      </c>
      <c r="H37" s="36">
        <f>VLOOKUP(A37,[27]MVTNOV25!$A$6:$AM$42,8,0)</f>
        <v>0</v>
      </c>
      <c r="I37" s="6">
        <f t="shared" si="1"/>
        <v>911250</v>
      </c>
      <c r="J37" s="36">
        <f>VLOOKUP($A37,[26]HISTONOV25!$A$6:$AQ$51,22,0)</f>
        <v>0</v>
      </c>
      <c r="K37" s="36">
        <f>VLOOKUP($A37,[26]HISTONOV25!$A$6:$AU$51,45,0)</f>
        <v>242500</v>
      </c>
      <c r="L37" s="36">
        <f t="shared" si="2"/>
        <v>236500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VLOOKUP($A37,[26]HISTONOV25!$A$6:$AU$51,8,0)</f>
        <v>0</v>
      </c>
      <c r="Q37" s="36">
        <f>VLOOKUP($A37,[26]HISTONOV25!$A$6:$AU$51,23,0)</f>
        <v>0</v>
      </c>
      <c r="R37" s="36">
        <f>VLOOKUP($A37,[26]HISTONOV25!$A$6:$AU$51,46,0)</f>
        <v>0</v>
      </c>
      <c r="S37" s="36">
        <f>VLOOKUP($A37,[26]HISTONOV25!$A$6:$AU$51,26,0)</f>
        <v>0</v>
      </c>
      <c r="T37" s="36">
        <f>VLOOKUP($A37,[26]HISTONOV25!$A$6:$BG$51,58,0)</f>
        <v>0</v>
      </c>
      <c r="U37" s="36">
        <f>VLOOKUP($A37,[26]HISTONOV25!$A$6:$AU$51,28,0)</f>
        <v>0</v>
      </c>
      <c r="V37" s="36">
        <f>VLOOKUP($A37,[26]HISTONOV25!$A$6:$AU$51,19,0)</f>
        <v>0</v>
      </c>
      <c r="W37" s="36">
        <f>VLOOKUP($A37,[26]HISTONOV25!$A$6:$AU$51,20,0)</f>
        <v>0</v>
      </c>
      <c r="X37" s="36">
        <f>VLOOKUP($A37,[26]HISTONOV25!$A$6:$AU$51,27,0)</f>
        <v>0</v>
      </c>
      <c r="Y37" s="36">
        <f>VLOOKUP($A37,[26]HISTONOV25!$A$6:$BM$51,33,0)</f>
        <v>0</v>
      </c>
      <c r="Z37" s="36">
        <f>VLOOKUP($A37,[26]HISTONOV25!$A$6:$BM$51,64,0)</f>
        <v>0</v>
      </c>
      <c r="AA37" s="36"/>
      <c r="AB37" s="36">
        <f>VLOOKUP($A37,[26]HISTONOV25!$A$6:$AU$51,44,0)</f>
        <v>0</v>
      </c>
      <c r="AC37" s="36">
        <f>VLOOKUP($A37,[26]HISTONOV25!$A$6:$AU$51,43,0)</f>
        <v>0</v>
      </c>
      <c r="AD37" s="36">
        <f>VLOOKUP($A37,[26]HISTONOV25!$A$6:$BR$51,47,0)</f>
        <v>0</v>
      </c>
      <c r="AE37" s="36">
        <f>VLOOKUP(A37,[26]HISTONOV25!$A$6:$BR$51,54,0)</f>
        <v>0</v>
      </c>
      <c r="AF37" s="36">
        <f>VLOOKUP($A37,[26]HISTONOV25!$A$6:$BR$51,60,0)</f>
        <v>0</v>
      </c>
      <c r="AG37" s="36">
        <f>VLOOKUP($A37,[26]HISTONOV25!$A$6:$CB$51,61,0)</f>
        <v>0</v>
      </c>
      <c r="AH37" s="36">
        <f>VLOOKUP($A37,[26]HISTONOV25!$A$6:$CB$51,62,0)</f>
        <v>0</v>
      </c>
      <c r="AI37" s="36">
        <f>VLOOKUP($A37,[26]HISTONOV25!$A$6:$CB$51,63,0)</f>
        <v>0</v>
      </c>
      <c r="AJ37" s="36">
        <f>VLOOKUP($A37,[26]HISTONOV25!$A$6:$BR$51,64,0)</f>
        <v>0</v>
      </c>
      <c r="AK37" s="36">
        <f>VLOOKUP($A37,[26]HISTONOV25!$A$6:$BR$51,65,0)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VLOOKUP($A38,[26]HISTONOV25!$A$6:$BA$51,48,0)</f>
        <v>0</v>
      </c>
      <c r="F38" s="36">
        <f>VLOOKUP(A38,MVTOCT25!A38:AM73,6,0)+MVTOCT25!H38-E38+L38</f>
        <v>191000</v>
      </c>
      <c r="G38" s="5">
        <f>IF(MVTNOV25!F38&gt;800000,(MVTAVRIL25!I38-E38+L38),0)</f>
        <v>0</v>
      </c>
      <c r="H38" s="36">
        <f>VLOOKUP(A38,[27]MVTNOV25!$A$6:$AM$42,8,0)</f>
        <v>0</v>
      </c>
      <c r="I38" s="6">
        <f t="shared" si="1"/>
        <v>191000</v>
      </c>
      <c r="J38" s="36">
        <f>VLOOKUP($A38,[26]HISTONOV25!$A$6:$AQ$51,22,0)</f>
        <v>0</v>
      </c>
      <c r="K38" s="36">
        <f>VLOOKUP($A38,[26]HISTONOV25!$A$6:$AU$51,45,0)</f>
        <v>22000</v>
      </c>
      <c r="L38" s="36">
        <f t="shared" si="2"/>
        <v>16000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VLOOKUP($A38,[26]HISTONOV25!$A$6:$AU$51,8,0)</f>
        <v>3000</v>
      </c>
      <c r="Q38" s="36">
        <f>VLOOKUP($A38,[26]HISTONOV25!$A$6:$AU$51,23,0)</f>
        <v>0</v>
      </c>
      <c r="R38" s="36">
        <f>VLOOKUP($A38,[26]HISTONOV25!$A$6:$AU$51,46,0)</f>
        <v>0</v>
      </c>
      <c r="S38" s="36">
        <f>VLOOKUP($A38,[26]HISTONOV25!$A$6:$AU$51,26,0)</f>
        <v>0</v>
      </c>
      <c r="T38" s="36">
        <f>VLOOKUP($A38,[26]HISTONOV25!$A$6:$BG$51,58,0)</f>
        <v>0</v>
      </c>
      <c r="U38" s="36">
        <f>VLOOKUP($A38,[26]HISTONOV25!$A$6:$AU$51,28,0)</f>
        <v>0</v>
      </c>
      <c r="V38" s="36">
        <f>VLOOKUP($A38,[26]HISTONOV25!$A$6:$AU$51,19,0)</f>
        <v>0</v>
      </c>
      <c r="W38" s="36">
        <f>VLOOKUP($A38,[26]HISTONOV25!$A$6:$AU$51,20,0)</f>
        <v>0</v>
      </c>
      <c r="X38" s="36">
        <f>VLOOKUP($A38,[26]HISTONOV25!$A$6:$AU$51,27,0)</f>
        <v>0</v>
      </c>
      <c r="Y38" s="36">
        <f>VLOOKUP($A38,[26]HISTONOV25!$A$6:$BM$51,33,0)</f>
        <v>0</v>
      </c>
      <c r="Z38" s="36">
        <f>VLOOKUP($A38,[26]HISTONOV25!$A$6:$BM$51,64,0)</f>
        <v>0</v>
      </c>
      <c r="AA38" s="36"/>
      <c r="AB38" s="36">
        <f>VLOOKUP($A38,[26]HISTONOV25!$A$6:$AU$51,44,0)</f>
        <v>0</v>
      </c>
      <c r="AC38" s="36">
        <f>VLOOKUP($A38,[26]HISTONOV25!$A$6:$AU$51,43,0)</f>
        <v>0</v>
      </c>
      <c r="AD38" s="36">
        <f>VLOOKUP($A38,[26]HISTONOV25!$A$6:$BR$51,47,0)</f>
        <v>0</v>
      </c>
      <c r="AE38" s="36">
        <f>VLOOKUP(A38,[26]HISTONOV25!$A$6:$BR$51,54,0)</f>
        <v>0</v>
      </c>
      <c r="AF38" s="36">
        <f>VLOOKUP($A38,[26]HISTONOV25!$A$6:$BR$51,60,0)</f>
        <v>0</v>
      </c>
      <c r="AG38" s="36">
        <f>VLOOKUP($A38,[26]HISTONOV25!$A$6:$CB$51,61,0)</f>
        <v>0</v>
      </c>
      <c r="AH38" s="36">
        <f>VLOOKUP($A38,[26]HISTONOV25!$A$6:$CB$51,62,0)</f>
        <v>0</v>
      </c>
      <c r="AI38" s="36">
        <f>VLOOKUP($A38,[26]HISTONOV25!$A$6:$CB$51,63,0)</f>
        <v>0</v>
      </c>
      <c r="AJ38" s="36">
        <f>VLOOKUP($A38,[26]HISTONOV25!$A$6:$BR$51,64,0)</f>
        <v>0</v>
      </c>
      <c r="AK38" s="36">
        <f>VLOOKUP($A38,[26]HISTONOV25!$A$6:$BR$51,65,0)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VLOOKUP($A39,[26]HISTONOV25!$A$6:$BA$51,48,0)</f>
        <v>0</v>
      </c>
      <c r="F39" s="36">
        <f>VLOOKUP(A39,MVTOCT25!A39:AM74,6,0)+MVTOCT25!H39-E39+L39</f>
        <v>1051295.3941828529</v>
      </c>
      <c r="G39" s="5">
        <f>IF(MVTNOV25!F39&gt;800000,(MVTAVRIL25!I39-E39+L39),0)</f>
        <v>924235.14821666293</v>
      </c>
      <c r="H39" s="36">
        <f>VLOOKUP(A39,[27]MVTNOV25!$A$6:$AM$42,8,0)</f>
        <v>162.36314118482082</v>
      </c>
      <c r="I39" s="6">
        <f t="shared" si="1"/>
        <v>1051457.7573240378</v>
      </c>
      <c r="J39" s="36">
        <f>VLOOKUP($A39,[26]HISTONOV25!$A$6:$AQ$51,22,0)</f>
        <v>0</v>
      </c>
      <c r="K39" s="36">
        <f>VLOOKUP($A39,[26]HISTONOV25!$A$6:$AU$51,45,0)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VLOOKUP($A39,[26]HISTONOV25!$A$6:$AU$51,8,0)</f>
        <v>0</v>
      </c>
      <c r="Q39" s="36">
        <f>VLOOKUP($A39,[26]HISTONOV25!$A$6:$AU$51,23,0)</f>
        <v>0</v>
      </c>
      <c r="R39" s="36">
        <f>VLOOKUP($A39,[26]HISTONOV25!$A$6:$AU$51,46,0)</f>
        <v>0</v>
      </c>
      <c r="S39" s="36">
        <f>VLOOKUP($A39,[26]HISTONOV25!$A$6:$AU$51,26,0)</f>
        <v>0</v>
      </c>
      <c r="T39" s="36">
        <f>VLOOKUP($A39,[26]HISTONOV25!$A$6:$BG$51,58,0)</f>
        <v>0</v>
      </c>
      <c r="U39" s="36">
        <f>VLOOKUP($A39,[26]HISTONOV25!$A$6:$AU$51,28,0)</f>
        <v>0</v>
      </c>
      <c r="V39" s="36">
        <f>VLOOKUP($A39,[26]HISTONOV25!$A$6:$AU$51,19,0)</f>
        <v>892500</v>
      </c>
      <c r="W39" s="36" t="str">
        <f>VLOOKUP($A39,[26]HISTONOV25!$A$6:$AU$51,20,0)</f>
        <v>BANQUE</v>
      </c>
      <c r="X39" s="36">
        <f>VLOOKUP($A39,[26]HISTONOV25!$A$6:$AU$51,27,0)</f>
        <v>0</v>
      </c>
      <c r="Y39" s="36">
        <f>VLOOKUP($A39,[26]HISTONOV25!$A$6:$BM$51,33,0)</f>
        <v>0</v>
      </c>
      <c r="Z39" s="36">
        <f>VLOOKUP($A39,[26]HISTONOV25!$A$6:$BM$51,64,0)</f>
        <v>0</v>
      </c>
      <c r="AA39" s="36"/>
      <c r="AB39" s="36">
        <f>VLOOKUP($A39,[26]HISTONOV25!$A$6:$AU$51,44,0)</f>
        <v>0</v>
      </c>
      <c r="AC39" s="36">
        <f>VLOOKUP($A39,[26]HISTONOV25!$A$6:$AU$51,43,0)</f>
        <v>0</v>
      </c>
      <c r="AD39" s="36">
        <f>VLOOKUP($A39,[26]HISTONOV25!$A$6:$BR$51,47,0)</f>
        <v>0</v>
      </c>
      <c r="AE39" s="36">
        <f>VLOOKUP(A39,[26]HISTONOV25!$A$6:$BR$51,54,0)</f>
        <v>0</v>
      </c>
      <c r="AF39" s="36">
        <f>VLOOKUP($A39,[26]HISTONOV25!$A$6:$BR$51,60,0)</f>
        <v>0</v>
      </c>
      <c r="AG39" s="36">
        <f>VLOOKUP($A39,[26]HISTONOV25!$A$6:$CB$51,61,0)</f>
        <v>0</v>
      </c>
      <c r="AH39" s="36">
        <f>VLOOKUP($A39,[26]HISTONOV25!$A$6:$CB$51,62,0)</f>
        <v>0</v>
      </c>
      <c r="AI39" s="36">
        <f>VLOOKUP($A39,[26]HISTONOV25!$A$6:$CB$51,63,0)</f>
        <v>0</v>
      </c>
      <c r="AJ39" s="36">
        <f>VLOOKUP($A39,[26]HISTONOV25!$A$6:$BR$51,64,0)</f>
        <v>0</v>
      </c>
      <c r="AK39" s="36">
        <f>VLOOKUP($A39,[26]HISTONOV25!$A$6:$BR$51,65,0)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VLOOKUP($A40,[26]HISTONOV25!$A$6:$BA$51,48,0)</f>
        <v>0</v>
      </c>
      <c r="F40" s="36">
        <f>VLOOKUP(A40,MVTOCT25!A40:AM75,6,0)+MVTOCT25!H40-E40+L40</f>
        <v>1866977.4516892547</v>
      </c>
      <c r="G40" s="5">
        <f>IF(MVTNOV25!F40&gt;800000,(MVTAVRIL25!I40-E40+L40),0)</f>
        <v>1741215.5898191084</v>
      </c>
      <c r="H40" s="36">
        <f>VLOOKUP(A40,[27]MVTNOV25!$A$6:$AM$42,8,0)</f>
        <v>288.33791649312218</v>
      </c>
      <c r="I40" s="6">
        <f t="shared" si="1"/>
        <v>1867265.7896057479</v>
      </c>
      <c r="J40" s="36">
        <f>VLOOKUP($A40,[26]HISTONOV25!$A$6:$AQ$51,22,0)</f>
        <v>0</v>
      </c>
      <c r="K40" s="36">
        <f>VLOOKUP($A40,[26]HISTONOV25!$A$6:$AU$51,45,0)</f>
        <v>22000</v>
      </c>
      <c r="L40" s="36">
        <f t="shared" si="2"/>
        <v>16000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VLOOKUP($A40,[26]HISTONOV25!$A$6:$AU$51,8,0)</f>
        <v>0</v>
      </c>
      <c r="Q40" s="36">
        <f>VLOOKUP($A40,[26]HISTONOV25!$A$6:$AU$51,23,0)</f>
        <v>0</v>
      </c>
      <c r="R40" s="36">
        <f>VLOOKUP($A40,[26]HISTONOV25!$A$6:$AU$51,46,0)</f>
        <v>0</v>
      </c>
      <c r="S40" s="36">
        <f>VLOOKUP($A40,[26]HISTONOV25!$A$6:$AU$51,26,0)</f>
        <v>0</v>
      </c>
      <c r="T40" s="36">
        <f>VLOOKUP($A40,[26]HISTONOV25!$A$6:$BG$51,58,0)</f>
        <v>0</v>
      </c>
      <c r="U40" s="36">
        <f>VLOOKUP($A40,[26]HISTONOV25!$A$6:$AU$51,28,0)</f>
        <v>0</v>
      </c>
      <c r="V40" s="36">
        <f>VLOOKUP($A40,[26]HISTONOV25!$A$6:$AU$51,19,0)</f>
        <v>0</v>
      </c>
      <c r="W40" s="36">
        <f>VLOOKUP($A40,[26]HISTONOV25!$A$6:$AU$51,20,0)</f>
        <v>0</v>
      </c>
      <c r="X40" s="36">
        <f>VLOOKUP($A40,[26]HISTONOV25!$A$6:$AU$51,27,0)</f>
        <v>0</v>
      </c>
      <c r="Y40" s="36">
        <f>VLOOKUP($A40,[26]HISTONOV25!$A$6:$BM$51,33,0)</f>
        <v>0</v>
      </c>
      <c r="Z40" s="36">
        <f>VLOOKUP($A40,[26]HISTONOV25!$A$6:$BM$51,64,0)</f>
        <v>0</v>
      </c>
      <c r="AA40" s="36"/>
      <c r="AB40" s="36">
        <f>VLOOKUP($A40,[26]HISTONOV25!$A$6:$AU$51,44,0)</f>
        <v>0</v>
      </c>
      <c r="AC40" s="36">
        <f>VLOOKUP($A40,[26]HISTONOV25!$A$6:$AU$51,43,0)</f>
        <v>0</v>
      </c>
      <c r="AD40" s="36">
        <f>VLOOKUP($A40,[26]HISTONOV25!$A$6:$BR$51,47,0)</f>
        <v>0</v>
      </c>
      <c r="AE40" s="36">
        <f>VLOOKUP(A40,[26]HISTONOV25!$A$6:$BR$51,54,0)</f>
        <v>0</v>
      </c>
      <c r="AF40" s="36">
        <f>VLOOKUP($A40,[26]HISTONOV25!$A$6:$BR$51,60,0)</f>
        <v>0</v>
      </c>
      <c r="AG40" s="36">
        <f>VLOOKUP($A40,[26]HISTONOV25!$A$6:$CB$51,61,0)</f>
        <v>0</v>
      </c>
      <c r="AH40" s="36">
        <f>VLOOKUP($A40,[26]HISTONOV25!$A$6:$CB$51,62,0)</f>
        <v>0</v>
      </c>
      <c r="AI40" s="36">
        <f>VLOOKUP($A40,[26]HISTONOV25!$A$6:$CB$51,63,0)</f>
        <v>0</v>
      </c>
      <c r="AJ40" s="36">
        <f>VLOOKUP($A40,[26]HISTONOV25!$A$6:$BR$51,64,0)</f>
        <v>0</v>
      </c>
      <c r="AK40" s="36">
        <f>VLOOKUP($A40,[26]HISTONOV25!$A$6:$BR$51,65,0)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VLOOKUP($A41,[26]HISTONOV25!$A$6:$BA$51,48,0)</f>
        <v>0</v>
      </c>
      <c r="F41" s="36">
        <f>VLOOKUP(A41,MVTOCT25!A41:AM76,6,0)+MVTOCT25!H41-E41+L41</f>
        <v>1076563.252465365</v>
      </c>
      <c r="G41" s="5">
        <f>IF(MVTNOV25!F41&gt;800000,(MVTAVRIL25!I41-E41+L41),0)</f>
        <v>954271.31996370177</v>
      </c>
      <c r="H41" s="36">
        <f>VLOOKUP(A41,[27]MVTNOV25!$A$6:$AM$42,8,0)</f>
        <v>166.26553518793577</v>
      </c>
      <c r="I41" s="6">
        <f t="shared" si="1"/>
        <v>1076729.5180005529</v>
      </c>
      <c r="J41" s="36">
        <f>VLOOKUP($A41,[26]HISTONOV25!$A$6:$AQ$51,22,0)</f>
        <v>0</v>
      </c>
      <c r="K41" s="36">
        <f>VLOOKUP($A41,[26]HISTONOV25!$A$6:$AU$51,45,0)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VLOOKUP($A41,[26]HISTONOV25!$A$6:$AU$51,8,0)</f>
        <v>3000</v>
      </c>
      <c r="Q41" s="36">
        <f>VLOOKUP($A41,[26]HISTONOV25!$A$6:$AU$51,23,0)</f>
        <v>0</v>
      </c>
      <c r="R41" s="36">
        <f>VLOOKUP($A41,[26]HISTONOV25!$A$6:$AU$51,46,0)</f>
        <v>0</v>
      </c>
      <c r="S41" s="36">
        <f>VLOOKUP($A41,[26]HISTONOV25!$A$6:$AU$51,26,0)</f>
        <v>0</v>
      </c>
      <c r="T41" s="36">
        <f>VLOOKUP($A41,[26]HISTONOV25!$A$6:$BG$51,58,0)</f>
        <v>0</v>
      </c>
      <c r="U41" s="36">
        <f>VLOOKUP($A41,[26]HISTONOV25!$A$6:$AU$51,28,0)</f>
        <v>0</v>
      </c>
      <c r="V41" s="36">
        <f>VLOOKUP($A41,[26]HISTONOV25!$A$6:$AU$51,19,0)</f>
        <v>0</v>
      </c>
      <c r="W41" s="36">
        <f>VLOOKUP($A41,[26]HISTONOV25!$A$6:$AU$51,20,0)</f>
        <v>0</v>
      </c>
      <c r="X41" s="36">
        <f>VLOOKUP($A41,[26]HISTONOV25!$A$6:$AU$51,27,0)</f>
        <v>0</v>
      </c>
      <c r="Y41" s="36">
        <f>VLOOKUP($A41,[26]HISTONOV25!$A$6:$BM$51,33,0)</f>
        <v>0</v>
      </c>
      <c r="Z41" s="36">
        <f>VLOOKUP($A41,[26]HISTONOV25!$A$6:$BM$51,64,0)</f>
        <v>0</v>
      </c>
      <c r="AA41" s="36"/>
      <c r="AB41" s="36">
        <f>VLOOKUP($A41,[26]HISTONOV25!$A$6:$AU$51,44,0)</f>
        <v>0</v>
      </c>
      <c r="AC41" s="36">
        <f>VLOOKUP($A41,[26]HISTONOV25!$A$6:$AU$51,43,0)</f>
        <v>0</v>
      </c>
      <c r="AD41" s="36">
        <f>VLOOKUP($A41,[26]HISTONOV25!$A$6:$BR$51,47,0)</f>
        <v>0</v>
      </c>
      <c r="AE41" s="36">
        <f>VLOOKUP(A41,[26]HISTONOV25!$A$6:$BR$51,54,0)</f>
        <v>0</v>
      </c>
      <c r="AF41" s="36">
        <f>VLOOKUP($A41,[26]HISTONOV25!$A$6:$BR$51,60,0)</f>
        <v>0</v>
      </c>
      <c r="AG41" s="36">
        <f>VLOOKUP($A41,[26]HISTONOV25!$A$6:$CB$51,61,0)</f>
        <v>0</v>
      </c>
      <c r="AH41" s="36">
        <f>VLOOKUP($A41,[26]HISTONOV25!$A$6:$CB$51,62,0)</f>
        <v>0</v>
      </c>
      <c r="AI41" s="36">
        <f>VLOOKUP($A41,[26]HISTONOV25!$A$6:$CB$51,63,0)</f>
        <v>0</v>
      </c>
      <c r="AJ41" s="36">
        <f>VLOOKUP($A41,[26]HISTONOV25!$A$6:$BR$51,64,0)</f>
        <v>0</v>
      </c>
      <c r="AK41" s="36">
        <f>VLOOKUP($A41,[26]HISTONOV25!$A$6:$BR$51,65,0)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VLOOKUP($A42,[26]HISTONOV25!$A$6:$BA$51,48,0)</f>
        <v>0</v>
      </c>
      <c r="F42" s="36">
        <f>VLOOKUP(A42,MVTOCT25!A42:AM77,6,0)+MVTOCT25!H42-E42+L42</f>
        <v>2375877.4400271154</v>
      </c>
      <c r="G42" s="5">
        <f>IF(MVTNOV25!F42&gt;800000,(MVTAVRIL25!I42-E42+L42),0)</f>
        <v>2242990.1954813572</v>
      </c>
      <c r="H42" s="36">
        <f>VLOOKUP(A42,[27]MVTNOV25!$A$6:$AM$42,8,0)</f>
        <v>366.93295373256285</v>
      </c>
      <c r="I42" s="6">
        <f t="shared" si="1"/>
        <v>2376244.372980848</v>
      </c>
      <c r="J42" s="36">
        <f>VLOOKUP($A42,[26]HISTONOV25!$A$6:$AQ$51,22,0)</f>
        <v>0</v>
      </c>
      <c r="K42" s="36">
        <f>VLOOKUP($A42,[26]HISTONOV25!$A$6:$AU$51,45,0)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VLOOKUP($A42,[26]HISTONOV25!$A$6:$AU$51,8,0)</f>
        <v>0</v>
      </c>
      <c r="Q42" s="36">
        <f>VLOOKUP($A42,[26]HISTONOV25!$A$6:$AU$51,23,0)</f>
        <v>0</v>
      </c>
      <c r="R42" s="36">
        <f>VLOOKUP($A42,[26]HISTONOV25!$A$6:$AU$51,46,0)</f>
        <v>0</v>
      </c>
      <c r="S42" s="36">
        <f>VLOOKUP($A42,[26]HISTONOV25!$A$6:$AU$51,26,0)</f>
        <v>0</v>
      </c>
      <c r="T42" s="36">
        <f>VLOOKUP($A42,[26]HISTONOV25!$A$6:$BG$51,58,0)</f>
        <v>0</v>
      </c>
      <c r="U42" s="36">
        <f>VLOOKUP($A42,[26]HISTONOV25!$A$6:$AU$51,28,0)</f>
        <v>0</v>
      </c>
      <c r="V42" s="36">
        <f>VLOOKUP($A42,[26]HISTONOV25!$A$6:$AU$51,19,0)</f>
        <v>0</v>
      </c>
      <c r="W42" s="36">
        <f>VLOOKUP($A42,[26]HISTONOV25!$A$6:$AU$51,20,0)</f>
        <v>0</v>
      </c>
      <c r="X42" s="36">
        <f>VLOOKUP($A42,[26]HISTONOV25!$A$6:$AU$51,27,0)</f>
        <v>0</v>
      </c>
      <c r="Y42" s="36">
        <f>VLOOKUP($A42,[26]HISTONOV25!$A$6:$BM$51,33,0)</f>
        <v>0</v>
      </c>
      <c r="Z42" s="36">
        <f>VLOOKUP($A42,[26]HISTONOV25!$A$6:$BM$51,64,0)</f>
        <v>0</v>
      </c>
      <c r="AA42" s="36"/>
      <c r="AB42" s="36">
        <f>VLOOKUP($A42,[26]HISTONOV25!$A$6:$AU$51,44,0)</f>
        <v>0</v>
      </c>
      <c r="AC42" s="36">
        <f>VLOOKUP($A42,[26]HISTONOV25!$A$6:$AU$51,43,0)</f>
        <v>0</v>
      </c>
      <c r="AD42" s="36">
        <f>VLOOKUP($A42,[26]HISTONOV25!$A$6:$BR$51,47,0)</f>
        <v>0</v>
      </c>
      <c r="AE42" s="36">
        <f>VLOOKUP(A42,[26]HISTONOV25!$A$6:$BR$51,54,0)</f>
        <v>0</v>
      </c>
      <c r="AF42" s="36">
        <f>VLOOKUP($A42,[26]HISTONOV25!$A$6:$BR$51,60,0)</f>
        <v>0</v>
      </c>
      <c r="AG42" s="36">
        <f>VLOOKUP($A42,[26]HISTONOV25!$A$6:$CB$51,61,0)</f>
        <v>0</v>
      </c>
      <c r="AH42" s="36">
        <f>VLOOKUP($A42,[26]HISTONOV25!$A$6:$CB$51,62,0)</f>
        <v>0</v>
      </c>
      <c r="AI42" s="36">
        <f>VLOOKUP($A42,[26]HISTONOV25!$A$6:$CB$51,63,0)</f>
        <v>0</v>
      </c>
      <c r="AJ42" s="36">
        <f>VLOOKUP($A42,[26]HISTONOV25!$A$6:$BR$51,64,0)</f>
        <v>0</v>
      </c>
      <c r="AK42" s="36">
        <f>VLOOKUP($A42,[26]HISTONOV25!$A$6:$BR$51,65,0)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43984512</v>
      </c>
      <c r="G44" s="9">
        <f t="shared" si="9"/>
        <v>36833012.000000007</v>
      </c>
      <c r="H44" s="36">
        <f t="shared" si="9"/>
        <v>6500</v>
      </c>
      <c r="I44" s="9">
        <f t="shared" si="9"/>
        <v>43991011.999999993</v>
      </c>
      <c r="J44" s="9">
        <f t="shared" si="9"/>
        <v>0</v>
      </c>
      <c r="K44" s="9">
        <f t="shared" si="9"/>
        <v>1309400</v>
      </c>
      <c r="L44" s="9">
        <f t="shared" si="9"/>
        <v>1105400</v>
      </c>
      <c r="M44" s="9">
        <f t="shared" si="9"/>
        <v>34000</v>
      </c>
      <c r="N44" s="9">
        <f t="shared" si="9"/>
        <v>34000</v>
      </c>
      <c r="O44" s="9">
        <f t="shared" si="9"/>
        <v>136000</v>
      </c>
      <c r="P44" s="9">
        <f t="shared" si="9"/>
        <v>12000</v>
      </c>
      <c r="Q44" s="9">
        <f t="shared" si="9"/>
        <v>0</v>
      </c>
      <c r="R44" s="9">
        <f t="shared" si="9"/>
        <v>0</v>
      </c>
      <c r="S44" s="9">
        <f t="shared" si="9"/>
        <v>650000</v>
      </c>
      <c r="T44" s="9">
        <f t="shared" si="9"/>
        <v>6500</v>
      </c>
      <c r="U44" s="9">
        <f t="shared" si="9"/>
        <v>0</v>
      </c>
      <c r="V44" s="9">
        <f t="shared" si="9"/>
        <v>1592500</v>
      </c>
      <c r="W44" s="9"/>
      <c r="X44" s="9">
        <f t="shared" si="9"/>
        <v>0</v>
      </c>
      <c r="Y44" s="9">
        <f t="shared" si="9"/>
        <v>0</v>
      </c>
      <c r="Z44" s="9">
        <f t="shared" si="9"/>
        <v>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0</v>
      </c>
      <c r="AF44" s="9">
        <f t="shared" si="9"/>
        <v>6000</v>
      </c>
      <c r="AG44" s="9">
        <f t="shared" si="9"/>
        <v>0</v>
      </c>
      <c r="AH44" s="9">
        <f t="shared" si="9"/>
        <v>100000</v>
      </c>
      <c r="AI44" s="9">
        <f t="shared" si="9"/>
        <v>100000</v>
      </c>
      <c r="AJ44" s="9">
        <f t="shared" si="9"/>
        <v>0</v>
      </c>
      <c r="AK44" s="9">
        <f t="shared" si="9"/>
        <v>0</v>
      </c>
      <c r="AL44" s="9">
        <f t="shared" si="9"/>
        <v>0</v>
      </c>
    </row>
    <row r="46" spans="1:38" x14ac:dyDescent="0.35">
      <c r="H46">
        <v>6499.9999999999982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F939-A3B8-4FF4-95A6-4DF33B086C70}">
  <dimension ref="A1:AM47"/>
  <sheetViews>
    <sheetView tabSelected="1" workbookViewId="0">
      <pane xSplit="2" ySplit="5" topLeftCell="C6" activePane="bottomRight" state="frozen"/>
      <selection activeCell="F8" sqref="F8"/>
      <selection pane="topRight" activeCell="F8" sqref="F8"/>
      <selection pane="bottomLeft" activeCell="F8" sqref="F8"/>
      <selection pane="bottomRight" activeCell="C7" sqref="C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82"/>
      <c r="K4" s="192">
        <v>46008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1"/>
      <c r="D6" s="36"/>
      <c r="E6" s="36"/>
      <c r="F6" s="36">
        <f>VLOOKUP($A$6,MVTNOV25!A6:AM42,6,0)+MVTNOV25!H6-E6+L6</f>
        <v>1186480.0907937791</v>
      </c>
      <c r="G6" s="5">
        <f>IF(MVTDEC25!F6&gt;800000,(MVTAVRIL25!I6-E6+L6),0)</f>
        <v>1177287.7862270027</v>
      </c>
      <c r="H6" s="36">
        <f>VLOOKUP(A6,[27]MVTDEC25!$A$6:$AM$42,8,0)</f>
        <v>34838.140203176496</v>
      </c>
      <c r="I6" s="6">
        <f>F6+H6</f>
        <v>1221318.2309969557</v>
      </c>
      <c r="J6" s="36">
        <f>VLOOKUP($A6,[26]HISTODEC25!$A$6:$AQ$51,22,0)</f>
        <v>0</v>
      </c>
      <c r="K6" s="36">
        <f>VLOOKUP($A6,[26]HISTODEC25!$A$6:$AU$51,45,0)</f>
        <v>0</v>
      </c>
      <c r="L6" s="36">
        <f>IF(K6=0,0,K6-(M6+N6+O6))+80000</f>
        <v>80000</v>
      </c>
      <c r="M6" s="36">
        <f>IF(K6=0,0,1000)</f>
        <v>0</v>
      </c>
      <c r="N6" s="36">
        <f t="shared" ref="N6:N42" si="0">IF(K6=0,0,1000)</f>
        <v>0</v>
      </c>
      <c r="O6" s="36">
        <f>IF(K6=0,0,4000)</f>
        <v>0</v>
      </c>
      <c r="P6" s="36">
        <f>VLOOKUP($A6,[26]HISTODEC25!$A$6:$AU$51,8,0)</f>
        <v>0</v>
      </c>
      <c r="Q6" s="36">
        <f>VLOOKUP($A6,[26]HISTODEC25!$A$6:$AU$51,23,0)</f>
        <v>0</v>
      </c>
      <c r="R6" s="36">
        <f>VLOOKUP($A6,[26]HISTODEC25!$A$6:$AU$51,46,0)</f>
        <v>0</v>
      </c>
      <c r="S6" s="36">
        <f>VLOOKUP($A6,[26]HISTODEC25!$A$6:$AU$51,26,0)</f>
        <v>0</v>
      </c>
      <c r="T6" s="36">
        <f>VLOOKUP($A6,[26]HISTODEC25!$A$6:$BG$51,58,0)</f>
        <v>0</v>
      </c>
      <c r="U6" s="36">
        <f>VLOOKUP($A6,[26]HISTODEC25!$A$6:$AU$51,28,0)</f>
        <v>0</v>
      </c>
      <c r="V6" s="36">
        <f>VLOOKUP($A6,[26]HISTODEC25!$A$6:$AU$51,19,0)</f>
        <v>0</v>
      </c>
      <c r="W6" s="36">
        <f>VLOOKUP($A6,[26]HISTODEC25!$A$6:$AU$51,20,0)</f>
        <v>0</v>
      </c>
      <c r="X6" s="36">
        <f>VLOOKUP($A6,[26]HISTODEC25!$A$6:$AU$51,27,0)</f>
        <v>0</v>
      </c>
      <c r="Y6" s="36">
        <f>VLOOKUP($A6,[26]HISTODEC25!$A$6:$BM$51,33,0)</f>
        <v>0</v>
      </c>
      <c r="Z6" s="36">
        <f>VLOOKUP($A6,[26]HISTODEC25!$A$6:$BM$51,64,0)</f>
        <v>0</v>
      </c>
      <c r="AA6" s="36"/>
      <c r="AB6" s="36">
        <f>VLOOKUP($A6,[26]HISTODEC25!$A$6:$AU$51,44,0)</f>
        <v>0</v>
      </c>
      <c r="AC6" s="36">
        <f>VLOOKUP($A6,[26]HISTODEC25!$A$6:$AU$51,43,0)</f>
        <v>0</v>
      </c>
      <c r="AD6" s="36">
        <f>VLOOKUP($A6,[26]HISTODEC25!$A$6:$BR$51,47,0)</f>
        <v>0</v>
      </c>
      <c r="AE6" s="36">
        <f>VLOOKUP(A6,[26]HISTODEC25!$A$6:$BR$51,54,0)</f>
        <v>0</v>
      </c>
      <c r="AF6" s="36">
        <f>VLOOKUP($A6,[26]HISTODEC25!$A$6:$BR$51,60,0)</f>
        <v>52000</v>
      </c>
      <c r="AG6" s="36">
        <f>VLOOKUP($A6,[26]HISTODEC25!$A$6:$CB$51,61,0)</f>
        <v>0</v>
      </c>
      <c r="AH6" s="36">
        <f>VLOOKUP($A6,[26]HISTODEC25!$A$6:$CB$51,62,0)</f>
        <v>0</v>
      </c>
      <c r="AI6" s="36">
        <f>VLOOKUP($A6,[26]HISTODEC25!$A$6:$CB$51,63,0)</f>
        <v>0</v>
      </c>
      <c r="AJ6" s="36">
        <f>VLOOKUP($A6,[26]HISTODEC25!$A$6:$BR$51,64,0)</f>
        <v>0</v>
      </c>
      <c r="AK6" s="36">
        <f>VLOOKUP($A6,[26]HISTODEC25!$A$6:$BR$51,65,0)</f>
        <v>0</v>
      </c>
      <c r="AL6" s="36">
        <f>VLOOKUP($A6,[26]HISTODEC25!$A$6:$BR$40,66,0)</f>
        <v>0</v>
      </c>
    </row>
    <row r="7" spans="1:39" x14ac:dyDescent="0.35">
      <c r="A7" s="1" t="s">
        <v>17</v>
      </c>
      <c r="B7" s="1" t="str">
        <f>VLOOKUP(A7,[24]LISTADHERENT!A$5:H$60,3,0)</f>
        <v>BAKOP ACHILLE</v>
      </c>
      <c r="C7" s="36"/>
      <c r="D7" s="36"/>
      <c r="E7" s="36">
        <f>VLOOKUP($A7,[26]HISTODEC25!$A$6:$BA$51,48,0)</f>
        <v>0</v>
      </c>
      <c r="F7" s="36">
        <f>VLOOKUP(A7,MVTNOV25!A7:AM43,6,0)+MVTNOV25!H7-E7+L7</f>
        <v>1110535.1106927884</v>
      </c>
      <c r="G7" s="5">
        <f>IF(MVTDEC25!F7&gt;800000,(MVTAVRIL25!I7-E7+L7),0)</f>
        <v>954953.91223464545</v>
      </c>
      <c r="H7" s="36">
        <f>VLOOKUP(A7,[27]MVTDEC25!$A$6:$AM$42,8,0)</f>
        <v>34965.814756874985</v>
      </c>
      <c r="I7" s="6">
        <f t="shared" ref="I7:I42" si="1">F7+H7</f>
        <v>1145500.9254496633</v>
      </c>
      <c r="J7" s="36">
        <f>VLOOKUP($A7,[26]HISTODEC25!$A$6:$AQ$51,22,0)</f>
        <v>0</v>
      </c>
      <c r="K7" s="36">
        <f>VLOOKUP($A7,[26]HISTODEC25!$A$6:$AU$51,45,0)</f>
        <v>25000</v>
      </c>
      <c r="L7" s="36">
        <f t="shared" ref="L7:L42" si="2">IF(K7=0,0,K7-(M7+N7+O7))</f>
        <v>19000</v>
      </c>
      <c r="M7" s="36">
        <f>IF(K7=0,0,1000)</f>
        <v>1000</v>
      </c>
      <c r="N7" s="36">
        <f t="shared" si="0"/>
        <v>1000</v>
      </c>
      <c r="O7" s="36">
        <f>IF(K7=0,0,4000)</f>
        <v>4000</v>
      </c>
      <c r="P7" s="36">
        <f>VLOOKUP($A7,[26]HISTODEC25!$A$6:$AU$51,8,0)</f>
        <v>0</v>
      </c>
      <c r="Q7" s="36">
        <f>VLOOKUP($A7,[26]HISTODEC25!$A$6:$AU$51,23,0)</f>
        <v>0</v>
      </c>
      <c r="R7" s="36">
        <f>VLOOKUP($A7,[26]HISTODEC25!$A$6:$AU$51,46,0)</f>
        <v>0</v>
      </c>
      <c r="S7" s="36">
        <f>VLOOKUP($A7,[26]HISTODEC25!$A$6:$AU$51,26,0)</f>
        <v>1000000</v>
      </c>
      <c r="T7" s="36">
        <f>VLOOKUP($A7,[26]HISTODEC25!$A$6:$BG$51,58,0)</f>
        <v>20000</v>
      </c>
      <c r="U7" s="36">
        <f>VLOOKUP($A7,[26]HISTODEC25!$A$6:$AU$51,28,0)</f>
        <v>0</v>
      </c>
      <c r="V7" s="36">
        <f>VLOOKUP($A7,[26]HISTODEC25!$A$6:$AU$51,19,0)</f>
        <v>1000000</v>
      </c>
      <c r="W7" s="36" t="str">
        <f>VLOOKUP($A7,[26]HISTODEC25!$A$6:$AU$51,20,0)</f>
        <v>ESPECES</v>
      </c>
      <c r="X7" s="36" t="str">
        <f>VLOOKUP($A7,[26]HISTODEC25!$A$6:$AU$51,27,0)</f>
        <v>BANQUE</v>
      </c>
      <c r="Y7" s="36">
        <f>VLOOKUP($A7,[26]HISTODEC25!$A$6:$BM$51,33,0)</f>
        <v>0</v>
      </c>
      <c r="Z7" s="36">
        <f>VLOOKUP($A7,[26]HISTODEC25!$A$6:$BM$51,64,0)</f>
        <v>0</v>
      </c>
      <c r="AA7" s="36"/>
      <c r="AB7" s="36">
        <f>VLOOKUP($A7,[26]HISTODEC25!$A$6:$AU$51,44,0)</f>
        <v>0</v>
      </c>
      <c r="AC7" s="36">
        <f>VLOOKUP($A7,[26]HISTODEC25!$A$6:$AU$51,43,0)</f>
        <v>0</v>
      </c>
      <c r="AD7" s="36">
        <f>VLOOKUP($A7,[26]HISTODEC25!$A$6:$BR$51,47,0)</f>
        <v>0</v>
      </c>
      <c r="AE7" s="36">
        <f>VLOOKUP(A7,[26]HISTODEC25!$A$6:$BR$51,54,0)</f>
        <v>0</v>
      </c>
      <c r="AF7" s="36">
        <f>VLOOKUP($A7,[26]HISTODEC25!$A$6:$BR$51,60,0)</f>
        <v>0</v>
      </c>
      <c r="AG7" s="36">
        <f>VLOOKUP($A7,[26]HISTODEC25!$A$6:$CB$51,61,0)</f>
        <v>0</v>
      </c>
      <c r="AH7" s="36">
        <f>VLOOKUP($A7,[26]HISTODEC25!$A$6:$CB$51,62,0)</f>
        <v>0</v>
      </c>
      <c r="AI7" s="36">
        <f>VLOOKUP($A7,[26]HISTODEC25!$A$6:$CB$51,63,0)</f>
        <v>0</v>
      </c>
      <c r="AJ7" s="36">
        <f>VLOOKUP($A7,[26]HISTODEC25!$A$6:$BR$51,64,0)</f>
        <v>0</v>
      </c>
      <c r="AK7" s="36">
        <f>VLOOKUP($A7,[26]HISTODEC25!$A$6:$BR$51,65,0)</f>
        <v>0</v>
      </c>
    </row>
    <row r="8" spans="1:39" x14ac:dyDescent="0.35">
      <c r="A8" s="1" t="s">
        <v>19</v>
      </c>
      <c r="B8" s="1" t="str">
        <f>VLOOKUP(A8,[24]LISTADHERENT!A$5:H$60,3,0)</f>
        <v>BOUTCHOUANG WILLIAM</v>
      </c>
      <c r="C8" s="36"/>
      <c r="D8" s="36"/>
      <c r="E8" s="36">
        <f>VLOOKUP($A8,[26]HISTODEC25!$A$6:$BA$51,48,0)</f>
        <v>0</v>
      </c>
      <c r="F8" s="36">
        <f>VLOOKUP(A8,MVTNOV25!A8:AM44,6,0)+MVTNOV25!H8-E8+L8</f>
        <v>1238945.3093471788</v>
      </c>
      <c r="G8" s="5">
        <f>IF(MVTDEC25!F8&gt;800000,(MVTAVRIL25!I8-E8+L8),0)</f>
        <v>1096297.3174913663</v>
      </c>
      <c r="H8" s="36">
        <f>VLOOKUP(A8,[27]MVTDEC25!$A$6:$AM$42,8,0)</f>
        <v>39008.881181170153</v>
      </c>
      <c r="I8" s="6">
        <f t="shared" si="1"/>
        <v>1277954.190528349</v>
      </c>
      <c r="J8" s="36">
        <f>VLOOKUP($A8,[26]HISTODEC25!$A$6:$AQ$51,22,0)</f>
        <v>0</v>
      </c>
      <c r="K8" s="36">
        <f>VLOOKUP($A8,[26]HISTODEC25!$A$6:$AU$51,45,0)</f>
        <v>25000</v>
      </c>
      <c r="L8" s="36">
        <f t="shared" si="2"/>
        <v>19000</v>
      </c>
      <c r="M8" s="36">
        <f t="shared" ref="M8:M42" si="3">IF(K8=0,0,1000)</f>
        <v>1000</v>
      </c>
      <c r="N8" s="36">
        <f t="shared" si="0"/>
        <v>1000</v>
      </c>
      <c r="O8" s="36">
        <f t="shared" ref="O8:O42" si="4">IF(K8=0,0,4000)</f>
        <v>4000</v>
      </c>
      <c r="P8" s="36">
        <f>VLOOKUP($A8,[26]HISTODEC25!$A$6:$AU$51,8,0)</f>
        <v>0</v>
      </c>
      <c r="Q8" s="36">
        <f>VLOOKUP($A8,[26]HISTODEC25!$A$6:$AU$51,23,0)</f>
        <v>0</v>
      </c>
      <c r="R8" s="36">
        <f>VLOOKUP($A8,[26]HISTODEC25!$A$6:$AU$51,46,0)</f>
        <v>0</v>
      </c>
      <c r="S8" s="36">
        <f>VLOOKUP($A8,[26]HISTODEC25!$A$6:$AU$51,26,0)</f>
        <v>500000</v>
      </c>
      <c r="T8" s="36">
        <f>VLOOKUP($A8,[26]HISTODEC25!$A$6:$BG$51,58,0)</f>
        <v>10000</v>
      </c>
      <c r="U8" s="36">
        <f>VLOOKUP($A8,[26]HISTODEC25!$A$6:$AU$51,28,0)</f>
        <v>0</v>
      </c>
      <c r="V8" s="36">
        <f>VLOOKUP($A8,[26]HISTODEC25!$A$6:$AU$51,19,0)</f>
        <v>500000</v>
      </c>
      <c r="W8" s="36" t="str">
        <f>VLOOKUP($A8,[26]HISTODEC25!$A$6:$AU$51,20,0)</f>
        <v>ESPECES</v>
      </c>
      <c r="X8" s="36" t="str">
        <f>VLOOKUP($A8,[26]HISTODEC25!$A$6:$AU$51,27,0)</f>
        <v>BANQUE</v>
      </c>
      <c r="Y8" s="36">
        <f>VLOOKUP($A8,[26]HISTODEC25!$A$6:$BM$51,33,0)</f>
        <v>0</v>
      </c>
      <c r="Z8" s="36">
        <f>VLOOKUP($A8,[26]HISTODEC25!$A$6:$BM$51,64,0)</f>
        <v>0</v>
      </c>
      <c r="AA8" s="36"/>
      <c r="AB8" s="36">
        <f>VLOOKUP($A8,[26]HISTODEC25!$A$6:$AU$51,44,0)</f>
        <v>0</v>
      </c>
      <c r="AC8" s="36">
        <f>VLOOKUP($A8,[26]HISTODEC25!$A$6:$AU$51,43,0)</f>
        <v>0</v>
      </c>
      <c r="AD8" s="36">
        <f>VLOOKUP($A8,[26]HISTODEC25!$A$6:$BR$51,47,0)</f>
        <v>0</v>
      </c>
      <c r="AE8" s="36">
        <f>VLOOKUP(A8,[26]HISTODEC25!$A$6:$BR$51,54,0)</f>
        <v>0</v>
      </c>
      <c r="AF8" s="36">
        <f>VLOOKUP($A8,[26]HISTODEC25!$A$6:$BR$51,60,0)</f>
        <v>0</v>
      </c>
      <c r="AG8" s="36">
        <f>VLOOKUP($A8,[26]HISTODEC25!$A$6:$CB$51,61,0)</f>
        <v>0</v>
      </c>
      <c r="AH8" s="36">
        <f>VLOOKUP($A8,[26]HISTODEC25!$A$6:$CB$51,62,0)</f>
        <v>0</v>
      </c>
      <c r="AI8" s="36">
        <f>VLOOKUP($A8,[26]HISTODEC25!$A$6:$CB$51,63,0)</f>
        <v>0</v>
      </c>
      <c r="AJ8" s="36">
        <f>VLOOKUP($A8,[26]HISTODEC25!$A$6:$BR$51,64,0)</f>
        <v>0</v>
      </c>
      <c r="AK8" s="36">
        <f>VLOOKUP($A8,[26]HISTODEC25!$A$6:$BR$51,65,0)</f>
        <v>0</v>
      </c>
    </row>
    <row r="9" spans="1:39" x14ac:dyDescent="0.35">
      <c r="A9" s="1" t="s">
        <v>23</v>
      </c>
      <c r="B9" s="1" t="str">
        <f>VLOOKUP(A9,[24]LISTADHERENT!A$5:H$60,3,0)</f>
        <v xml:space="preserve">DJOMO JEAN PAUL </v>
      </c>
      <c r="C9" s="36"/>
      <c r="D9" s="36"/>
      <c r="E9" s="36">
        <f>VLOOKUP($A9,[26]HISTODEC25!$A$6:$BA$51,48,0)</f>
        <v>0</v>
      </c>
      <c r="F9" s="36">
        <f>VLOOKUP(A9,MVTNOV25!A9:AM45,6,0)+MVTNOV25!H9-E9+L9</f>
        <v>1102653.0349018206</v>
      </c>
      <c r="G9" s="5">
        <f>IF(MVTDEC25!F9&gt;800000,(MVTAVRIL25!I9-E9+L9),0)</f>
        <v>961137.3183641315</v>
      </c>
      <c r="H9" s="36">
        <f>VLOOKUP(A9,[27]MVTDEC25!$A$6:$AM$42,8,0)</f>
        <v>34717.643222852348</v>
      </c>
      <c r="I9" s="6">
        <f t="shared" si="1"/>
        <v>1137370.678124673</v>
      </c>
      <c r="J9" s="36">
        <f>VLOOKUP($A9,[26]HISTODEC25!$A$6:$AQ$51,22,0)</f>
        <v>0</v>
      </c>
      <c r="K9" s="36">
        <f>VLOOKUP($A9,[26]HISTODEC25!$A$6:$AU$51,45,0)</f>
        <v>25000</v>
      </c>
      <c r="L9" s="36">
        <f t="shared" si="2"/>
        <v>19000</v>
      </c>
      <c r="M9" s="36">
        <f t="shared" si="3"/>
        <v>1000</v>
      </c>
      <c r="N9" s="36">
        <f t="shared" si="0"/>
        <v>1000</v>
      </c>
      <c r="O9" s="36">
        <f t="shared" si="4"/>
        <v>4000</v>
      </c>
      <c r="P9" s="36">
        <f>VLOOKUP($A9,[26]HISTODEC25!$A$6:$AU$51,8,0)</f>
        <v>0</v>
      </c>
      <c r="Q9" s="36">
        <f>VLOOKUP($A9,[26]HISTODEC25!$A$6:$AU$51,23,0)</f>
        <v>0</v>
      </c>
      <c r="R9" s="36">
        <f>VLOOKUP($A9,[26]HISTODEC25!$A$6:$AU$51,46,0)</f>
        <v>0</v>
      </c>
      <c r="S9" s="36">
        <f>VLOOKUP($A9,[26]HISTODEC25!$A$6:$AU$51,26,0)</f>
        <v>1000000</v>
      </c>
      <c r="T9" s="36">
        <f>VLOOKUP($A9,[26]HISTODEC25!$A$6:$BG$51,58,0)</f>
        <v>120000</v>
      </c>
      <c r="U9" s="36">
        <f>VLOOKUP($A9,[26]HISTODEC25!$A$6:$AU$51,28,0)</f>
        <v>0</v>
      </c>
      <c r="V9" s="36">
        <f>VLOOKUP($A9,[26]HISTODEC25!$A$6:$AU$51,19,0)</f>
        <v>1000000</v>
      </c>
      <c r="W9" s="36" t="str">
        <f>VLOOKUP($A9,[26]HISTODEC25!$A$6:$AU$51,20,0)</f>
        <v>ESPECES</v>
      </c>
      <c r="X9" s="36" t="str">
        <f>VLOOKUP($A9,[26]HISTODEC25!$A$6:$AU$51,27,0)</f>
        <v>BANQUE</v>
      </c>
      <c r="Y9" s="36">
        <f>VLOOKUP($A9,[26]HISTODEC25!$A$6:$BM$51,33,0)</f>
        <v>0</v>
      </c>
      <c r="Z9" s="36">
        <f>VLOOKUP($A9,[26]HISTODEC25!$A$6:$BM$51,64,0)</f>
        <v>0</v>
      </c>
      <c r="AA9" s="36"/>
      <c r="AB9" s="36">
        <f>VLOOKUP($A9,[26]HISTODEC25!$A$6:$AU$51,44,0)</f>
        <v>0</v>
      </c>
      <c r="AC9" s="36">
        <f>VLOOKUP($A9,[26]HISTODEC25!$A$6:$AU$51,43,0)</f>
        <v>0</v>
      </c>
      <c r="AD9" s="36">
        <f>VLOOKUP($A9,[26]HISTODEC25!$A$6:$BR$51,47,0)</f>
        <v>0</v>
      </c>
      <c r="AE9" s="36">
        <f>VLOOKUP(A9,[26]HISTODEC25!$A$6:$BR$51,54,0)</f>
        <v>0</v>
      </c>
      <c r="AF9" s="36">
        <f>VLOOKUP($A9,[26]HISTODEC25!$A$6:$BR$51,60,0)</f>
        <v>0</v>
      </c>
      <c r="AG9" s="36">
        <f>VLOOKUP($A9,[26]HISTODEC25!$A$6:$CB$51,61,0)</f>
        <v>0</v>
      </c>
      <c r="AH9" s="36">
        <f>VLOOKUP($A9,[26]HISTODEC25!$A$6:$CB$51,62,0)</f>
        <v>0</v>
      </c>
      <c r="AI9" s="36">
        <f>VLOOKUP($A9,[26]HISTODEC25!$A$6:$CB$51,63,0)</f>
        <v>0</v>
      </c>
      <c r="AJ9" s="36">
        <f>VLOOKUP($A9,[26]HISTODEC25!$A$6:$BR$51,64,0)</f>
        <v>0</v>
      </c>
      <c r="AK9" s="36">
        <f>VLOOKUP($A9,[26]HISTODEC25!$A$6:$BR$51,65,0)</f>
        <v>0</v>
      </c>
    </row>
    <row r="10" spans="1:39" x14ac:dyDescent="0.35">
      <c r="A10" s="1" t="s">
        <v>154</v>
      </c>
      <c r="B10" s="1" t="str">
        <f>VLOOKUP(A10,[24]LISTADHERENT!A$5:H$60,3,0)</f>
        <v>DJOMOU TCHAPDA</v>
      </c>
      <c r="C10" s="36"/>
      <c r="D10" s="36"/>
      <c r="E10" s="36">
        <f>VLOOKUP($A10,[26]HISTODEC25!$A$6:$BA$51,48,0)</f>
        <v>0</v>
      </c>
      <c r="F10" s="36">
        <f>VLOOKUP(A10,MVTNOV25!A10:AM46,6,0)+MVTNOV25!H10-E10+L10</f>
        <v>1111024.2029457784</v>
      </c>
      <c r="G10" s="5">
        <f>IF(MVTDEC25!F10&gt;800000,(MVTAVRIL25!I10-E10+L10),0)</f>
        <v>971425.7308667925</v>
      </c>
      <c r="H10" s="36">
        <f>VLOOKUP(A10,[27]MVTDEC25!$A$6:$AM$42,8,0)</f>
        <v>34981.21409810464</v>
      </c>
      <c r="I10" s="6">
        <f t="shared" si="1"/>
        <v>1146005.4170438831</v>
      </c>
      <c r="J10" s="36">
        <f>VLOOKUP($A10,[26]HISTODEC25!$A$6:$AQ$51,22,0)</f>
        <v>0</v>
      </c>
      <c r="K10" s="36">
        <f>VLOOKUP($A10,[26]HISTODEC25!$A$6:$AU$51,45,0)</f>
        <v>25000</v>
      </c>
      <c r="L10" s="36">
        <f t="shared" si="2"/>
        <v>19000</v>
      </c>
      <c r="M10" s="36">
        <f t="shared" si="3"/>
        <v>1000</v>
      </c>
      <c r="N10" s="36">
        <f t="shared" si="0"/>
        <v>1000</v>
      </c>
      <c r="O10" s="36">
        <f t="shared" si="4"/>
        <v>4000</v>
      </c>
      <c r="P10" s="36">
        <f>VLOOKUP($A10,[26]HISTODEC25!$A$6:$AU$51,8,0)</f>
        <v>0</v>
      </c>
      <c r="Q10" s="36">
        <f>VLOOKUP($A10,[26]HISTODEC25!$A$6:$AU$51,23,0)</f>
        <v>0</v>
      </c>
      <c r="R10" s="36">
        <f>VLOOKUP($A10,[26]HISTODEC25!$A$6:$AU$51,46,0)</f>
        <v>0</v>
      </c>
      <c r="S10" s="36">
        <f>VLOOKUP($A10,[26]HISTODEC25!$A$6:$AU$51,26,0)</f>
        <v>1000000</v>
      </c>
      <c r="T10" s="36">
        <f>VLOOKUP($A10,[26]HISTODEC25!$A$6:$BG$51,58,0)</f>
        <v>120000</v>
      </c>
      <c r="U10" s="36">
        <f>VLOOKUP($A10,[26]HISTODEC25!$A$6:$AU$51,28,0)</f>
        <v>0</v>
      </c>
      <c r="V10" s="36">
        <f>VLOOKUP($A10,[26]HISTODEC25!$A$6:$AU$51,19,0)</f>
        <v>1000000</v>
      </c>
      <c r="W10" s="36" t="str">
        <f>VLOOKUP($A10,[26]HISTODEC25!$A$6:$AU$51,20,0)</f>
        <v>ESPECES</v>
      </c>
      <c r="X10" s="36" t="str">
        <f>VLOOKUP($A10,[26]HISTODEC25!$A$6:$AU$51,27,0)</f>
        <v>BANQUE</v>
      </c>
      <c r="Y10" s="36">
        <f>VLOOKUP($A10,[26]HISTODEC25!$A$6:$BM$51,33,0)</f>
        <v>0</v>
      </c>
      <c r="Z10" s="36">
        <f>VLOOKUP($A10,[26]HISTODEC25!$A$6:$BM$51,64,0)</f>
        <v>0</v>
      </c>
      <c r="AA10" s="36"/>
      <c r="AB10" s="36">
        <f>VLOOKUP($A10,[26]HISTODEC25!$A$6:$AU$51,44,0)</f>
        <v>0</v>
      </c>
      <c r="AC10" s="36">
        <f>VLOOKUP($A10,[26]HISTODEC25!$A$6:$AU$51,43,0)</f>
        <v>0</v>
      </c>
      <c r="AD10" s="36">
        <f>VLOOKUP($A10,[26]HISTODEC25!$A$6:$BR$51,47,0)</f>
        <v>0</v>
      </c>
      <c r="AE10" s="36">
        <f>VLOOKUP(A10,[26]HISTODEC25!$A$6:$BR$51,54,0)</f>
        <v>0</v>
      </c>
      <c r="AF10" s="36">
        <f>VLOOKUP($A10,[26]HISTODEC25!$A$6:$BR$51,60,0)</f>
        <v>0</v>
      </c>
      <c r="AG10" s="36">
        <f>VLOOKUP($A10,[26]HISTODEC25!$A$6:$CB$51,61,0)</f>
        <v>0</v>
      </c>
      <c r="AH10" s="36">
        <f>VLOOKUP($A10,[26]HISTODEC25!$A$6:$CB$51,62,0)</f>
        <v>0</v>
      </c>
      <c r="AI10" s="36">
        <f>VLOOKUP($A10,[26]HISTODEC25!$A$6:$CB$51,63,0)</f>
        <v>0</v>
      </c>
      <c r="AJ10" s="36">
        <f>VLOOKUP($A10,[26]HISTODEC25!$A$6:$BR$51,64,0)</f>
        <v>0</v>
      </c>
      <c r="AK10" s="36">
        <f>VLOOKUP($A10,[26]HISTODEC25!$A$6:$BR$51,65,0)</f>
        <v>0</v>
      </c>
    </row>
    <row r="11" spans="1:39" x14ac:dyDescent="0.35">
      <c r="A11" s="1" t="s">
        <v>24</v>
      </c>
      <c r="B11" s="1" t="str">
        <f>VLOOKUP(A11,[24]LISTADHERENT!A$5:H$60,3,0)</f>
        <v>DJOUKWE NANGUEN GUY BLAISE</v>
      </c>
      <c r="C11" s="36"/>
      <c r="D11" s="36"/>
      <c r="E11" s="36">
        <f>VLOOKUP($A11,[26]HISTODEC25!$A$6:$BA$51,48,0)</f>
        <v>0</v>
      </c>
      <c r="F11" s="36">
        <f>VLOOKUP(A11,MVTNOV25!A11:AM47,6,0)+MVTNOV25!H11-E11+L11</f>
        <v>1353375.1832320688</v>
      </c>
      <c r="G11" s="5">
        <f>IF(MVTDEC25!F11&gt;800000,(MVTAVRIL25!I11-E11+L11),0)</f>
        <v>960862.96530022437</v>
      </c>
      <c r="H11" s="36">
        <f>VLOOKUP(A11,[27]MVTDEC25!$A$6:$AM$42,8,0)</f>
        <v>42611.769315355836</v>
      </c>
      <c r="I11" s="6">
        <f t="shared" si="1"/>
        <v>1395986.9525474247</v>
      </c>
      <c r="J11" s="36">
        <f>VLOOKUP($A11,[26]HISTODEC25!$A$6:$AQ$51,22,0)</f>
        <v>0</v>
      </c>
      <c r="K11" s="36">
        <f>VLOOKUP($A11,[26]HISTODEC25!$A$6:$AU$51,45,0)</f>
        <v>25000</v>
      </c>
      <c r="L11" s="36">
        <f t="shared" si="2"/>
        <v>19000</v>
      </c>
      <c r="M11" s="36">
        <f t="shared" si="3"/>
        <v>1000</v>
      </c>
      <c r="N11" s="36">
        <f t="shared" si="0"/>
        <v>1000</v>
      </c>
      <c r="O11" s="36">
        <f t="shared" si="4"/>
        <v>4000</v>
      </c>
      <c r="P11" s="36">
        <f>VLOOKUP($A11,[26]HISTODEC25!$A$6:$AU$51,8,0)</f>
        <v>0</v>
      </c>
      <c r="Q11" s="36">
        <f>VLOOKUP($A11,[26]HISTODEC25!$A$6:$AU$51,23,0)</f>
        <v>0</v>
      </c>
      <c r="R11" s="36">
        <f>VLOOKUP($A11,[26]HISTODEC25!$A$6:$AU$51,46,0)</f>
        <v>0</v>
      </c>
      <c r="S11" s="36">
        <f>VLOOKUP($A11,[26]HISTODEC25!$A$6:$AU$51,26,0)</f>
        <v>1000000</v>
      </c>
      <c r="T11" s="36">
        <f>VLOOKUP($A11,[26]HISTODEC25!$A$6:$BG$51,58,0)</f>
        <v>120000</v>
      </c>
      <c r="U11" s="36">
        <f>VLOOKUP($A11,[26]HISTODEC25!$A$6:$AU$51,28,0)</f>
        <v>0</v>
      </c>
      <c r="V11" s="36">
        <f>VLOOKUP($A11,[26]HISTODEC25!$A$6:$AU$51,19,0)</f>
        <v>1000000</v>
      </c>
      <c r="W11" s="36" t="str">
        <f>VLOOKUP($A11,[26]HISTODEC25!$A$6:$AU$51,20,0)</f>
        <v>ESPECES</v>
      </c>
      <c r="X11" s="36" t="str">
        <f>VLOOKUP($A11,[26]HISTODEC25!$A$6:$AU$51,27,0)</f>
        <v>BANQUE</v>
      </c>
      <c r="Y11" s="36">
        <f>VLOOKUP($A11,[26]HISTODEC25!$A$6:$BM$51,33,0)</f>
        <v>0</v>
      </c>
      <c r="Z11" s="36">
        <f>VLOOKUP($A11,[26]HISTODEC25!$A$6:$BM$51,64,0)</f>
        <v>0</v>
      </c>
      <c r="AA11" s="36"/>
      <c r="AB11" s="36">
        <f>VLOOKUP($A11,[26]HISTODEC25!$A$6:$AU$51,44,0)</f>
        <v>0</v>
      </c>
      <c r="AC11" s="36">
        <f>VLOOKUP($A11,[26]HISTODEC25!$A$6:$AU$51,43,0)</f>
        <v>0</v>
      </c>
      <c r="AD11" s="36">
        <f>VLOOKUP($A11,[26]HISTODEC25!$A$6:$BR$51,47,0)</f>
        <v>0</v>
      </c>
      <c r="AE11" s="36">
        <f>VLOOKUP(A11,[26]HISTODEC25!$A$6:$BR$51,54,0)</f>
        <v>0</v>
      </c>
      <c r="AF11" s="36">
        <f>VLOOKUP($A11,[26]HISTODEC25!$A$6:$BR$51,60,0)</f>
        <v>0</v>
      </c>
      <c r="AG11" s="36">
        <f>VLOOKUP($A11,[26]HISTODEC25!$A$6:$CB$51,61,0)</f>
        <v>0</v>
      </c>
      <c r="AH11" s="36">
        <f>VLOOKUP($A11,[26]HISTODEC25!$A$6:$CB$51,62,0)</f>
        <v>0</v>
      </c>
      <c r="AI11" s="36">
        <f>VLOOKUP($A11,[26]HISTODEC25!$A$6:$CB$51,63,0)</f>
        <v>100000</v>
      </c>
      <c r="AJ11" s="36">
        <f>VLOOKUP($A11,[26]HISTODEC25!$A$6:$BR$51,64,0)</f>
        <v>0</v>
      </c>
      <c r="AK11" s="36">
        <f>VLOOKUP($A11,[26]HISTODEC25!$A$6:$BR$51,65,0)</f>
        <v>0</v>
      </c>
    </row>
    <row r="12" spans="1:39" x14ac:dyDescent="0.35">
      <c r="A12" s="1" t="s">
        <v>25</v>
      </c>
      <c r="B12" s="1" t="str">
        <f>VLOOKUP(A12,[24]LISTADHERENT!A$5:H$60,3,0)</f>
        <v>DJUOMBESSY ANTOINE</v>
      </c>
      <c r="C12" s="36"/>
      <c r="D12" s="36"/>
      <c r="E12" s="36">
        <f>VLOOKUP($A12,[26]HISTODEC25!$A$6:$BA$51,48,0)</f>
        <v>0</v>
      </c>
      <c r="F12" s="36">
        <f>VLOOKUP(A12,MVTNOV25!A12:AM48,6,0)+MVTNOV25!H12-E12+L12</f>
        <v>2108766.2464228673</v>
      </c>
      <c r="G12" s="5">
        <f>IF(MVTDEC25!F12&gt;800000,(MVTAVRIL25!I12-E12+L12),0)</f>
        <v>1680370.9161111314</v>
      </c>
      <c r="H12" s="36">
        <f>VLOOKUP(A12,[27]MVTDEC25!$A$6:$AM$42,8,0)</f>
        <v>66395.676487863951</v>
      </c>
      <c r="I12" s="6">
        <f t="shared" si="1"/>
        <v>2175161.9229107313</v>
      </c>
      <c r="J12" s="36">
        <f>VLOOKUP($A12,[26]HISTODEC25!$A$6:$AQ$51,22,0)</f>
        <v>0</v>
      </c>
      <c r="K12" s="36">
        <f>VLOOKUP($A12,[26]HISTODEC25!$A$6:$AU$51,45,0)</f>
        <v>35000</v>
      </c>
      <c r="L12" s="36">
        <f t="shared" si="2"/>
        <v>29000</v>
      </c>
      <c r="M12" s="36">
        <f t="shared" si="3"/>
        <v>1000</v>
      </c>
      <c r="N12" s="36">
        <f t="shared" si="0"/>
        <v>1000</v>
      </c>
      <c r="O12" s="36">
        <f t="shared" si="4"/>
        <v>4000</v>
      </c>
      <c r="P12" s="36">
        <f>VLOOKUP($A12,[26]HISTODEC25!$A$6:$AU$51,8,0)</f>
        <v>0</v>
      </c>
      <c r="Q12" s="36">
        <f>VLOOKUP($A12,[26]HISTODEC25!$A$6:$AU$51,23,0)</f>
        <v>0</v>
      </c>
      <c r="R12" s="36">
        <f>VLOOKUP($A12,[26]HISTODEC25!$A$6:$AU$51,46,0)</f>
        <v>0</v>
      </c>
      <c r="S12" s="36">
        <f>VLOOKUP($A12,[26]HISTODEC25!$A$6:$AU$51,26,0)</f>
        <v>1000000</v>
      </c>
      <c r="T12" s="36">
        <f>VLOOKUP($A12,[26]HISTODEC25!$A$6:$BG$51,58,0)</f>
        <v>60000</v>
      </c>
      <c r="U12" s="36">
        <f>VLOOKUP($A12,[26]HISTODEC25!$A$6:$AU$51,28,0)</f>
        <v>0</v>
      </c>
      <c r="V12" s="36">
        <f>VLOOKUP($A12,[26]HISTODEC25!$A$6:$AU$51,19,0)</f>
        <v>0</v>
      </c>
      <c r="W12" s="36">
        <f>VLOOKUP($A12,[26]HISTODEC25!$A$6:$AU$51,20,0)</f>
        <v>0</v>
      </c>
      <c r="X12" s="36" t="str">
        <f>VLOOKUP($A12,[26]HISTODEC25!$A$6:$AU$51,27,0)</f>
        <v>BANQUE</v>
      </c>
      <c r="Y12" s="36">
        <f>VLOOKUP($A12,[26]HISTODEC25!$A$6:$BM$51,33,0)</f>
        <v>0</v>
      </c>
      <c r="Z12" s="36">
        <f>VLOOKUP($A12,[26]HISTODEC25!$A$6:$BM$51,64,0)</f>
        <v>0</v>
      </c>
      <c r="AA12" s="36"/>
      <c r="AB12" s="36">
        <f>VLOOKUP($A12,[26]HISTODEC25!$A$6:$AU$51,44,0)</f>
        <v>0</v>
      </c>
      <c r="AC12" s="36">
        <f>VLOOKUP($A12,[26]HISTODEC25!$A$6:$AU$51,43,0)</f>
        <v>0</v>
      </c>
      <c r="AD12" s="36">
        <f>VLOOKUP($A12,[26]HISTODEC25!$A$6:$BR$51,47,0)</f>
        <v>0</v>
      </c>
      <c r="AE12" s="36">
        <f>VLOOKUP(A12,[26]HISTODEC25!$A$6:$BR$51,54,0)</f>
        <v>0</v>
      </c>
      <c r="AF12" s="36">
        <f>VLOOKUP($A12,[26]HISTODEC25!$A$6:$BR$51,60,0)</f>
        <v>0</v>
      </c>
      <c r="AG12" s="36">
        <f>VLOOKUP($A12,[26]HISTODEC25!$A$6:$CB$51,61,0)</f>
        <v>0</v>
      </c>
      <c r="AH12" s="36">
        <f>VLOOKUP($A12,[26]HISTODEC25!$A$6:$CB$51,62,0)</f>
        <v>0</v>
      </c>
      <c r="AI12" s="36">
        <f>VLOOKUP($A12,[26]HISTODEC25!$A$6:$CB$51,63,0)</f>
        <v>0</v>
      </c>
      <c r="AJ12" s="36">
        <f>VLOOKUP($A12,[26]HISTODEC25!$A$6:$BR$51,64,0)</f>
        <v>0</v>
      </c>
      <c r="AK12" s="36">
        <f>VLOOKUP($A12,[26]HISTODEC25!$A$6:$BR$51,65,0)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/>
      <c r="D13" s="36"/>
      <c r="E13" s="36">
        <f>VLOOKUP($A13,[26]HISTODEC25!$A$6:$BA$51,48,0)</f>
        <v>0</v>
      </c>
      <c r="F13" s="36">
        <f>VLOOKUP(A13,MVTNOV25!A13:AM49,6,0)+MVTNOV25!H13-E13+L13</f>
        <v>1102352.388588395</v>
      </c>
      <c r="G13" s="5">
        <f>IF(MVTDEC25!F13&gt;800000,(MVTAVRIL25!I13-E13+L13),0)</f>
        <v>960839.16973006097</v>
      </c>
      <c r="H13" s="36">
        <f>VLOOKUP(A13,[27]MVTDEC25!$A$6:$AM$42,8,0)</f>
        <v>34708.177206693683</v>
      </c>
      <c r="I13" s="6">
        <f t="shared" si="1"/>
        <v>1137060.5657950887</v>
      </c>
      <c r="J13" s="36">
        <f>VLOOKUP($A13,[26]HISTODEC25!$A$6:$AQ$51,22,0)</f>
        <v>0</v>
      </c>
      <c r="K13" s="36">
        <f>VLOOKUP($A13,[26]HISTODEC25!$A$6:$AU$51,45,0)</f>
        <v>25000</v>
      </c>
      <c r="L13" s="36">
        <f t="shared" si="2"/>
        <v>19000</v>
      </c>
      <c r="M13" s="36">
        <f t="shared" si="3"/>
        <v>1000</v>
      </c>
      <c r="N13" s="36">
        <f t="shared" si="0"/>
        <v>1000</v>
      </c>
      <c r="O13" s="36">
        <f t="shared" si="4"/>
        <v>4000</v>
      </c>
      <c r="P13" s="36">
        <f>VLOOKUP($A13,[26]HISTODEC25!$A$6:$AU$51,8,0)</f>
        <v>0</v>
      </c>
      <c r="Q13" s="36">
        <f>VLOOKUP($A13,[26]HISTODEC25!$A$6:$AU$51,23,0)</f>
        <v>0</v>
      </c>
      <c r="R13" s="36">
        <f>VLOOKUP($A13,[26]HISTODEC25!$A$6:$AU$51,46,0)</f>
        <v>0</v>
      </c>
      <c r="S13" s="36">
        <f>VLOOKUP($A13,[26]HISTODEC25!$A$6:$AU$51,26,0)</f>
        <v>0</v>
      </c>
      <c r="T13" s="36">
        <f>VLOOKUP($A13,[26]HISTODEC25!$A$6:$BG$51,58,0)</f>
        <v>0</v>
      </c>
      <c r="U13" s="36">
        <f>VLOOKUP($A13,[26]HISTODEC25!$A$6:$AU$51,28,0)</f>
        <v>0</v>
      </c>
      <c r="V13" s="36">
        <f>VLOOKUP($A13,[26]HISTODEC25!$A$6:$AU$51,19,0)</f>
        <v>0</v>
      </c>
      <c r="W13" s="36">
        <f>VLOOKUP($A13,[26]HISTODEC25!$A$6:$AU$51,20,0)</f>
        <v>0</v>
      </c>
      <c r="X13" s="36">
        <f>VLOOKUP($A13,[26]HISTODEC25!$A$6:$AU$51,27,0)</f>
        <v>0</v>
      </c>
      <c r="Y13" s="36">
        <f>VLOOKUP($A13,[26]HISTODEC25!$A$6:$BM$51,33,0)</f>
        <v>0</v>
      </c>
      <c r="Z13" s="36">
        <f>VLOOKUP($A13,[26]HISTODEC25!$A$6:$BM$51,64,0)</f>
        <v>0</v>
      </c>
      <c r="AA13" s="36"/>
      <c r="AB13" s="36">
        <f>VLOOKUP($A13,[26]HISTODEC25!$A$6:$AU$51,44,0)</f>
        <v>0</v>
      </c>
      <c r="AC13" s="36">
        <f>VLOOKUP($A13,[26]HISTODEC25!$A$6:$AU$51,43,0)</f>
        <v>0</v>
      </c>
      <c r="AD13" s="36">
        <f>VLOOKUP($A13,[26]HISTODEC25!$A$6:$BR$51,47,0)</f>
        <v>0</v>
      </c>
      <c r="AE13" s="36">
        <f>VLOOKUP(A13,[26]HISTODEC25!$A$6:$BR$51,54,0)</f>
        <v>0</v>
      </c>
      <c r="AF13" s="36">
        <f>VLOOKUP($A13,[26]HISTODEC25!$A$6:$BR$51,60,0)</f>
        <v>0</v>
      </c>
      <c r="AG13" s="36">
        <f>VLOOKUP($A13,[26]HISTODEC25!$A$6:$CB$51,61,0)</f>
        <v>0</v>
      </c>
      <c r="AH13" s="36">
        <f>VLOOKUP($A13,[26]HISTODEC25!$A$6:$CB$51,62,0)</f>
        <v>0</v>
      </c>
      <c r="AI13" s="36">
        <f>VLOOKUP($A13,[26]HISTODEC25!$A$6:$CB$51,63,0)</f>
        <v>0</v>
      </c>
      <c r="AJ13" s="36">
        <f>VLOOKUP($A13,[26]HISTODEC25!$A$6:$BR$51,64,0)</f>
        <v>0</v>
      </c>
      <c r="AK13" s="36">
        <f>VLOOKUP($A13,[26]HISTODEC25!$A$6:$BR$51,65,0)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/>
      <c r="D14" s="36"/>
      <c r="E14" s="36">
        <f>VLOOKUP($A14,[26]HISTODEC25!$A$6:$BA$51,48,0)</f>
        <v>0</v>
      </c>
      <c r="F14" s="36">
        <f>VLOOKUP(A14,MVTNOV25!A14:AM50,6,0)+MVTNOV25!H14-E14+L14</f>
        <v>1852068.1319297918</v>
      </c>
      <c r="G14" s="5">
        <f>IF(MVTDEC25!F14&gt;800000,(MVTAVRIL25!I14-E14+L14),0)</f>
        <v>1707311.1164119579</v>
      </c>
      <c r="H14" s="36">
        <f>VLOOKUP(A14,[27]MVTDEC25!$A$6:$AM$42,8,0)</f>
        <v>58313.393781642575</v>
      </c>
      <c r="I14" s="6">
        <f t="shared" si="1"/>
        <v>1910381.5257114344</v>
      </c>
      <c r="J14" s="36">
        <f>VLOOKUP($A14,[26]HISTODEC25!$A$6:$AQ$51,22,0)</f>
        <v>0</v>
      </c>
      <c r="K14" s="36">
        <f>VLOOKUP($A14,[26]HISTODEC25!$A$6:$AU$51,45,0)</f>
        <v>25000</v>
      </c>
      <c r="L14" s="36">
        <f t="shared" si="2"/>
        <v>19000</v>
      </c>
      <c r="M14" s="36">
        <f t="shared" si="3"/>
        <v>1000</v>
      </c>
      <c r="N14" s="36">
        <f t="shared" si="0"/>
        <v>1000</v>
      </c>
      <c r="O14" s="36">
        <f t="shared" si="4"/>
        <v>4000</v>
      </c>
      <c r="P14" s="36">
        <f>VLOOKUP($A14,[26]HISTODEC25!$A$6:$AU$51,8,0)</f>
        <v>0</v>
      </c>
      <c r="Q14" s="36">
        <f>VLOOKUP($A14,[26]HISTODEC25!$A$6:$AU$51,23,0)</f>
        <v>0</v>
      </c>
      <c r="R14" s="36">
        <f>VLOOKUP($A14,[26]HISTODEC25!$A$6:$AU$51,46,0)</f>
        <v>0</v>
      </c>
      <c r="S14" s="36">
        <f>VLOOKUP($A14,[26]HISTODEC25!$A$6:$AU$51,26,0)</f>
        <v>0</v>
      </c>
      <c r="T14" s="36">
        <f>VLOOKUP($A14,[26]HISTODEC25!$A$6:$BG$51,58,0)</f>
        <v>0</v>
      </c>
      <c r="U14" s="36">
        <f>VLOOKUP($A14,[26]HISTODEC25!$A$6:$AU$51,28,0)</f>
        <v>0</v>
      </c>
      <c r="V14" s="36">
        <f>VLOOKUP($A14,[26]HISTODEC25!$A$6:$AU$51,19,0)</f>
        <v>0</v>
      </c>
      <c r="W14" s="36">
        <f>VLOOKUP($A14,[26]HISTODEC25!$A$6:$AU$51,20,0)</f>
        <v>0</v>
      </c>
      <c r="X14" s="36">
        <f>VLOOKUP($A14,[26]HISTODEC25!$A$6:$AU$51,27,0)</f>
        <v>0</v>
      </c>
      <c r="Y14" s="36">
        <f>VLOOKUP($A14,[26]HISTODEC25!$A$6:$BM$51,33,0)</f>
        <v>0</v>
      </c>
      <c r="Z14" s="36">
        <f>VLOOKUP($A14,[26]HISTODEC25!$A$6:$BM$51,64,0)</f>
        <v>0</v>
      </c>
      <c r="AA14" s="36"/>
      <c r="AB14" s="36">
        <f>VLOOKUP($A14,[26]HISTODEC25!$A$6:$AU$51,44,0)</f>
        <v>0</v>
      </c>
      <c r="AC14" s="36">
        <f>VLOOKUP($A14,[26]HISTODEC25!$A$6:$AU$51,43,0)</f>
        <v>0</v>
      </c>
      <c r="AD14" s="36">
        <f>VLOOKUP($A14,[26]HISTODEC25!$A$6:$BR$51,47,0)</f>
        <v>0</v>
      </c>
      <c r="AE14" s="36">
        <f>VLOOKUP(A14,[26]HISTODEC25!$A$6:$BR$51,54,0)</f>
        <v>0</v>
      </c>
      <c r="AF14" s="36">
        <f>VLOOKUP($A14,[26]HISTODEC25!$A$6:$BR$51,60,0)</f>
        <v>0</v>
      </c>
      <c r="AG14" s="36">
        <f>VLOOKUP($A14,[26]HISTODEC25!$A$6:$CB$51,61,0)</f>
        <v>0</v>
      </c>
      <c r="AH14" s="36">
        <f>VLOOKUP($A14,[26]HISTODEC25!$A$6:$CB$51,62,0)</f>
        <v>0</v>
      </c>
      <c r="AI14" s="36">
        <f>VLOOKUP($A14,[26]HISTODEC25!$A$6:$CB$51,63,0)</f>
        <v>0</v>
      </c>
      <c r="AJ14" s="36">
        <f>VLOOKUP($A14,[26]HISTODEC25!$A$6:$BR$51,64,0)</f>
        <v>0</v>
      </c>
      <c r="AK14" s="36">
        <f>VLOOKUP($A14,[26]HISTODEC25!$A$6:$BR$51,65,0)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/>
      <c r="D15" s="36"/>
      <c r="E15" s="36">
        <f>VLOOKUP($A15,[26]HISTODEC25!$A$6:$BA$51,48,0)</f>
        <v>0</v>
      </c>
      <c r="F15" s="36">
        <f>VLOOKUP(A15,MVTNOV25!A15:AM51,6,0)+MVTNOV25!H15-E15+L15</f>
        <v>1832255.3358519438</v>
      </c>
      <c r="G15" s="5">
        <f>IF(MVTDEC25!F15&gt;800000,(MVTAVRIL25!I15-E15+L15),0)</f>
        <v>95000</v>
      </c>
      <c r="H15" s="36">
        <f>VLOOKUP(A15,[27]MVTDEC25!$A$6:$AM$42,8,0)</f>
        <v>52935.258026856776</v>
      </c>
      <c r="I15" s="6">
        <f t="shared" si="1"/>
        <v>1885190.5938788005</v>
      </c>
      <c r="J15" s="36">
        <f>VLOOKUP($A15,[26]HISTODEC25!$A$6:$AQ$51,22,0)</f>
        <v>0</v>
      </c>
      <c r="K15" s="36">
        <f>VLOOKUP($A15,[26]HISTODEC25!$A$6:$AU$51,45,0)</f>
        <v>25000</v>
      </c>
      <c r="L15" s="36">
        <f t="shared" si="2"/>
        <v>19000</v>
      </c>
      <c r="M15" s="36">
        <f t="shared" si="3"/>
        <v>1000</v>
      </c>
      <c r="N15" s="36">
        <f t="shared" si="0"/>
        <v>1000</v>
      </c>
      <c r="O15" s="36">
        <f t="shared" si="4"/>
        <v>4000</v>
      </c>
      <c r="P15" s="36">
        <f>VLOOKUP($A15,[26]HISTODEC25!$A$6:$AU$51,8,0)</f>
        <v>0</v>
      </c>
      <c r="Q15" s="36">
        <f>VLOOKUP($A15,[26]HISTODEC25!$A$6:$AU$51,23,0)</f>
        <v>0</v>
      </c>
      <c r="R15" s="36">
        <f>VLOOKUP($A15,[26]HISTODEC25!$A$6:$AU$51,46,0)</f>
        <v>0</v>
      </c>
      <c r="S15" s="36">
        <f>VLOOKUP($A15,[26]HISTODEC25!$A$6:$AU$51,26,0)</f>
        <v>0</v>
      </c>
      <c r="T15" s="36">
        <f>VLOOKUP($A15,[26]HISTODEC25!$A$6:$BG$51,58,0)</f>
        <v>0</v>
      </c>
      <c r="U15" s="36">
        <f>VLOOKUP($A15,[26]HISTODEC25!$A$6:$AU$51,28,0)</f>
        <v>0</v>
      </c>
      <c r="V15" s="36">
        <f>VLOOKUP($A15,[26]HISTODEC25!$A$6:$AU$51,19,0)</f>
        <v>0</v>
      </c>
      <c r="W15" s="36">
        <f>VLOOKUP($A15,[26]HISTODEC25!$A$6:$AU$51,20,0)</f>
        <v>0</v>
      </c>
      <c r="X15" s="36">
        <f>VLOOKUP($A15,[26]HISTODEC25!$A$6:$AU$51,27,0)</f>
        <v>0</v>
      </c>
      <c r="Y15" s="36">
        <f>VLOOKUP($A15,[26]HISTODEC25!$A$6:$BM$51,33,0)</f>
        <v>0</v>
      </c>
      <c r="Z15" s="36">
        <f>VLOOKUP($A15,[26]HISTODEC25!$A$6:$BM$51,64,0)</f>
        <v>0</v>
      </c>
      <c r="AA15" s="36"/>
      <c r="AB15" s="36">
        <f>VLOOKUP($A15,[26]HISTODEC25!$A$6:$AU$51,44,0)</f>
        <v>0</v>
      </c>
      <c r="AC15" s="36">
        <f>VLOOKUP($A15,[26]HISTODEC25!$A$6:$AU$51,43,0)</f>
        <v>0</v>
      </c>
      <c r="AD15" s="36">
        <f>VLOOKUP($A15,[26]HISTODEC25!$A$6:$BR$51,47,0)</f>
        <v>0</v>
      </c>
      <c r="AE15" s="36">
        <f>VLOOKUP(A15,[26]HISTODEC25!$A$6:$BR$51,54,0)</f>
        <v>0</v>
      </c>
      <c r="AF15" s="36">
        <f>VLOOKUP($A15,[26]HISTODEC25!$A$6:$BR$51,60,0)</f>
        <v>0</v>
      </c>
      <c r="AG15" s="36">
        <f>VLOOKUP($A15,[26]HISTODEC25!$A$6:$CB$51,61,0)</f>
        <v>0</v>
      </c>
      <c r="AH15" s="36">
        <f>VLOOKUP($A15,[26]HISTODEC25!$A$6:$CB$51,62,0)</f>
        <v>0</v>
      </c>
      <c r="AI15" s="36">
        <f>VLOOKUP($A15,[26]HISTODEC25!$A$6:$CB$51,63,0)</f>
        <v>0</v>
      </c>
      <c r="AJ15" s="36">
        <f>VLOOKUP($A15,[26]HISTODEC25!$A$6:$BR$51,64,0)</f>
        <v>0</v>
      </c>
      <c r="AK15" s="36">
        <f>VLOOKUP($A15,[26]HISTODEC25!$A$6:$BR$51,65,0)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/>
      <c r="D16" s="36"/>
      <c r="E16" s="36">
        <f>VLOOKUP($A16,[26]HISTODEC25!$A$6:$BA$51,48,0)</f>
        <v>0</v>
      </c>
      <c r="F16" s="36">
        <f>VLOOKUP(A16,MVTNOV25!A16:AM52,6,0)+MVTNOV25!H16-E16+L16</f>
        <v>1124150.586920389</v>
      </c>
      <c r="G16" s="5">
        <f>IF(MVTDEC25!F16&gt;800000,(MVTAVRIL25!I16-E16+L16),0)</f>
        <v>982672.27536945511</v>
      </c>
      <c r="H16" s="36">
        <f>VLOOKUP(A16,[27]MVTDEC25!$A$6:$AM$42,8,0)</f>
        <v>34575.881147475018</v>
      </c>
      <c r="I16" s="6">
        <f t="shared" si="1"/>
        <v>1158726.468067864</v>
      </c>
      <c r="J16" s="36">
        <f>VLOOKUP($A16,[26]HISTODEC25!$A$6:$AQ$51,22,0)</f>
        <v>0</v>
      </c>
      <c r="K16" s="36">
        <f>VLOOKUP($A16,[26]HISTODEC25!$A$6:$AU$51,45,0)</f>
        <v>25000</v>
      </c>
      <c r="L16" s="36">
        <f>IF(K16=0,0,K16-(M16+N16+O16))+26000</f>
        <v>45000</v>
      </c>
      <c r="M16" s="36">
        <f t="shared" si="3"/>
        <v>1000</v>
      </c>
      <c r="N16" s="36">
        <f t="shared" si="0"/>
        <v>1000</v>
      </c>
      <c r="O16" s="36">
        <f t="shared" si="4"/>
        <v>4000</v>
      </c>
      <c r="P16" s="36">
        <f>VLOOKUP($A16,[26]HISTODEC25!$A$6:$AU$51,8,0)</f>
        <v>0</v>
      </c>
      <c r="Q16" s="36">
        <f>VLOOKUP($A16,[26]HISTODEC25!$A$6:$AU$51,23,0)</f>
        <v>0</v>
      </c>
      <c r="R16" s="36">
        <f>VLOOKUP($A16,[26]HISTODEC25!$A$6:$AU$51,46,0)</f>
        <v>0</v>
      </c>
      <c r="S16" s="36">
        <f>VLOOKUP($A16,[26]HISTODEC25!$A$6:$AU$51,26,0)</f>
        <v>0</v>
      </c>
      <c r="T16" s="36">
        <f>VLOOKUP($A16,[26]HISTODEC25!$A$6:$BG$51,58,0)</f>
        <v>0</v>
      </c>
      <c r="U16" s="36">
        <f>VLOOKUP($A16,[26]HISTODEC25!$A$6:$AU$51,28,0)</f>
        <v>0</v>
      </c>
      <c r="V16" s="36">
        <f>VLOOKUP($A16,[26]HISTODEC25!$A$6:$AU$51,19,0)</f>
        <v>0</v>
      </c>
      <c r="W16" s="36">
        <f>VLOOKUP($A16,[26]HISTODEC25!$A$6:$AU$51,20,0)</f>
        <v>0</v>
      </c>
      <c r="X16" s="36">
        <f>VLOOKUP($A16,[26]HISTODEC25!$A$6:$AU$51,27,0)</f>
        <v>0</v>
      </c>
      <c r="Y16" s="36">
        <f>VLOOKUP($A16,[26]HISTODEC25!$A$6:$BM$51,33,0)</f>
        <v>0</v>
      </c>
      <c r="Z16" s="36">
        <f>VLOOKUP($A16,[26]HISTODEC25!$A$6:$BM$51,64,0)</f>
        <v>0</v>
      </c>
      <c r="AA16" s="36"/>
      <c r="AB16" s="36">
        <f>VLOOKUP($A16,[26]HISTODEC25!$A$6:$AU$51,44,0)</f>
        <v>0</v>
      </c>
      <c r="AC16" s="36">
        <f>VLOOKUP($A16,[26]HISTODEC25!$A$6:$AU$51,43,0)</f>
        <v>0</v>
      </c>
      <c r="AD16" s="36">
        <f>VLOOKUP($A16,[26]HISTODEC25!$A$6:$BR$51,47,0)</f>
        <v>0</v>
      </c>
      <c r="AE16" s="36">
        <f>VLOOKUP(A16,[26]HISTODEC25!$A$6:$BR$51,54,0)</f>
        <v>0</v>
      </c>
      <c r="AF16" s="36">
        <f>VLOOKUP($A16,[26]HISTODEC25!$A$6:$BR$51,60,0)</f>
        <v>0</v>
      </c>
      <c r="AG16" s="36">
        <f>VLOOKUP($A16,[26]HISTODEC25!$A$6:$CB$51,61,0)</f>
        <v>0</v>
      </c>
      <c r="AH16" s="36">
        <f>VLOOKUP($A16,[26]HISTODEC25!$A$6:$CB$51,62,0)</f>
        <v>0</v>
      </c>
      <c r="AI16" s="36">
        <f>VLOOKUP($A16,[26]HISTODEC25!$A$6:$CB$51,63,0)</f>
        <v>0</v>
      </c>
      <c r="AJ16" s="36">
        <f>VLOOKUP($A16,[26]HISTODEC25!$A$6:$BR$51,64,0)</f>
        <v>0</v>
      </c>
      <c r="AK16" s="36">
        <f>VLOOKUP($A16,[26]HISTODEC25!$A$6:$BR$51,65,0)</f>
        <v>0</v>
      </c>
    </row>
    <row r="17" spans="1:37" x14ac:dyDescent="0.35">
      <c r="A17" s="1" t="s">
        <v>29</v>
      </c>
      <c r="B17" s="1" t="str">
        <f>VLOOKUP(A17,[24]LISTADHERENT!A$5:H$60,3,0)</f>
        <v>HOTCHO BENJAMIN</v>
      </c>
      <c r="C17" s="36"/>
      <c r="D17" s="36"/>
      <c r="E17" s="36">
        <f>VLOOKUP($A17,[26]HISTODEC25!$A$6:$BA$51,48,0)</f>
        <v>0</v>
      </c>
      <c r="F17" s="36">
        <f>VLOOKUP(A17,MVTNOV25!A17:AM53,6,0)+MVTNOV25!H17-E17+L17</f>
        <v>1390530.5257330714</v>
      </c>
      <c r="G17" s="5">
        <f>IF(MVTDEC25!F17&gt;800000,(MVTAVRIL25!I17-E17+L17),0)</f>
        <v>1092859.9095470994</v>
      </c>
      <c r="H17" s="36">
        <f>VLOOKUP(A17,[27]MVTDEC25!$A$6:$AM$42,8,0)</f>
        <v>43781.625910261544</v>
      </c>
      <c r="I17" s="6">
        <f t="shared" si="1"/>
        <v>1434312.151643333</v>
      </c>
      <c r="J17" s="36">
        <f>VLOOKUP($A17,[26]HISTODEC25!$A$6:$AQ$51,22,0)</f>
        <v>0</v>
      </c>
      <c r="K17" s="36">
        <f>VLOOKUP($A17,[26]HISTODEC25!$A$6:$AU$51,45,0)</f>
        <v>50000</v>
      </c>
      <c r="L17" s="36">
        <f t="shared" si="2"/>
        <v>44000</v>
      </c>
      <c r="M17" s="36">
        <f t="shared" si="3"/>
        <v>1000</v>
      </c>
      <c r="N17" s="36">
        <f t="shared" si="0"/>
        <v>1000</v>
      </c>
      <c r="O17" s="36">
        <f t="shared" si="4"/>
        <v>4000</v>
      </c>
      <c r="P17" s="36">
        <f>VLOOKUP($A17,[26]HISTODEC25!$A$6:$AU$51,8,0)</f>
        <v>0</v>
      </c>
      <c r="Q17" s="36">
        <f>VLOOKUP($A17,[26]HISTODEC25!$A$6:$AU$51,23,0)</f>
        <v>0</v>
      </c>
      <c r="R17" s="36">
        <f>VLOOKUP($A17,[26]HISTODEC25!$A$6:$AU$51,46,0)</f>
        <v>0</v>
      </c>
      <c r="S17" s="36">
        <f>VLOOKUP($A17,[26]HISTODEC25!$A$6:$AU$51,26,0)</f>
        <v>400000</v>
      </c>
      <c r="T17" s="36">
        <f>VLOOKUP($A17,[26]HISTODEC25!$A$6:$BG$51,58,0)</f>
        <v>8000</v>
      </c>
      <c r="U17" s="36">
        <f>VLOOKUP($A17,[26]HISTODEC25!$A$6:$AU$51,28,0)</f>
        <v>0</v>
      </c>
      <c r="V17" s="36">
        <f>VLOOKUP($A17,[26]HISTODEC25!$A$6:$AU$51,19,0)</f>
        <v>400000</v>
      </c>
      <c r="W17" s="36" t="str">
        <f>VLOOKUP($A17,[26]HISTODEC25!$A$6:$AU$51,20,0)</f>
        <v>ESPECES</v>
      </c>
      <c r="X17" s="36" t="str">
        <f>VLOOKUP($A17,[26]HISTODEC25!$A$6:$AU$51,27,0)</f>
        <v>BANQUE</v>
      </c>
      <c r="Y17" s="36">
        <f>VLOOKUP($A17,[26]HISTODEC25!$A$6:$BM$51,33,0)</f>
        <v>0</v>
      </c>
      <c r="Z17" s="36">
        <f>VLOOKUP($A17,[26]HISTODEC25!$A$6:$BM$51,64,0)</f>
        <v>0</v>
      </c>
      <c r="AA17" s="36"/>
      <c r="AB17" s="36">
        <f>VLOOKUP($A17,[26]HISTODEC25!$A$6:$AU$51,44,0)</f>
        <v>0</v>
      </c>
      <c r="AC17" s="36">
        <f>VLOOKUP($A17,[26]HISTODEC25!$A$6:$AU$51,43,0)</f>
        <v>0</v>
      </c>
      <c r="AD17" s="36">
        <f>VLOOKUP($A17,[26]HISTODEC25!$A$6:$BR$51,47,0)</f>
        <v>0</v>
      </c>
      <c r="AE17" s="36">
        <f>VLOOKUP(A17,[26]HISTODEC25!$A$6:$BR$51,54,0)</f>
        <v>0</v>
      </c>
      <c r="AF17" s="36">
        <f>VLOOKUP($A17,[26]HISTODEC25!$A$6:$BR$51,60,0)</f>
        <v>0</v>
      </c>
      <c r="AG17" s="36">
        <f>VLOOKUP($A17,[26]HISTODEC25!$A$6:$CB$51,61,0)</f>
        <v>0</v>
      </c>
      <c r="AH17" s="36">
        <f>VLOOKUP($A17,[26]HISTODEC25!$A$6:$CB$51,62,0)</f>
        <v>0</v>
      </c>
      <c r="AI17" s="36">
        <f>VLOOKUP($A17,[26]HISTODEC25!$A$6:$CB$51,63,0)</f>
        <v>0</v>
      </c>
      <c r="AJ17" s="36">
        <f>VLOOKUP($A17,[26]HISTODEC25!$A$6:$BR$51,64,0)</f>
        <v>0</v>
      </c>
      <c r="AK17" s="36">
        <f>VLOOKUP($A17,[26]HISTODEC25!$A$6:$BR$51,65,0)</f>
        <v>0</v>
      </c>
    </row>
    <row r="18" spans="1:37" x14ac:dyDescent="0.35">
      <c r="A18" s="1" t="s">
        <v>33</v>
      </c>
      <c r="B18" s="1" t="str">
        <f>VLOOKUP(A18,[24]LISTADHERENT!A$5:H$60,3,0)</f>
        <v>KOUAMOU MOISE</v>
      </c>
      <c r="C18" s="36"/>
      <c r="D18" s="36"/>
      <c r="E18" s="36">
        <f>VLOOKUP($A18,[26]HISTODEC25!$A$6:$BA$51,48,0)</f>
        <v>0</v>
      </c>
      <c r="F18" s="36">
        <f>VLOOKUP(A18,MVTNOV25!A18:AM54,6,0)+MVTNOV25!H18-E18+L18</f>
        <v>1099338.9477266029</v>
      </c>
      <c r="G18" s="5">
        <f>IF(MVTDEC25!F18&gt;800000,(MVTAVRIL25!I18-E18+L18),0)</f>
        <v>960826.30000484944</v>
      </c>
      <c r="H18" s="36">
        <f>VLOOKUP(A18,[27]MVTDEC25!$A$6:$AM$42,8,0)</f>
        <v>34613.297347480147</v>
      </c>
      <c r="I18" s="6">
        <f t="shared" si="1"/>
        <v>1133952.2450740831</v>
      </c>
      <c r="J18" s="36">
        <f>VLOOKUP($A18,[26]HISTODEC25!$A$6:$AQ$51,22,0)</f>
        <v>0</v>
      </c>
      <c r="K18" s="36">
        <f>VLOOKUP($A18,[26]HISTODEC25!$A$6:$AU$51,45,0)</f>
        <v>25000</v>
      </c>
      <c r="L18" s="36">
        <f t="shared" si="2"/>
        <v>19000</v>
      </c>
      <c r="M18" s="36">
        <f t="shared" si="3"/>
        <v>1000</v>
      </c>
      <c r="N18" s="36">
        <f t="shared" si="0"/>
        <v>1000</v>
      </c>
      <c r="O18" s="36">
        <f t="shared" si="4"/>
        <v>4000</v>
      </c>
      <c r="P18" s="36">
        <f>VLOOKUP($A18,[26]HISTODEC25!$A$6:$AU$51,8,0)</f>
        <v>0</v>
      </c>
      <c r="Q18" s="36">
        <f>VLOOKUP($A18,[26]HISTODEC25!$A$6:$AU$51,23,0)</f>
        <v>0</v>
      </c>
      <c r="R18" s="36">
        <f>VLOOKUP($A18,[26]HISTODEC25!$A$6:$AU$51,46,0)</f>
        <v>0</v>
      </c>
      <c r="S18" s="36">
        <f>VLOOKUP($A18,[26]HISTODEC25!$A$6:$AU$51,26,0)</f>
        <v>500000</v>
      </c>
      <c r="T18" s="36">
        <f>VLOOKUP($A18,[26]HISTODEC25!$A$6:$BG$51,58,0)</f>
        <v>25000</v>
      </c>
      <c r="U18" s="36">
        <f>VLOOKUP($A18,[26]HISTODEC25!$A$6:$AU$51,28,0)</f>
        <v>0</v>
      </c>
      <c r="V18" s="36">
        <f>VLOOKUP($A18,[26]HISTODEC25!$A$6:$AU$51,19,0)</f>
        <v>500000</v>
      </c>
      <c r="W18" s="36" t="str">
        <f>VLOOKUP($A18,[26]HISTODEC25!$A$6:$AU$51,20,0)</f>
        <v>ESPECES</v>
      </c>
      <c r="X18" s="36" t="str">
        <f>VLOOKUP($A18,[26]HISTODEC25!$A$6:$AU$51,27,0)</f>
        <v>BANQUE</v>
      </c>
      <c r="Y18" s="36">
        <f>VLOOKUP($A18,[26]HISTODEC25!$A$6:$BM$51,33,0)</f>
        <v>0</v>
      </c>
      <c r="Z18" s="36">
        <f>VLOOKUP($A18,[26]HISTODEC25!$A$6:$BM$51,64,0)</f>
        <v>0</v>
      </c>
      <c r="AA18" s="36"/>
      <c r="AB18" s="36">
        <f>VLOOKUP($A18,[26]HISTODEC25!$A$6:$AU$51,44,0)</f>
        <v>0</v>
      </c>
      <c r="AC18" s="36">
        <f>VLOOKUP($A18,[26]HISTODEC25!$A$6:$AU$51,43,0)</f>
        <v>0</v>
      </c>
      <c r="AD18" s="36">
        <f>VLOOKUP($A18,[26]HISTODEC25!$A$6:$BR$51,47,0)</f>
        <v>0</v>
      </c>
      <c r="AE18" s="36">
        <f>VLOOKUP(A18,[26]HISTODEC25!$A$6:$BR$51,54,0)</f>
        <v>0</v>
      </c>
      <c r="AF18" s="36">
        <f>VLOOKUP($A18,[26]HISTODEC25!$A$6:$BR$51,60,0)</f>
        <v>0</v>
      </c>
      <c r="AG18" s="36">
        <f>VLOOKUP($A18,[26]HISTODEC25!$A$6:$CB$51,61,0)</f>
        <v>0</v>
      </c>
      <c r="AH18" s="36">
        <f>VLOOKUP($A18,[26]HISTODEC25!$A$6:$CB$51,62,0)</f>
        <v>0</v>
      </c>
      <c r="AI18" s="36">
        <f>VLOOKUP($A18,[26]HISTODEC25!$A$6:$CB$51,63,0)</f>
        <v>0</v>
      </c>
      <c r="AJ18" s="36">
        <f>VLOOKUP($A18,[26]HISTODEC25!$A$6:$BR$51,64,0)</f>
        <v>0</v>
      </c>
      <c r="AK18" s="36">
        <f>VLOOKUP($A18,[26]HISTODEC25!$A$6:$BR$51,65,0)</f>
        <v>0</v>
      </c>
    </row>
    <row r="19" spans="1:37" x14ac:dyDescent="0.35">
      <c r="A19" s="1" t="s">
        <v>35</v>
      </c>
      <c r="B19" s="1" t="str">
        <f>VLOOKUP(A19,[24]LISTADHERENT!A$5:H$60,3,0)</f>
        <v>KOUATCHO MESSACK</v>
      </c>
      <c r="C19" s="36"/>
      <c r="D19" s="36"/>
      <c r="E19" s="36">
        <f>VLOOKUP($A19,[26]HISTODEC25!$A$6:$BA$51,48,0)</f>
        <v>0</v>
      </c>
      <c r="F19" s="36">
        <f>VLOOKUP(A19,MVTNOV25!A19:AM55,6,0)+MVTNOV25!H19-E19+L19</f>
        <v>1212863.7819225998</v>
      </c>
      <c r="G19" s="5">
        <f>IF(MVTDEC25!F19&gt;800000,(MVTAVRIL25!I19-E19+L19),0)</f>
        <v>1014742.1499443398</v>
      </c>
      <c r="H19" s="36">
        <f>VLOOKUP(A19,[27]MVTDEC25!$A$6:$AM$42,8,0)</f>
        <v>38187.689804397494</v>
      </c>
      <c r="I19" s="6">
        <f t="shared" si="1"/>
        <v>1251051.4717269973</v>
      </c>
      <c r="J19" s="36">
        <f>VLOOKUP($A19,[26]HISTODEC25!$A$6:$AQ$51,22,0)</f>
        <v>0</v>
      </c>
      <c r="K19" s="36">
        <f>VLOOKUP($A19,[26]HISTODEC25!$A$6:$AU$51,45,0)</f>
        <v>35000</v>
      </c>
      <c r="L19" s="36">
        <f t="shared" si="2"/>
        <v>29000</v>
      </c>
      <c r="M19" s="36">
        <f t="shared" si="3"/>
        <v>1000</v>
      </c>
      <c r="N19" s="36">
        <f t="shared" si="0"/>
        <v>1000</v>
      </c>
      <c r="O19" s="36">
        <f t="shared" si="4"/>
        <v>4000</v>
      </c>
      <c r="P19" s="36">
        <f>VLOOKUP($A19,[26]HISTODEC25!$A$6:$AU$51,8,0)</f>
        <v>0</v>
      </c>
      <c r="Q19" s="36">
        <f>VLOOKUP($A19,[26]HISTODEC25!$A$6:$AU$51,23,0)</f>
        <v>0</v>
      </c>
      <c r="R19" s="36">
        <f>VLOOKUP($A19,[26]HISTODEC25!$A$6:$AU$51,46,0)</f>
        <v>0</v>
      </c>
      <c r="S19" s="36">
        <f>VLOOKUP($A19,[26]HISTODEC25!$A$6:$AU$51,26,0)</f>
        <v>1000000</v>
      </c>
      <c r="T19" s="36">
        <f>VLOOKUP($A19,[26]HISTODEC25!$A$6:$BG$51,58,0)</f>
        <v>120000</v>
      </c>
      <c r="U19" s="36">
        <f>VLOOKUP($A19,[26]HISTODEC25!$A$6:$AU$51,28,0)</f>
        <v>0</v>
      </c>
      <c r="V19" s="36">
        <f>VLOOKUP($A19,[26]HISTODEC25!$A$6:$AU$51,19,0)</f>
        <v>1000000</v>
      </c>
      <c r="W19" s="36" t="str">
        <f>VLOOKUP($A19,[26]HISTODEC25!$A$6:$AU$51,20,0)</f>
        <v>ESPECES</v>
      </c>
      <c r="X19" s="36" t="str">
        <f>VLOOKUP($A19,[26]HISTODEC25!$A$6:$AU$51,27,0)</f>
        <v>BANQUE</v>
      </c>
      <c r="Y19" s="36">
        <f>VLOOKUP($A19,[26]HISTODEC25!$A$6:$BM$51,33,0)</f>
        <v>0</v>
      </c>
      <c r="Z19" s="36">
        <f>VLOOKUP($A19,[26]HISTODEC25!$A$6:$BM$51,64,0)</f>
        <v>0</v>
      </c>
      <c r="AA19" s="36"/>
      <c r="AB19" s="36">
        <f>VLOOKUP($A19,[26]HISTODEC25!$A$6:$AU$51,44,0)</f>
        <v>0</v>
      </c>
      <c r="AC19" s="36">
        <f>VLOOKUP($A19,[26]HISTODEC25!$A$6:$AU$51,43,0)</f>
        <v>0</v>
      </c>
      <c r="AD19" s="36">
        <f>VLOOKUP($A19,[26]HISTODEC25!$A$6:$BR$51,47,0)</f>
        <v>0</v>
      </c>
      <c r="AE19" s="36">
        <f>VLOOKUP(A19,[26]HISTODEC25!$A$6:$BR$51,54,0)</f>
        <v>0</v>
      </c>
      <c r="AF19" s="36">
        <f>VLOOKUP($A19,[26]HISTODEC25!$A$6:$BR$51,60,0)</f>
        <v>0</v>
      </c>
      <c r="AG19" s="36">
        <f>VLOOKUP($A19,[26]HISTODEC25!$A$6:$CB$51,61,0)</f>
        <v>0</v>
      </c>
      <c r="AH19" s="36">
        <f>VLOOKUP($A19,[26]HISTODEC25!$A$6:$CB$51,62,0)</f>
        <v>0</v>
      </c>
      <c r="AI19" s="36">
        <f>VLOOKUP($A19,[26]HISTODEC25!$A$6:$CB$51,63,0)</f>
        <v>0</v>
      </c>
      <c r="AJ19" s="36">
        <f>VLOOKUP($A19,[26]HISTODEC25!$A$6:$BR$51,64,0)</f>
        <v>0</v>
      </c>
      <c r="AK19" s="36">
        <f>VLOOKUP($A19,[26]HISTODEC25!$A$6:$BR$51,65,0)</f>
        <v>0</v>
      </c>
    </row>
    <row r="20" spans="1:37" x14ac:dyDescent="0.35">
      <c r="A20" s="1" t="s">
        <v>36</v>
      </c>
      <c r="B20" s="1" t="str">
        <f>VLOOKUP(A20,[24]LISTADHERENT!A$5:H$50,3,0)</f>
        <v>LOWE JEAN</v>
      </c>
      <c r="C20" s="36"/>
      <c r="D20" s="36"/>
      <c r="E20" s="36">
        <f>VLOOKUP($A20,[26]HISTODEC25!$A$6:$BA$51,48,0)</f>
        <v>0</v>
      </c>
      <c r="F20" s="36">
        <f>VLOOKUP(A20,MVTNOV25!A20:AM56,6,0)+MVTNOV25!H20-E20+L20</f>
        <v>500000</v>
      </c>
      <c r="G20" s="5">
        <f>IF(MVTDEC25!F20&gt;800000,(MVTAVRIL25!I20-E20+L20),0)</f>
        <v>0</v>
      </c>
      <c r="H20" s="36">
        <f>VLOOKUP(A20,[27]MVTDEC25!$A$6:$AM$42,8,0)</f>
        <v>0</v>
      </c>
      <c r="I20" s="6">
        <f t="shared" ref="I20" si="5">F20+H20</f>
        <v>500000</v>
      </c>
      <c r="J20" s="36">
        <f>VLOOKUP($A20,[26]HISTODEC25!$A$6:$AQ$51,22,0)</f>
        <v>0</v>
      </c>
      <c r="K20" s="36">
        <f>VLOOKUP($A20,[26]HISTODEC25!$A$6:$AU$51,45,0)</f>
        <v>0</v>
      </c>
      <c r="L20" s="36">
        <f>IF(K20=0,0,K20-(M20+N20+O20))+50000</f>
        <v>50000</v>
      </c>
      <c r="M20" s="36">
        <f t="shared" ref="M20" si="6">IF(K20=0,0,1000)</f>
        <v>0</v>
      </c>
      <c r="N20" s="36">
        <f t="shared" ref="N20" si="7">IF(K20=0,0,1000)</f>
        <v>0</v>
      </c>
      <c r="O20" s="36">
        <f t="shared" ref="O20" si="8">IF(K20=0,0,4000)</f>
        <v>0</v>
      </c>
      <c r="P20" s="36">
        <f>VLOOKUP($A20,[26]HISTODEC25!$A$6:$AU$51,8,0)</f>
        <v>0</v>
      </c>
      <c r="Q20" s="36">
        <f>VLOOKUP($A20,[26]HISTODEC25!$A$6:$AU$51,23,0)</f>
        <v>0</v>
      </c>
      <c r="R20" s="36">
        <f>VLOOKUP($A20,[26]HISTODEC25!$A$6:$AU$51,46,0)</f>
        <v>0</v>
      </c>
      <c r="S20" s="36">
        <f>VLOOKUP($A20,[26]HISTODEC25!$A$6:$AU$51,26,0)</f>
        <v>0</v>
      </c>
      <c r="T20" s="36">
        <f>VLOOKUP($A20,[26]HISTODEC25!$A$6:$BG$51,58,0)</f>
        <v>0</v>
      </c>
      <c r="U20" s="36">
        <f>VLOOKUP($A20,[26]HISTODEC25!$A$6:$AU$51,28,0)</f>
        <v>0</v>
      </c>
      <c r="V20" s="36">
        <f>VLOOKUP($A20,[26]HISTODEC25!$A$6:$AU$51,19,0)</f>
        <v>0</v>
      </c>
      <c r="W20" s="36">
        <f>VLOOKUP($A20,[26]HISTODEC25!$A$6:$AU$51,20,0)</f>
        <v>0</v>
      </c>
      <c r="X20" s="36">
        <f>VLOOKUP($A20,[26]HISTODEC25!$A$6:$AU$51,27,0)</f>
        <v>0</v>
      </c>
      <c r="Y20" s="36">
        <f>VLOOKUP($A20,[26]HISTODEC25!$A$6:$BM$51,33,0)</f>
        <v>0</v>
      </c>
      <c r="Z20" s="36">
        <f>VLOOKUP($A20,[26]HISTODEC25!$A$6:$BM$51,64,0)</f>
        <v>0</v>
      </c>
      <c r="AA20" s="36"/>
      <c r="AB20" s="36">
        <f>VLOOKUP($A20,[26]HISTODEC25!$A$6:$AU$51,44,0)</f>
        <v>0</v>
      </c>
      <c r="AC20" s="36">
        <f>VLOOKUP($A20,[26]HISTODEC25!$A$6:$AU$51,43,0)</f>
        <v>0</v>
      </c>
      <c r="AD20" s="36">
        <f>VLOOKUP($A20,[26]HISTODEC25!$A$6:$BR$51,47,0)</f>
        <v>0</v>
      </c>
      <c r="AE20" s="36">
        <f>VLOOKUP(A20,[26]HISTODEC25!$A$6:$BR$51,54,0)</f>
        <v>0</v>
      </c>
      <c r="AF20" s="36">
        <f>VLOOKUP($A20,[26]HISTODEC25!$A$6:$BR$51,60,0)</f>
        <v>0</v>
      </c>
      <c r="AG20" s="36">
        <f>VLOOKUP($A20,[26]HISTODEC25!$A$6:$CB$51,61,0)</f>
        <v>0</v>
      </c>
      <c r="AH20" s="36">
        <f>VLOOKUP($A20,[26]HISTODEC25!$A$6:$CB$51,62,0)</f>
        <v>0</v>
      </c>
      <c r="AI20" s="36">
        <f>VLOOKUP($A20,[26]HISTODEC25!$A$6:$CB$51,63,0)</f>
        <v>0</v>
      </c>
      <c r="AJ20" s="36">
        <f>VLOOKUP($A20,[26]HISTODEC25!$A$6:$BR$51,64,0)</f>
        <v>0</v>
      </c>
      <c r="AK20" s="36">
        <f>VLOOKUP($A20,[26]HISTODEC25!$A$6:$BR$51,65,0)</f>
        <v>0</v>
      </c>
    </row>
    <row r="21" spans="1:37" x14ac:dyDescent="0.35">
      <c r="A21" s="1" t="s">
        <v>329</v>
      </c>
      <c r="B21" s="1" t="str">
        <f>VLOOKUP(A21,[24]LISTADHERENT!A$5:H$60,3,0)</f>
        <v>MASSEUNGOUE DAGOBERT</v>
      </c>
      <c r="C21" s="36"/>
      <c r="D21" s="36"/>
      <c r="E21" s="36">
        <f>VLOOKUP($A21,[26]HISTODEC25!$A$6:$BA$51,48,0)</f>
        <v>0</v>
      </c>
      <c r="F21" s="36">
        <f>VLOOKUP(A21,MVTNOV25!A21:AM56,6,0)+MVTNOV25!H21-E21+L21</f>
        <v>1259319.0661270553</v>
      </c>
      <c r="G21" s="5">
        <f>IF(MVTDEC25!F21&gt;800000,(MVTAVRIL25!I21-E21+L21),0)</f>
        <v>1116501.8152135806</v>
      </c>
      <c r="H21" s="36">
        <f>VLOOKUP(A21,[27]MVTDEC25!$A$6:$AM$42,8,0)</f>
        <v>39650.360229070204</v>
      </c>
      <c r="I21" s="6">
        <f t="shared" si="1"/>
        <v>1298969.4263561256</v>
      </c>
      <c r="J21" s="36">
        <f>VLOOKUP($A21,[26]HISTODEC25!$A$6:$AQ$51,22,0)</f>
        <v>0</v>
      </c>
      <c r="K21" s="36">
        <f>VLOOKUP($A21,[26]HISTODEC25!$A$6:$AU$51,45,0)</f>
        <v>25000</v>
      </c>
      <c r="L21" s="36">
        <f t="shared" si="2"/>
        <v>19000</v>
      </c>
      <c r="M21" s="36">
        <f t="shared" si="3"/>
        <v>1000</v>
      </c>
      <c r="N21" s="36">
        <f t="shared" si="0"/>
        <v>1000</v>
      </c>
      <c r="O21" s="36">
        <f t="shared" si="4"/>
        <v>4000</v>
      </c>
      <c r="P21" s="36">
        <f>VLOOKUP($A21,[26]HISTODEC25!$A$6:$AU$51,8,0)</f>
        <v>0</v>
      </c>
      <c r="Q21" s="36">
        <f>VLOOKUP($A21,[26]HISTODEC25!$A$6:$AU$51,23,0)</f>
        <v>0</v>
      </c>
      <c r="R21" s="36">
        <f>VLOOKUP($A21,[26]HISTODEC25!$A$6:$AU$51,46,0)</f>
        <v>0</v>
      </c>
      <c r="S21" s="36">
        <f>VLOOKUP($A21,[26]HISTODEC25!$A$6:$AU$51,26,0)</f>
        <v>0</v>
      </c>
      <c r="T21" s="36">
        <f>VLOOKUP($A21,[26]HISTODEC25!$A$6:$BG$51,58,0)</f>
        <v>0</v>
      </c>
      <c r="U21" s="36">
        <f>VLOOKUP($A21,[26]HISTODEC25!$A$6:$AU$51,28,0)</f>
        <v>0</v>
      </c>
      <c r="V21" s="36">
        <f>VLOOKUP($A21,[26]HISTODEC25!$A$6:$AU$51,19,0)</f>
        <v>0</v>
      </c>
      <c r="W21" s="36">
        <f>VLOOKUP($A21,[26]HISTODEC25!$A$6:$AU$51,20,0)</f>
        <v>0</v>
      </c>
      <c r="X21" s="36">
        <f>VLOOKUP($A21,[26]HISTODEC25!$A$6:$AU$51,27,0)</f>
        <v>0</v>
      </c>
      <c r="Y21" s="36">
        <f>VLOOKUP($A21,[26]HISTODEC25!$A$6:$BM$51,33,0)</f>
        <v>0</v>
      </c>
      <c r="Z21" s="36">
        <f>VLOOKUP($A21,[26]HISTODEC25!$A$6:$BM$51,64,0)</f>
        <v>0</v>
      </c>
      <c r="AA21" s="36"/>
      <c r="AB21" s="36">
        <f>VLOOKUP($A21,[26]HISTODEC25!$A$6:$AU$51,44,0)</f>
        <v>0</v>
      </c>
      <c r="AC21" s="36">
        <f>VLOOKUP($A21,[26]HISTODEC25!$A$6:$AU$51,43,0)</f>
        <v>0</v>
      </c>
      <c r="AD21" s="36">
        <f>VLOOKUP($A21,[26]HISTODEC25!$A$6:$BR$51,47,0)</f>
        <v>0</v>
      </c>
      <c r="AE21" s="36">
        <f>VLOOKUP(A21,[26]HISTODEC25!$A$6:$BR$51,54,0)</f>
        <v>0</v>
      </c>
      <c r="AF21" s="36">
        <f>VLOOKUP($A21,[26]HISTODEC25!$A$6:$BR$51,60,0)</f>
        <v>0</v>
      </c>
      <c r="AG21" s="36">
        <f>VLOOKUP($A21,[26]HISTODEC25!$A$6:$CB$51,61,0)</f>
        <v>0</v>
      </c>
      <c r="AH21" s="36">
        <f>VLOOKUP($A21,[26]HISTODEC25!$A$6:$CB$51,62,0)</f>
        <v>0</v>
      </c>
      <c r="AI21" s="36">
        <f>VLOOKUP($A21,[26]HISTODEC25!$A$6:$CB$51,63,0)</f>
        <v>0</v>
      </c>
      <c r="AJ21" s="36">
        <f>VLOOKUP($A21,[26]HISTODEC25!$A$6:$BR$51,64,0)</f>
        <v>0</v>
      </c>
      <c r="AK21" s="36">
        <f>VLOOKUP($A21,[26]HISTODEC25!$A$6:$BR$51,65,0)</f>
        <v>0</v>
      </c>
    </row>
    <row r="22" spans="1:37" x14ac:dyDescent="0.35">
      <c r="A22" s="1" t="s">
        <v>75</v>
      </c>
      <c r="B22" s="1" t="str">
        <f>VLOOKUP(A22,[24]LISTADHERENT!A$5:H$60,3,0)</f>
        <v>MBOGNING TUGMA GUY</v>
      </c>
      <c r="C22" s="36"/>
      <c r="D22" s="36"/>
      <c r="E22" s="36">
        <f>VLOOKUP($A22,[26]HISTODEC25!$A$6:$BA$51,48,0)</f>
        <v>0</v>
      </c>
      <c r="F22" s="36">
        <f>VLOOKUP(A22,MVTNOV25!A22:AM57,6,0)+MVTNOV25!H22-E22+L22</f>
        <v>1109574.0770415631</v>
      </c>
      <c r="G22" s="5">
        <f>IF(MVTDEC25!F22&gt;800000,(MVTAVRIL25!I22-E22+L22),0)</f>
        <v>963129.9808177395</v>
      </c>
      <c r="H22" s="36">
        <f>VLOOKUP(A22,[27]MVTDEC25!$A$6:$AM$42,8,0)</f>
        <v>34935.556078603295</v>
      </c>
      <c r="I22" s="6">
        <f t="shared" si="1"/>
        <v>1144509.6331201664</v>
      </c>
      <c r="J22" s="36">
        <f>VLOOKUP($A22,[26]HISTODEC25!$A$6:$AQ$51,22,0)</f>
        <v>0</v>
      </c>
      <c r="K22" s="36">
        <f>VLOOKUP($A22,[26]HISTODEC25!$A$6:$AU$51,45,0)</f>
        <v>25000</v>
      </c>
      <c r="L22" s="36">
        <f t="shared" si="2"/>
        <v>19000</v>
      </c>
      <c r="M22" s="36">
        <f t="shared" si="3"/>
        <v>1000</v>
      </c>
      <c r="N22" s="36">
        <f t="shared" si="0"/>
        <v>1000</v>
      </c>
      <c r="O22" s="36">
        <f t="shared" si="4"/>
        <v>4000</v>
      </c>
      <c r="P22" s="36">
        <f>VLOOKUP($A22,[26]HISTODEC25!$A$6:$AU$51,8,0)</f>
        <v>0</v>
      </c>
      <c r="Q22" s="36">
        <f>VLOOKUP($A22,[26]HISTODEC25!$A$6:$AU$51,23,0)</f>
        <v>0</v>
      </c>
      <c r="R22" s="36">
        <f>VLOOKUP($A22,[26]HISTODEC25!$A$6:$AU$51,46,0)</f>
        <v>0</v>
      </c>
      <c r="S22" s="36">
        <f>VLOOKUP($A22,[26]HISTODEC25!$A$6:$AU$51,26,0)</f>
        <v>1000000</v>
      </c>
      <c r="T22" s="36">
        <f>VLOOKUP($A22,[26]HISTODEC25!$A$6:$BG$51,58,0)</f>
        <v>120000</v>
      </c>
      <c r="U22" s="36">
        <f>VLOOKUP($A22,[26]HISTODEC25!$A$6:$AU$51,28,0)</f>
        <v>0</v>
      </c>
      <c r="V22" s="36">
        <f>VLOOKUP($A22,[26]HISTODEC25!$A$6:$AU$51,19,0)</f>
        <v>1000000</v>
      </c>
      <c r="W22" s="36" t="str">
        <f>VLOOKUP($A22,[26]HISTODEC25!$A$6:$AU$51,20,0)</f>
        <v>ESPECES</v>
      </c>
      <c r="X22" s="36" t="str">
        <f>VLOOKUP($A22,[26]HISTODEC25!$A$6:$AU$51,27,0)</f>
        <v>BANQUE</v>
      </c>
      <c r="Y22" s="36">
        <f>VLOOKUP($A22,[26]HISTODEC25!$A$6:$BM$51,33,0)</f>
        <v>0</v>
      </c>
      <c r="Z22" s="36">
        <f>VLOOKUP($A22,[26]HISTODEC25!$A$6:$BM$51,64,0)</f>
        <v>0</v>
      </c>
      <c r="AA22" s="36"/>
      <c r="AB22" s="36">
        <f>VLOOKUP($A22,[26]HISTODEC25!$A$6:$AU$51,44,0)</f>
        <v>0</v>
      </c>
      <c r="AC22" s="36">
        <f>VLOOKUP($A22,[26]HISTODEC25!$A$6:$AU$51,43,0)</f>
        <v>0</v>
      </c>
      <c r="AD22" s="36">
        <f>VLOOKUP($A22,[26]HISTODEC25!$A$6:$BR$51,47,0)</f>
        <v>0</v>
      </c>
      <c r="AE22" s="36">
        <f>VLOOKUP(A22,[26]HISTODEC25!$A$6:$BR$51,54,0)</f>
        <v>0</v>
      </c>
      <c r="AF22" s="36">
        <f>VLOOKUP($A22,[26]HISTODEC25!$A$6:$BR$51,60,0)</f>
        <v>0</v>
      </c>
      <c r="AG22" s="36">
        <f>VLOOKUP($A22,[26]HISTODEC25!$A$6:$CB$51,61,0)</f>
        <v>0</v>
      </c>
      <c r="AH22" s="36">
        <f>VLOOKUP($A22,[26]HISTODEC25!$A$6:$CB$51,62,0)</f>
        <v>0</v>
      </c>
      <c r="AI22" s="36">
        <f>VLOOKUP($A22,[26]HISTODEC25!$A$6:$CB$51,63,0)</f>
        <v>0</v>
      </c>
      <c r="AJ22" s="36">
        <f>VLOOKUP($A22,[26]HISTODEC25!$A$6:$BR$51,64,0)</f>
        <v>0</v>
      </c>
      <c r="AK22" s="36">
        <f>VLOOKUP($A22,[26]HISTODEC25!$A$6:$BR$51,65,0)</f>
        <v>0</v>
      </c>
    </row>
    <row r="23" spans="1:37" x14ac:dyDescent="0.35">
      <c r="A23" s="1" t="s">
        <v>50</v>
      </c>
      <c r="B23" s="1" t="str">
        <f>VLOOKUP(A23,[24]LISTADHERENT!A$5:H$60,3,0)</f>
        <v>NANGUEN MARTIN</v>
      </c>
      <c r="C23" s="36"/>
      <c r="D23" s="36"/>
      <c r="E23" s="36">
        <f>VLOOKUP($A23,[26]HISTODEC25!$A$6:$BA$51,48,0)</f>
        <v>0</v>
      </c>
      <c r="F23" s="36">
        <f>VLOOKUP(A23,MVTNOV25!A23:AM58,6,0)+MVTNOV25!H23-E23+L23</f>
        <v>1103924.833695306</v>
      </c>
      <c r="G23" s="5">
        <f>IF(MVTDEC25!F23&gt;800000,(MVTAVRIL25!I23-E23+L23),0)</f>
        <v>962398.55143487593</v>
      </c>
      <c r="H23" s="36">
        <f>VLOOKUP(A23,[27]MVTDEC25!$A$6:$AM$42,8,0)</f>
        <v>34757.686514228597</v>
      </c>
      <c r="I23" s="6">
        <f t="shared" si="1"/>
        <v>1138682.5202095346</v>
      </c>
      <c r="J23" s="36">
        <f>VLOOKUP($A23,[26]HISTODEC25!$A$6:$AQ$51,22,0)</f>
        <v>0</v>
      </c>
      <c r="K23" s="36">
        <f>VLOOKUP($A23,[26]HISTODEC25!$A$6:$AU$51,45,0)</f>
        <v>25000</v>
      </c>
      <c r="L23" s="36">
        <f t="shared" si="2"/>
        <v>19000</v>
      </c>
      <c r="M23" s="36">
        <f t="shared" si="3"/>
        <v>1000</v>
      </c>
      <c r="N23" s="36">
        <f t="shared" si="0"/>
        <v>1000</v>
      </c>
      <c r="O23" s="36">
        <f t="shared" si="4"/>
        <v>4000</v>
      </c>
      <c r="P23" s="36">
        <f>VLOOKUP($A23,[26]HISTODEC25!$A$6:$AU$51,8,0)</f>
        <v>0</v>
      </c>
      <c r="Q23" s="36">
        <f>VLOOKUP($A23,[26]HISTODEC25!$A$6:$AU$51,23,0)</f>
        <v>0</v>
      </c>
      <c r="R23" s="36">
        <f>VLOOKUP($A23,[26]HISTODEC25!$A$6:$AU$51,46,0)</f>
        <v>0</v>
      </c>
      <c r="S23" s="36">
        <f>VLOOKUP($A23,[26]HISTODEC25!$A$6:$AU$51,26,0)</f>
        <v>0</v>
      </c>
      <c r="T23" s="36">
        <f>VLOOKUP($A23,[26]HISTODEC25!$A$6:$BG$51,58,0)</f>
        <v>0</v>
      </c>
      <c r="U23" s="36">
        <f>VLOOKUP($A23,[26]HISTODEC25!$A$6:$AU$51,28,0)</f>
        <v>0</v>
      </c>
      <c r="V23" s="36">
        <f>VLOOKUP($A23,[26]HISTODEC25!$A$6:$AU$51,19,0)</f>
        <v>0</v>
      </c>
      <c r="W23" s="36">
        <f>VLOOKUP($A23,[26]HISTODEC25!$A$6:$AU$51,20,0)</f>
        <v>0</v>
      </c>
      <c r="X23" s="36">
        <f>VLOOKUP($A23,[26]HISTODEC25!$A$6:$AU$51,27,0)</f>
        <v>0</v>
      </c>
      <c r="Y23" s="36">
        <f>VLOOKUP($A23,[26]HISTODEC25!$A$6:$BM$51,33,0)</f>
        <v>0</v>
      </c>
      <c r="Z23" s="36">
        <f>VLOOKUP($A23,[26]HISTODEC25!$A$6:$BM$51,64,0)</f>
        <v>0</v>
      </c>
      <c r="AA23" s="36"/>
      <c r="AB23" s="36">
        <f>VLOOKUP($A23,[26]HISTODEC25!$A$6:$AU$51,44,0)</f>
        <v>0</v>
      </c>
      <c r="AC23" s="36">
        <f>VLOOKUP($A23,[26]HISTODEC25!$A$6:$AU$51,43,0)</f>
        <v>0</v>
      </c>
      <c r="AD23" s="36">
        <f>VLOOKUP($A23,[26]HISTODEC25!$A$6:$BR$51,47,0)</f>
        <v>0</v>
      </c>
      <c r="AE23" s="36">
        <f>VLOOKUP(A23,[26]HISTODEC25!$A$6:$BR$51,54,0)</f>
        <v>0</v>
      </c>
      <c r="AF23" s="36">
        <f>VLOOKUP($A23,[26]HISTODEC25!$A$6:$BR$51,60,0)</f>
        <v>0</v>
      </c>
      <c r="AG23" s="36">
        <f>VLOOKUP($A23,[26]HISTODEC25!$A$6:$CB$51,61,0)</f>
        <v>0</v>
      </c>
      <c r="AH23" s="36">
        <f>VLOOKUP($A23,[26]HISTODEC25!$A$6:$CB$51,62,0)</f>
        <v>0</v>
      </c>
      <c r="AI23" s="36">
        <f>VLOOKUP($A23,[26]HISTODEC25!$A$6:$CB$51,63,0)</f>
        <v>0</v>
      </c>
      <c r="AJ23" s="36">
        <f>VLOOKUP($A23,[26]HISTODEC25!$A$6:$BR$51,64,0)</f>
        <v>0</v>
      </c>
      <c r="AK23" s="36">
        <f>VLOOKUP($A23,[26]HISTODEC25!$A$6:$BR$51,65,0)</f>
        <v>0</v>
      </c>
    </row>
    <row r="24" spans="1:37" x14ac:dyDescent="0.35">
      <c r="A24" s="1" t="s">
        <v>37</v>
      </c>
      <c r="B24" s="1" t="str">
        <f>VLOOKUP(A24,[24]LISTADHERENT!A$5:H$60,3,0)</f>
        <v>NANKAM APPOLINAIRE</v>
      </c>
      <c r="C24" s="36"/>
      <c r="D24" s="36"/>
      <c r="E24" s="36">
        <f>VLOOKUP($A24,[26]HISTODEC25!$A$6:$BA$51,48,0)</f>
        <v>0</v>
      </c>
      <c r="F24" s="36">
        <f>VLOOKUP(A24,MVTNOV25!A24:AM59,6,0)+MVTNOV25!H24-E24+L24</f>
        <v>1216595.3035233701</v>
      </c>
      <c r="G24" s="5">
        <f>IF(MVTDEC25!F24&gt;800000,(MVTAVRIL25!I24-E24+L24),0)</f>
        <v>1075512.0669967243</v>
      </c>
      <c r="H24" s="36">
        <f>VLOOKUP(A24,[27]MVTDEC25!$A$6:$AM$42,8,0)</f>
        <v>33078.576637279439</v>
      </c>
      <c r="I24" s="6">
        <f t="shared" si="1"/>
        <v>1249673.8801606495</v>
      </c>
      <c r="J24" s="36">
        <f>VLOOKUP($A24,[26]HISTODEC25!$A$6:$AQ$51,22,0)</f>
        <v>0</v>
      </c>
      <c r="K24" s="36">
        <f>VLOOKUP($A24,[26]HISTODEC25!$A$6:$AU$51,45,0)</f>
        <v>25000</v>
      </c>
      <c r="L24" s="36">
        <f>IF(K24=0,0,K24-(M24+N24+O24))+140000+10000+16000</f>
        <v>185000</v>
      </c>
      <c r="M24" s="36">
        <f t="shared" si="3"/>
        <v>1000</v>
      </c>
      <c r="N24" s="36">
        <f t="shared" si="0"/>
        <v>1000</v>
      </c>
      <c r="O24" s="36">
        <f t="shared" si="4"/>
        <v>4000</v>
      </c>
      <c r="P24" s="36">
        <f>VLOOKUP($A24,[26]HISTODEC25!$A$6:$AU$51,8,0)</f>
        <v>0</v>
      </c>
      <c r="Q24" s="36">
        <f>VLOOKUP($A24,[26]HISTODEC25!$A$6:$AU$51,23,0)</f>
        <v>0</v>
      </c>
      <c r="R24" s="36">
        <f>VLOOKUP($A24,[26]HISTODEC25!$A$6:$AU$51,46,0)</f>
        <v>0</v>
      </c>
      <c r="S24" s="36">
        <f>VLOOKUP($A24,[26]HISTODEC25!$A$6:$AU$51,26,0)</f>
        <v>900000</v>
      </c>
      <c r="T24" s="36">
        <f>VLOOKUP($A24,[26]HISTODEC25!$A$6:$BG$51,58,0)</f>
        <v>108000</v>
      </c>
      <c r="U24" s="36">
        <f>VLOOKUP($A24,[26]HISTODEC25!$A$6:$AU$51,28,0)</f>
        <v>0</v>
      </c>
      <c r="V24" s="36">
        <f>VLOOKUP($A24,[26]HISTODEC25!$A$6:$AU$51,19,0)</f>
        <v>900000</v>
      </c>
      <c r="W24" s="36" t="str">
        <f>VLOOKUP($A24,[26]HISTODEC25!$A$6:$AU$51,20,0)</f>
        <v>EN COMPTE</v>
      </c>
      <c r="X24" s="36" t="str">
        <f>VLOOKUP($A24,[26]HISTODEC25!$A$6:$AU$51,27,0)</f>
        <v>BANQUE</v>
      </c>
      <c r="Y24" s="36">
        <f>VLOOKUP($A24,[26]HISTODEC25!$A$6:$BM$51,33,0)</f>
        <v>0</v>
      </c>
      <c r="Z24" s="36">
        <f>VLOOKUP($A24,[26]HISTODEC25!$A$6:$BM$51,64,0)</f>
        <v>0</v>
      </c>
      <c r="AA24" s="36"/>
      <c r="AB24" s="36">
        <f>VLOOKUP($A24,[26]HISTODEC25!$A$6:$AU$51,44,0)</f>
        <v>0</v>
      </c>
      <c r="AC24" s="36">
        <f>VLOOKUP($A24,[26]HISTODEC25!$A$6:$AU$51,43,0)</f>
        <v>0</v>
      </c>
      <c r="AD24" s="36">
        <f>VLOOKUP($A24,[26]HISTODEC25!$A$6:$BR$51,47,0)</f>
        <v>0</v>
      </c>
      <c r="AE24" s="36">
        <f>VLOOKUP(A24,[26]HISTODEC25!$A$6:$BR$51,54,0)</f>
        <v>0</v>
      </c>
      <c r="AF24" s="36">
        <f>VLOOKUP($A24,[26]HISTODEC25!$A$6:$BR$51,60,0)</f>
        <v>0</v>
      </c>
      <c r="AG24" s="36">
        <f>VLOOKUP($A24,[26]HISTODEC25!$A$6:$CB$51,61,0)</f>
        <v>0</v>
      </c>
      <c r="AH24" s="36">
        <f>VLOOKUP($A24,[26]HISTODEC25!$A$6:$CB$51,62,0)</f>
        <v>0</v>
      </c>
      <c r="AI24" s="36">
        <f>VLOOKUP($A24,[26]HISTODEC25!$A$6:$CB$51,63,0)</f>
        <v>0</v>
      </c>
      <c r="AJ24" s="36">
        <f>VLOOKUP($A24,[26]HISTODEC25!$A$6:$BR$51,64,0)</f>
        <v>0</v>
      </c>
      <c r="AK24" s="36">
        <f>VLOOKUP($A24,[26]HISTODEC25!$A$6:$BR$51,65,0)</f>
        <v>0</v>
      </c>
    </row>
    <row r="25" spans="1:37" x14ac:dyDescent="0.35">
      <c r="A25" s="1" t="s">
        <v>38</v>
      </c>
      <c r="B25" s="1" t="str">
        <f>VLOOKUP(A25,[24]LISTADHERENT!A$5:H$60,3,0)</f>
        <v>NDJOMO ETIENNE</v>
      </c>
      <c r="C25" s="36"/>
      <c r="D25" s="36"/>
      <c r="E25" s="36">
        <f>VLOOKUP($A25,[26]HISTODEC25!$A$6:$BA$51,48,0)</f>
        <v>0</v>
      </c>
      <c r="F25" s="36">
        <f>VLOOKUP(A25,MVTNOV25!A25:AM60,6,0)+MVTNOV25!H25-E25+L25</f>
        <v>1493704.2518677169</v>
      </c>
      <c r="G25" s="5">
        <f>IF(MVTDEC25!F25&gt;800000,(MVTAVRIL25!I25-E25+L25),0)</f>
        <v>1279279.1644260087</v>
      </c>
      <c r="H25" s="36">
        <f>VLOOKUP(A25,[27]MVTDEC25!$A$6:$AM$42,8,0)</f>
        <v>47030.107980810448</v>
      </c>
      <c r="I25" s="6">
        <f t="shared" si="1"/>
        <v>1540734.3598485272</v>
      </c>
      <c r="J25" s="36">
        <f>VLOOKUP($A25,[26]HISTODEC25!$A$6:$AQ$51,22,0)</f>
        <v>0</v>
      </c>
      <c r="K25" s="36">
        <f>VLOOKUP($A25,[26]HISTODEC25!$A$6:$AU$51,45,0)</f>
        <v>35000</v>
      </c>
      <c r="L25" s="36">
        <f t="shared" si="2"/>
        <v>29000</v>
      </c>
      <c r="M25" s="36">
        <f t="shared" si="3"/>
        <v>1000</v>
      </c>
      <c r="N25" s="36">
        <f t="shared" si="0"/>
        <v>1000</v>
      </c>
      <c r="O25" s="36">
        <f t="shared" si="4"/>
        <v>4000</v>
      </c>
      <c r="P25" s="36">
        <f>VLOOKUP($A25,[26]HISTODEC25!$A$6:$AU$51,8,0)</f>
        <v>0</v>
      </c>
      <c r="Q25" s="36">
        <f>VLOOKUP($A25,[26]HISTODEC25!$A$6:$AU$51,23,0)</f>
        <v>0</v>
      </c>
      <c r="R25" s="36">
        <f>VLOOKUP($A25,[26]HISTODEC25!$A$6:$AU$51,46,0)</f>
        <v>0</v>
      </c>
      <c r="S25" s="36">
        <f>VLOOKUP($A25,[26]HISTODEC25!$A$6:$AU$51,26,0)</f>
        <v>500000</v>
      </c>
      <c r="T25" s="36">
        <f>VLOOKUP($A25,[26]HISTODEC25!$A$6:$BG$51,58,0)</f>
        <v>30000</v>
      </c>
      <c r="U25" s="36">
        <f>VLOOKUP($A25,[26]HISTODEC25!$A$6:$AU$51,28,0)</f>
        <v>0</v>
      </c>
      <c r="V25" s="36">
        <f>VLOOKUP($A25,[26]HISTODEC25!$A$6:$AU$51,19,0)</f>
        <v>500000</v>
      </c>
      <c r="W25" s="36" t="str">
        <f>VLOOKUP($A25,[26]HISTODEC25!$A$6:$AU$51,20,0)</f>
        <v>BANQUE</v>
      </c>
      <c r="X25" s="36" t="str">
        <f>VLOOKUP($A25,[26]HISTODEC25!$A$6:$AU$51,27,0)</f>
        <v>BANQUE</v>
      </c>
      <c r="Y25" s="36">
        <f>VLOOKUP($A25,[26]HISTODEC25!$A$6:$BM$51,33,0)</f>
        <v>0</v>
      </c>
      <c r="Z25" s="36">
        <f>VLOOKUP($A25,[26]HISTODEC25!$A$6:$BM$51,64,0)</f>
        <v>0</v>
      </c>
      <c r="AA25" s="36"/>
      <c r="AB25" s="36">
        <f>VLOOKUP($A25,[26]HISTODEC25!$A$6:$AU$51,44,0)</f>
        <v>0</v>
      </c>
      <c r="AC25" s="36">
        <f>VLOOKUP($A25,[26]HISTODEC25!$A$6:$AU$51,43,0)</f>
        <v>0</v>
      </c>
      <c r="AD25" s="36">
        <f>VLOOKUP($A25,[26]HISTODEC25!$A$6:$BR$51,47,0)</f>
        <v>0</v>
      </c>
      <c r="AE25" s="36">
        <f>VLOOKUP(A25,[26]HISTODEC25!$A$6:$BR$51,54,0)</f>
        <v>0</v>
      </c>
      <c r="AF25" s="36">
        <f>VLOOKUP($A25,[26]HISTODEC25!$A$6:$BR$51,60,0)</f>
        <v>0</v>
      </c>
      <c r="AG25" s="36">
        <f>VLOOKUP($A25,[26]HISTODEC25!$A$6:$CB$51,61,0)</f>
        <v>0</v>
      </c>
      <c r="AH25" s="36">
        <f>VLOOKUP($A25,[26]HISTODEC25!$A$6:$CB$51,62,0)</f>
        <v>0</v>
      </c>
      <c r="AI25" s="36">
        <f>VLOOKUP($A25,[26]HISTODEC25!$A$6:$CB$51,63,0)</f>
        <v>0</v>
      </c>
      <c r="AJ25" s="36">
        <f>VLOOKUP($A25,[26]HISTODEC25!$A$6:$BR$51,64,0)</f>
        <v>0</v>
      </c>
      <c r="AK25" s="36">
        <f>VLOOKUP($A25,[26]HISTODEC25!$A$6:$BR$51,65,0)</f>
        <v>0</v>
      </c>
    </row>
    <row r="26" spans="1:37" x14ac:dyDescent="0.35">
      <c r="A26" s="1" t="s">
        <v>39</v>
      </c>
      <c r="B26" s="1" t="str">
        <f>VLOOKUP(A26,[24]LISTADHERENT!A$5:H$60,3,0)</f>
        <v>NGONDIEP CLAUDE</v>
      </c>
      <c r="C26" s="36"/>
      <c r="D26" s="36"/>
      <c r="E26" s="36">
        <f>VLOOKUP($A26,[26]HISTODEC25!$A$6:$BA$51,48,0)</f>
        <v>0</v>
      </c>
      <c r="F26" s="36">
        <f>VLOOKUP(A26,MVTNOV25!A26:AM61,6,0)+MVTNOV25!H26-E26+L26</f>
        <v>1658413.7031306592</v>
      </c>
      <c r="G26" s="5">
        <f>IF(MVTDEC25!F26&gt;800000,(MVTAVRIL25!I26-E26+L26),0)</f>
        <v>1411293.154792679</v>
      </c>
      <c r="H26" s="36">
        <f>VLOOKUP(A26,[27]MVTDEC25!$A$6:$AM$42,8,0)</f>
        <v>52216.076534270942</v>
      </c>
      <c r="I26" s="6">
        <f t="shared" si="1"/>
        <v>1710629.7796649302</v>
      </c>
      <c r="J26" s="36">
        <f>VLOOKUP($A26,[26]HISTODEC25!$A$6:$AQ$51,22,0)</f>
        <v>0</v>
      </c>
      <c r="K26" s="36">
        <f>VLOOKUP($A26,[26]HISTODEC25!$A$6:$AU$51,45,0)</f>
        <v>42500</v>
      </c>
      <c r="L26" s="36">
        <f t="shared" si="2"/>
        <v>36500</v>
      </c>
      <c r="M26" s="36">
        <f t="shared" si="3"/>
        <v>1000</v>
      </c>
      <c r="N26" s="36">
        <f t="shared" si="0"/>
        <v>1000</v>
      </c>
      <c r="O26" s="36">
        <f t="shared" si="4"/>
        <v>4000</v>
      </c>
      <c r="P26" s="36">
        <f>VLOOKUP($A26,[26]HISTODEC25!$A$6:$AU$51,8,0)</f>
        <v>0</v>
      </c>
      <c r="Q26" s="36">
        <f>VLOOKUP($A26,[26]HISTODEC25!$A$6:$AU$51,23,0)</f>
        <v>0</v>
      </c>
      <c r="R26" s="36">
        <f>VLOOKUP($A26,[26]HISTODEC25!$A$6:$AU$51,46,0)</f>
        <v>0</v>
      </c>
      <c r="S26" s="36">
        <f>VLOOKUP($A26,[26]HISTODEC25!$A$6:$AU$51,26,0)</f>
        <v>1000000</v>
      </c>
      <c r="T26" s="36">
        <f>VLOOKUP($A26,[26]HISTODEC25!$A$6:$BG$51,58,0)</f>
        <v>120000</v>
      </c>
      <c r="U26" s="36">
        <f>VLOOKUP($A26,[26]HISTODEC25!$A$6:$AU$51,28,0)</f>
        <v>0</v>
      </c>
      <c r="V26" s="36">
        <f>VLOOKUP($A26,[26]HISTODEC25!$A$6:$AU$51,19,0)</f>
        <v>1000000</v>
      </c>
      <c r="W26" s="36" t="str">
        <f>VLOOKUP($A26,[26]HISTODEC25!$A$6:$AU$51,20,0)</f>
        <v>BANQUE</v>
      </c>
      <c r="X26" s="36" t="str">
        <f>VLOOKUP($A26,[26]HISTODEC25!$A$6:$AU$51,27,0)</f>
        <v>BANQUE</v>
      </c>
      <c r="Y26" s="36">
        <f>VLOOKUP($A26,[26]HISTODEC25!$A$6:$BM$51,33,0)</f>
        <v>0</v>
      </c>
      <c r="Z26" s="36">
        <f>VLOOKUP($A26,[26]HISTODEC25!$A$6:$BM$51,64,0)</f>
        <v>0</v>
      </c>
      <c r="AA26" s="36"/>
      <c r="AB26" s="36">
        <f>VLOOKUP($A26,[26]HISTODEC25!$A$6:$AU$51,44,0)</f>
        <v>0</v>
      </c>
      <c r="AC26" s="36">
        <f>VLOOKUP($A26,[26]HISTODEC25!$A$6:$AU$51,43,0)</f>
        <v>0</v>
      </c>
      <c r="AD26" s="36">
        <f>VLOOKUP($A26,[26]HISTODEC25!$A$6:$BR$51,47,0)</f>
        <v>0</v>
      </c>
      <c r="AE26" s="36">
        <f>VLOOKUP(A26,[26]HISTODEC25!$A$6:$BR$51,54,0)</f>
        <v>0</v>
      </c>
      <c r="AF26" s="36">
        <f>VLOOKUP($A26,[26]HISTODEC25!$A$6:$BR$51,60,0)</f>
        <v>0</v>
      </c>
      <c r="AG26" s="36">
        <f>VLOOKUP($A26,[26]HISTODEC25!$A$6:$CB$51,61,0)</f>
        <v>0</v>
      </c>
      <c r="AH26" s="36">
        <f>VLOOKUP($A26,[26]HISTODEC25!$A$6:$CB$51,62,0)</f>
        <v>0</v>
      </c>
      <c r="AI26" s="36">
        <f>VLOOKUP($A26,[26]HISTODEC25!$A$6:$CB$51,63,0)</f>
        <v>0</v>
      </c>
      <c r="AJ26" s="36">
        <f>VLOOKUP($A26,[26]HISTODEC25!$A$6:$BR$51,64,0)</f>
        <v>0</v>
      </c>
      <c r="AK26" s="36">
        <f>VLOOKUP($A26,[26]HISTODEC25!$A$6:$BR$51,65,0)</f>
        <v>0</v>
      </c>
    </row>
    <row r="27" spans="1:37" x14ac:dyDescent="0.35">
      <c r="A27" s="1" t="s">
        <v>41</v>
      </c>
      <c r="B27" s="1" t="str">
        <f>VLOOKUP(A27,[24]LISTADHERENT!A$5:H$60,3,0)</f>
        <v>NGUIEMEGNI MATHIEU BLAISE</v>
      </c>
      <c r="C27" s="36"/>
      <c r="D27" s="36"/>
      <c r="E27" s="36">
        <f>VLOOKUP($A27,[26]HISTODEC25!$A$6:$BA$51,48,0)</f>
        <v>0</v>
      </c>
      <c r="F27" s="36">
        <f>VLOOKUP(A27,MVTNOV25!A27:AM62,6,0)+MVTNOV25!H27-E27+L27</f>
        <v>1092185.8189545581</v>
      </c>
      <c r="G27" s="5">
        <f>IF(MVTDEC25!F27&gt;800000,(MVTAVRIL25!I27-E27+L27),0)</f>
        <v>951255.99987830815</v>
      </c>
      <c r="H27" s="36">
        <f>VLOOKUP(A27,[27]MVTDEC25!$A$6:$AM$42,8,0)</f>
        <v>34388.077115209097</v>
      </c>
      <c r="I27" s="6">
        <f t="shared" si="1"/>
        <v>1126573.8960697672</v>
      </c>
      <c r="J27" s="36">
        <f>VLOOKUP($A27,[26]HISTODEC25!$A$6:$AQ$51,22,0)</f>
        <v>0</v>
      </c>
      <c r="K27" s="36">
        <f>VLOOKUP($A27,[26]HISTODEC25!$A$6:$AU$51,45,0)</f>
        <v>18500</v>
      </c>
      <c r="L27" s="36">
        <f t="shared" si="2"/>
        <v>12500</v>
      </c>
      <c r="M27" s="36">
        <f t="shared" si="3"/>
        <v>1000</v>
      </c>
      <c r="N27" s="36">
        <f t="shared" si="0"/>
        <v>1000</v>
      </c>
      <c r="O27" s="36">
        <f t="shared" si="4"/>
        <v>4000</v>
      </c>
      <c r="P27" s="36">
        <f>VLOOKUP($A27,[26]HISTODEC25!$A$6:$AU$51,8,0)</f>
        <v>0</v>
      </c>
      <c r="Q27" s="36">
        <f>VLOOKUP($A27,[26]HISTODEC25!$A$6:$AU$51,23,0)</f>
        <v>0</v>
      </c>
      <c r="R27" s="36">
        <f>VLOOKUP($A27,[26]HISTODEC25!$A$6:$AU$51,46,0)</f>
        <v>0</v>
      </c>
      <c r="S27" s="36">
        <f>VLOOKUP($A27,[26]HISTODEC25!$A$6:$AU$51,26,0)</f>
        <v>1000000</v>
      </c>
      <c r="T27" s="36">
        <f>VLOOKUP($A27,[26]HISTODEC25!$A$6:$BG$51,58,0)</f>
        <v>50000</v>
      </c>
      <c r="U27" s="36">
        <f>VLOOKUP($A27,[26]HISTODEC25!$A$6:$AU$51,28,0)</f>
        <v>0</v>
      </c>
      <c r="V27" s="36">
        <f>VLOOKUP($A27,[26]HISTODEC25!$A$6:$AU$51,19,0)</f>
        <v>0</v>
      </c>
      <c r="W27" s="36">
        <f>VLOOKUP($A27,[26]HISTODEC25!$A$6:$AU$51,20,0)</f>
        <v>0</v>
      </c>
      <c r="X27" s="36">
        <f>VLOOKUP($A27,[26]HISTODEC25!$A$6:$AU$51,27,0)</f>
        <v>0</v>
      </c>
      <c r="Y27" s="36">
        <f>VLOOKUP($A27,[26]HISTODEC25!$A$6:$BM$51,33,0)</f>
        <v>0</v>
      </c>
      <c r="Z27" s="36">
        <f>VLOOKUP($A27,[26]HISTODEC25!$A$6:$BM$51,64,0)</f>
        <v>0</v>
      </c>
      <c r="AA27" s="36"/>
      <c r="AB27" s="36">
        <f>VLOOKUP($A27,[26]HISTODEC25!$A$6:$AU$51,44,0)</f>
        <v>0</v>
      </c>
      <c r="AC27" s="36">
        <f>VLOOKUP($A27,[26]HISTODEC25!$A$6:$AU$51,43,0)</f>
        <v>0</v>
      </c>
      <c r="AD27" s="36">
        <f>VLOOKUP($A27,[26]HISTODEC25!$A$6:$BR$51,47,0)</f>
        <v>0</v>
      </c>
      <c r="AE27" s="36">
        <f>VLOOKUP(A27,[26]HISTODEC25!$A$6:$BR$51,54,0)</f>
        <v>0</v>
      </c>
      <c r="AF27" s="36">
        <f>VLOOKUP($A27,[26]HISTODEC25!$A$6:$BR$51,60,0)</f>
        <v>0</v>
      </c>
      <c r="AG27" s="36">
        <f>VLOOKUP($A27,[26]HISTODEC25!$A$6:$CB$51,61,0)</f>
        <v>0</v>
      </c>
      <c r="AH27" s="36">
        <f>VLOOKUP($A27,[26]HISTODEC25!$A$6:$CB$51,62,0)</f>
        <v>0</v>
      </c>
      <c r="AI27" s="36">
        <f>VLOOKUP($A27,[26]HISTODEC25!$A$6:$CB$51,63,0)</f>
        <v>0</v>
      </c>
      <c r="AJ27" s="36">
        <f>VLOOKUP($A27,[26]HISTODEC25!$A$6:$BR$51,64,0)</f>
        <v>0</v>
      </c>
      <c r="AK27" s="36">
        <f>VLOOKUP($A27,[26]HISTODEC25!$A$6:$BR$51,65,0)</f>
        <v>0</v>
      </c>
    </row>
    <row r="28" spans="1:37" x14ac:dyDescent="0.35">
      <c r="A28" s="1" t="s">
        <v>43</v>
      </c>
      <c r="B28" s="1" t="str">
        <f>VLOOKUP(A28,[24]LISTADHERENT!A$5:H$60,3,0)</f>
        <v>NKAMGANG JUSTIN DEJOLIE</v>
      </c>
      <c r="C28" s="36"/>
      <c r="D28" s="36"/>
      <c r="E28" s="36">
        <f>VLOOKUP($A28,[26]HISTODEC25!$A$6:$BA$51,48,0)</f>
        <v>0</v>
      </c>
      <c r="F28" s="36">
        <f>VLOOKUP(A28,MVTNOV25!A28:AM63,6,0)+MVTNOV25!H28-E28+L28</f>
        <v>1114052.1973891507</v>
      </c>
      <c r="G28" s="5">
        <f>IF(MVTDEC25!F28&gt;800000,(MVTAVRIL25!I28-E28+L28),0)</f>
        <v>973433.62548817939</v>
      </c>
      <c r="H28" s="36">
        <f>VLOOKUP(A28,[27]MVTDEC25!$A$6:$AM$42,8,0)</f>
        <v>35076.55218491736</v>
      </c>
      <c r="I28" s="6">
        <f t="shared" si="1"/>
        <v>1149128.749574068</v>
      </c>
      <c r="J28" s="36">
        <f>VLOOKUP($A28,[26]HISTODEC25!$A$6:$AQ$51,22,0)</f>
        <v>0</v>
      </c>
      <c r="K28" s="36">
        <f>VLOOKUP($A28,[26]HISTODEC25!$A$6:$AU$51,45,0)</f>
        <v>25000</v>
      </c>
      <c r="L28" s="36">
        <f t="shared" si="2"/>
        <v>19000</v>
      </c>
      <c r="M28" s="36">
        <f t="shared" si="3"/>
        <v>1000</v>
      </c>
      <c r="N28" s="36">
        <f t="shared" si="0"/>
        <v>1000</v>
      </c>
      <c r="O28" s="36">
        <f t="shared" si="4"/>
        <v>4000</v>
      </c>
      <c r="P28" s="36">
        <f>VLOOKUP($A28,[26]HISTODEC25!$A$6:$AU$51,8,0)</f>
        <v>0</v>
      </c>
      <c r="Q28" s="36">
        <f>VLOOKUP($A28,[26]HISTODEC25!$A$6:$AU$51,23,0)</f>
        <v>0</v>
      </c>
      <c r="R28" s="36">
        <f>VLOOKUP($A28,[26]HISTODEC25!$A$6:$AU$51,46,0)</f>
        <v>0</v>
      </c>
      <c r="S28" s="36">
        <f>VLOOKUP($A28,[26]HISTODEC25!$A$6:$AU$51,26,0)</f>
        <v>1000000</v>
      </c>
      <c r="T28" s="36">
        <f>VLOOKUP($A28,[26]HISTODEC25!$A$6:$BG$51,58,0)</f>
        <v>30000</v>
      </c>
      <c r="U28" s="36">
        <f>VLOOKUP($A28,[26]HISTODEC25!$A$6:$AU$51,28,0)</f>
        <v>0</v>
      </c>
      <c r="V28" s="36">
        <f>VLOOKUP($A28,[26]HISTODEC25!$A$6:$AU$51,19,0)</f>
        <v>1000000</v>
      </c>
      <c r="W28" s="36" t="str">
        <f>VLOOKUP($A28,[26]HISTODEC25!$A$6:$AU$51,20,0)</f>
        <v>ESPECES</v>
      </c>
      <c r="X28" s="36" t="str">
        <f>VLOOKUP($A28,[26]HISTODEC25!$A$6:$AU$51,27,0)</f>
        <v>BANQUE</v>
      </c>
      <c r="Y28" s="36">
        <f>VLOOKUP($A28,[26]HISTODEC25!$A$6:$BM$51,33,0)</f>
        <v>0</v>
      </c>
      <c r="Z28" s="36">
        <f>VLOOKUP($A28,[26]HISTODEC25!$A$6:$BM$51,64,0)</f>
        <v>0</v>
      </c>
      <c r="AA28" s="36"/>
      <c r="AB28" s="36">
        <f>VLOOKUP($A28,[26]HISTODEC25!$A$6:$AU$51,44,0)</f>
        <v>0</v>
      </c>
      <c r="AC28" s="36">
        <f>VLOOKUP($A28,[26]HISTODEC25!$A$6:$AU$51,43,0)</f>
        <v>0</v>
      </c>
      <c r="AD28" s="36">
        <f>VLOOKUP($A28,[26]HISTODEC25!$A$6:$BR$51,47,0)</f>
        <v>0</v>
      </c>
      <c r="AE28" s="36">
        <f>VLOOKUP(A28,[26]HISTODEC25!$A$6:$BR$51,54,0)</f>
        <v>0</v>
      </c>
      <c r="AF28" s="36">
        <f>VLOOKUP($A28,[26]HISTODEC25!$A$6:$BR$51,60,0)</f>
        <v>0</v>
      </c>
      <c r="AG28" s="36">
        <f>VLOOKUP($A28,[26]HISTODEC25!$A$6:$CB$51,61,0)</f>
        <v>0</v>
      </c>
      <c r="AH28" s="36">
        <f>VLOOKUP($A28,[26]HISTODEC25!$A$6:$CB$51,62,0)</f>
        <v>0</v>
      </c>
      <c r="AI28" s="36">
        <f>VLOOKUP($A28,[26]HISTODEC25!$A$6:$CB$51,63,0)</f>
        <v>0</v>
      </c>
      <c r="AJ28" s="36">
        <f>VLOOKUP($A28,[26]HISTODEC25!$A$6:$BR$51,64,0)</f>
        <v>0</v>
      </c>
      <c r="AK28" s="36">
        <f>VLOOKUP($A28,[26]HISTODEC25!$A$6:$BR$51,65,0)</f>
        <v>0</v>
      </c>
    </row>
    <row r="29" spans="1:37" x14ac:dyDescent="0.35">
      <c r="A29" s="1" t="s">
        <v>172</v>
      </c>
      <c r="B29" s="1" t="str">
        <f>VLOOKUP(A29,[24]LISTADHERENT!A$5:H$60,3,0)</f>
        <v>NOUBE ETIENNE</v>
      </c>
      <c r="C29" s="36"/>
      <c r="D29" s="36"/>
      <c r="E29" s="36">
        <f>VLOOKUP($A29,[26]HISTODEC25!$A$6:$BA$51,48,0)</f>
        <v>0</v>
      </c>
      <c r="F29" s="36">
        <f>VLOOKUP(A29,MVTNOV25!A29:AM64,6,0)+MVTNOV25!H29-E29+L29</f>
        <v>1076912.0868724585</v>
      </c>
      <c r="G29" s="5">
        <f>IF(MVTDEC25!F29&gt;800000,(MVTAVRIL25!I29-E29+L29),0)</f>
        <v>935610.21840677003</v>
      </c>
      <c r="H29" s="36">
        <f>VLOOKUP(A29,[27]MVTDEC25!$A$6:$AM$42,8,0)</f>
        <v>33907.175177497578</v>
      </c>
      <c r="I29" s="6">
        <f t="shared" si="1"/>
        <v>1110819.262049956</v>
      </c>
      <c r="J29" s="36">
        <f>VLOOKUP($A29,[26]HISTODEC25!$A$6:$AQ$51,22,0)</f>
        <v>0</v>
      </c>
      <c r="K29" s="36">
        <f>VLOOKUP($A29,[26]HISTODEC25!$A$6:$AU$51,45,0)</f>
        <v>25000</v>
      </c>
      <c r="L29" s="36">
        <f t="shared" si="2"/>
        <v>19000</v>
      </c>
      <c r="M29" s="36">
        <f t="shared" si="3"/>
        <v>1000</v>
      </c>
      <c r="N29" s="36">
        <f t="shared" si="0"/>
        <v>1000</v>
      </c>
      <c r="O29" s="36">
        <f t="shared" si="4"/>
        <v>4000</v>
      </c>
      <c r="P29" s="36">
        <f>VLOOKUP($A29,[26]HISTODEC25!$A$6:$AU$51,8,0)</f>
        <v>0</v>
      </c>
      <c r="Q29" s="36">
        <f>VLOOKUP($A29,[26]HISTODEC25!$A$6:$AU$51,23,0)</f>
        <v>0</v>
      </c>
      <c r="R29" s="36">
        <f>VLOOKUP($A29,[26]HISTODEC25!$A$6:$AU$51,46,0)</f>
        <v>0</v>
      </c>
      <c r="S29" s="36">
        <f>VLOOKUP($A29,[26]HISTODEC25!$A$6:$AU$51,26,0)</f>
        <v>0</v>
      </c>
      <c r="T29" s="36">
        <f>VLOOKUP($A29,[26]HISTODEC25!$A$6:$BG$51,58,0)</f>
        <v>0</v>
      </c>
      <c r="U29" s="36">
        <f>VLOOKUP($A29,[26]HISTODEC25!$A$6:$AU$51,28,0)</f>
        <v>0</v>
      </c>
      <c r="V29" s="36">
        <f>VLOOKUP($A29,[26]HISTODEC25!$A$6:$AU$51,19,0)</f>
        <v>250000</v>
      </c>
      <c r="W29" s="36" t="str">
        <f>VLOOKUP($A29,[26]HISTODEC25!$A$6:$AU$51,20,0)</f>
        <v>BANQUE</v>
      </c>
      <c r="X29" s="36">
        <f>VLOOKUP($A29,[26]HISTODEC25!$A$6:$AU$51,27,0)</f>
        <v>0</v>
      </c>
      <c r="Y29" s="36">
        <f>VLOOKUP($A29,[26]HISTODEC25!$A$6:$BM$51,33,0)</f>
        <v>0</v>
      </c>
      <c r="Z29" s="36">
        <f>VLOOKUP($A29,[26]HISTODEC25!$A$6:$BM$51,64,0)</f>
        <v>0</v>
      </c>
      <c r="AA29" s="36"/>
      <c r="AB29" s="36">
        <f>VLOOKUP($A29,[26]HISTODEC25!$A$6:$AU$51,44,0)</f>
        <v>0</v>
      </c>
      <c r="AC29" s="36">
        <f>VLOOKUP($A29,[26]HISTODEC25!$A$6:$AU$51,43,0)</f>
        <v>0</v>
      </c>
      <c r="AD29" s="36">
        <f>VLOOKUP($A29,[26]HISTODEC25!$A$6:$BR$51,47,0)</f>
        <v>0</v>
      </c>
      <c r="AE29" s="36">
        <f>VLOOKUP(A29,[26]HISTODEC25!$A$6:$BR$51,54,0)</f>
        <v>0</v>
      </c>
      <c r="AF29" s="36">
        <f>VLOOKUP($A29,[26]HISTODEC25!$A$6:$BR$51,60,0)</f>
        <v>0</v>
      </c>
      <c r="AG29" s="36">
        <f>VLOOKUP($A29,[26]HISTODEC25!$A$6:$CB$51,61,0)</f>
        <v>0</v>
      </c>
      <c r="AH29" s="36">
        <f>VLOOKUP($A29,[26]HISTODEC25!$A$6:$CB$51,62,0)</f>
        <v>0</v>
      </c>
      <c r="AI29" s="36">
        <f>VLOOKUP($A29,[26]HISTODEC25!$A$6:$CB$51,63,0)</f>
        <v>0</v>
      </c>
      <c r="AJ29" s="36">
        <f>VLOOKUP($A29,[26]HISTODEC25!$A$6:$BR$51,64,0)</f>
        <v>0</v>
      </c>
      <c r="AK29" s="36">
        <f>VLOOKUP($A29,[26]HISTODEC25!$A$6:$BR$51,65,0)</f>
        <v>0</v>
      </c>
    </row>
    <row r="30" spans="1:37" x14ac:dyDescent="0.35">
      <c r="A30" s="1" t="s">
        <v>45</v>
      </c>
      <c r="B30" s="1" t="str">
        <f>VLOOKUP(A30,[24]LISTADHERENT!A$5:H$60,3,0)</f>
        <v>PATEGO NJOSSU GUSTAVE</v>
      </c>
      <c r="C30" s="36"/>
      <c r="D30" s="36"/>
      <c r="E30" s="36">
        <f>VLOOKUP($A30,[26]HISTODEC25!$A$6:$BA$51,48,0)</f>
        <v>0</v>
      </c>
      <c r="F30" s="36">
        <f>VLOOKUP(A30,MVTNOV25!A30:AM65,6,0)+MVTNOV25!H30-E30+L30</f>
        <v>1239673.1329764433</v>
      </c>
      <c r="G30" s="5">
        <f>IF(MVTDEC25!F30&gt;800000,(MVTAVRIL25!I30-E30+L30),0)</f>
        <v>1097019.0945803211</v>
      </c>
      <c r="H30" s="36">
        <f>VLOOKUP(A30,[27]MVTDEC25!$A$6:$AM$42,8,0)</f>
        <v>39031.797112374399</v>
      </c>
      <c r="I30" s="6">
        <f t="shared" si="1"/>
        <v>1278704.9300888176</v>
      </c>
      <c r="J30" s="36">
        <f>VLOOKUP($A30,[26]HISTODEC25!$A$6:$AQ$51,22,0)</f>
        <v>0</v>
      </c>
      <c r="K30" s="36">
        <f>VLOOKUP($A30,[26]HISTODEC25!$A$6:$AU$51,45,0)</f>
        <v>25000</v>
      </c>
      <c r="L30" s="36">
        <f t="shared" si="2"/>
        <v>19000</v>
      </c>
      <c r="M30" s="36">
        <f t="shared" si="3"/>
        <v>1000</v>
      </c>
      <c r="N30" s="36">
        <f t="shared" si="0"/>
        <v>1000</v>
      </c>
      <c r="O30" s="36">
        <f t="shared" si="4"/>
        <v>4000</v>
      </c>
      <c r="P30" s="36">
        <f>VLOOKUP($A30,[26]HISTODEC25!$A$6:$AU$51,8,0)</f>
        <v>0</v>
      </c>
      <c r="Q30" s="36">
        <f>VLOOKUP($A30,[26]HISTODEC25!$A$6:$AU$51,23,0)</f>
        <v>0</v>
      </c>
      <c r="R30" s="36">
        <f>VLOOKUP($A30,[26]HISTODEC25!$A$6:$AU$51,46,0)</f>
        <v>0</v>
      </c>
      <c r="S30" s="36">
        <f>VLOOKUP($A30,[26]HISTODEC25!$A$6:$AU$51,26,0)</f>
        <v>0</v>
      </c>
      <c r="T30" s="36">
        <f>VLOOKUP($A30,[26]HISTODEC25!$A$6:$BG$51,58,0)</f>
        <v>0</v>
      </c>
      <c r="U30" s="36">
        <f>VLOOKUP($A30,[26]HISTODEC25!$A$6:$AU$51,28,0)</f>
        <v>0</v>
      </c>
      <c r="V30" s="36">
        <f>VLOOKUP($A30,[26]HISTODEC25!$A$6:$AU$51,19,0)</f>
        <v>0</v>
      </c>
      <c r="W30" s="36">
        <f>VLOOKUP($A30,[26]HISTODEC25!$A$6:$AU$51,20,0)</f>
        <v>0</v>
      </c>
      <c r="X30" s="36">
        <f>VLOOKUP($A30,[26]HISTODEC25!$A$6:$AU$51,27,0)</f>
        <v>0</v>
      </c>
      <c r="Y30" s="36">
        <f>VLOOKUP($A30,[26]HISTODEC25!$A$6:$BM$51,33,0)</f>
        <v>0</v>
      </c>
      <c r="Z30" s="36">
        <f>VLOOKUP($A30,[26]HISTODEC25!$A$6:$BM$51,64,0)</f>
        <v>0</v>
      </c>
      <c r="AA30" s="36"/>
      <c r="AB30" s="36">
        <f>VLOOKUP($A30,[26]HISTODEC25!$A$6:$AU$51,44,0)</f>
        <v>0</v>
      </c>
      <c r="AC30" s="36">
        <f>VLOOKUP($A30,[26]HISTODEC25!$A$6:$AU$51,43,0)</f>
        <v>0</v>
      </c>
      <c r="AD30" s="36">
        <f>VLOOKUP($A30,[26]HISTODEC25!$A$6:$BR$51,47,0)</f>
        <v>0</v>
      </c>
      <c r="AE30" s="36">
        <f>VLOOKUP(A30,[26]HISTODEC25!$A$6:$BR$51,54,0)</f>
        <v>0</v>
      </c>
      <c r="AF30" s="36">
        <f>VLOOKUP($A30,[26]HISTODEC25!$A$6:$BR$51,60,0)</f>
        <v>0</v>
      </c>
      <c r="AG30" s="36">
        <f>VLOOKUP($A30,[26]HISTODEC25!$A$6:$CB$51,61,0)</f>
        <v>0</v>
      </c>
      <c r="AH30" s="36">
        <f>VLOOKUP($A30,[26]HISTODEC25!$A$6:$CB$51,62,0)</f>
        <v>0</v>
      </c>
      <c r="AI30" s="36">
        <f>VLOOKUP($A30,[26]HISTODEC25!$A$6:$CB$51,63,0)</f>
        <v>0</v>
      </c>
      <c r="AJ30" s="36">
        <f>VLOOKUP($A30,[26]HISTODEC25!$A$6:$BR$51,64,0)</f>
        <v>0</v>
      </c>
      <c r="AK30" s="36">
        <f>VLOOKUP($A30,[26]HISTODEC25!$A$6:$BR$51,65,0)</f>
        <v>0</v>
      </c>
    </row>
    <row r="31" spans="1:37" x14ac:dyDescent="0.35">
      <c r="A31" s="1" t="s">
        <v>312</v>
      </c>
      <c r="B31" s="1" t="str">
        <f>VLOOKUP(A31,[24]LISTADHERENT!A$5:H$60,3,0)</f>
        <v>SEUMO POLYCARPE</v>
      </c>
      <c r="C31" s="36"/>
      <c r="D31" s="36"/>
      <c r="E31" s="36">
        <f>VLOOKUP($A31,[26]HISTODEC25!$A$6:$BA$51,48,0)</f>
        <v>0</v>
      </c>
      <c r="F31" s="36">
        <f>VLOOKUP(A31,MVTNOV25!A31:AM66,6,0)+MVTNOV25!H31-E31+L31</f>
        <v>1085679.1437898132</v>
      </c>
      <c r="G31" s="5">
        <f>IF(MVTDEC25!F31&gt;800000,(MVTAVRIL25!I31-E31+L31),0)</f>
        <v>944312.74894595868</v>
      </c>
      <c r="H31" s="36">
        <f>VLOOKUP(A31,[27]MVTDEC25!$A$6:$AM$42,8,0)</f>
        <v>34183.210833807418</v>
      </c>
      <c r="I31" s="6">
        <f t="shared" si="1"/>
        <v>1119862.3546236206</v>
      </c>
      <c r="J31" s="36">
        <f>VLOOKUP($A31,[26]HISTODEC25!$A$6:$AQ$51,22,0)</f>
        <v>0</v>
      </c>
      <c r="K31" s="36">
        <f>VLOOKUP($A31,[26]HISTODEC25!$A$6:$AU$51,45,0)</f>
        <v>26000</v>
      </c>
      <c r="L31" s="36">
        <f t="shared" si="2"/>
        <v>20000</v>
      </c>
      <c r="M31" s="36">
        <f t="shared" si="3"/>
        <v>1000</v>
      </c>
      <c r="N31" s="36">
        <f t="shared" si="0"/>
        <v>1000</v>
      </c>
      <c r="O31" s="36">
        <f t="shared" si="4"/>
        <v>4000</v>
      </c>
      <c r="P31" s="36">
        <f>VLOOKUP($A31,[26]HISTODEC25!$A$6:$AU$51,8,0)</f>
        <v>0</v>
      </c>
      <c r="Q31" s="36">
        <f>VLOOKUP($A31,[26]HISTODEC25!$A$6:$AU$51,23,0)</f>
        <v>0</v>
      </c>
      <c r="R31" s="36">
        <f>VLOOKUP($A31,[26]HISTODEC25!$A$6:$AU$51,46,0)</f>
        <v>0</v>
      </c>
      <c r="S31" s="36">
        <f>VLOOKUP($A31,[26]HISTODEC25!$A$6:$AU$51,26,0)</f>
        <v>900000</v>
      </c>
      <c r="T31" s="36">
        <f>VLOOKUP($A31,[26]HISTODEC25!$A$6:$BG$51,58,0)</f>
        <v>45000</v>
      </c>
      <c r="U31" s="36">
        <f>VLOOKUP($A31,[26]HISTODEC25!$A$6:$AU$51,28,0)</f>
        <v>0</v>
      </c>
      <c r="V31" s="36">
        <f>VLOOKUP($A31,[26]HISTODEC25!$A$6:$AU$51,19,0)</f>
        <v>1000000</v>
      </c>
      <c r="W31" s="36" t="str">
        <f>VLOOKUP($A31,[26]HISTODEC25!$A$6:$AU$51,20,0)</f>
        <v>BANQUE</v>
      </c>
      <c r="X31" s="36">
        <f>VLOOKUP($A31,[26]HISTODEC25!$A$6:$AU$51,27,0)</f>
        <v>0</v>
      </c>
      <c r="Y31" s="36">
        <f>VLOOKUP($A31,[26]HISTODEC25!$A$6:$BM$51,33,0)</f>
        <v>0</v>
      </c>
      <c r="Z31" s="36">
        <f>VLOOKUP($A31,[26]HISTODEC25!$A$6:$BM$51,64,0)</f>
        <v>0</v>
      </c>
      <c r="AA31" s="36"/>
      <c r="AB31" s="36">
        <f>VLOOKUP($A31,[26]HISTODEC25!$A$6:$AU$51,44,0)</f>
        <v>0</v>
      </c>
      <c r="AC31" s="36">
        <f>VLOOKUP($A31,[26]HISTODEC25!$A$6:$AU$51,43,0)</f>
        <v>0</v>
      </c>
      <c r="AD31" s="36">
        <f>VLOOKUP($A31,[26]HISTODEC25!$A$6:$BR$51,47,0)</f>
        <v>0</v>
      </c>
      <c r="AE31" s="36">
        <f>VLOOKUP(A31,[26]HISTODEC25!$A$6:$BR$51,54,0)</f>
        <v>0</v>
      </c>
      <c r="AF31" s="36">
        <f>VLOOKUP($A31,[26]HISTODEC25!$A$6:$BR$51,60,0)</f>
        <v>0</v>
      </c>
      <c r="AG31" s="36">
        <f>VLOOKUP($A31,[26]HISTODEC25!$A$6:$CB$51,61,0)</f>
        <v>0</v>
      </c>
      <c r="AH31" s="36">
        <f>VLOOKUP($A31,[26]HISTODEC25!$A$6:$CB$51,62,0)</f>
        <v>0</v>
      </c>
      <c r="AI31" s="36">
        <f>VLOOKUP($A31,[26]HISTODEC25!$A$6:$CB$51,63,0)</f>
        <v>0</v>
      </c>
      <c r="AJ31" s="36">
        <f>VLOOKUP($A31,[26]HISTODEC25!$A$6:$BR$51,64,0)</f>
        <v>0</v>
      </c>
      <c r="AK31" s="36">
        <f>VLOOKUP($A31,[26]HISTODEC25!$A$6:$BR$51,65,0)</f>
        <v>0</v>
      </c>
    </row>
    <row r="32" spans="1:37" x14ac:dyDescent="0.35">
      <c r="A32" s="1" t="s">
        <v>81</v>
      </c>
      <c r="B32" s="1" t="str">
        <f>VLOOKUP(A32,[24]LISTADHERENT!A$5:H$60,3,0)</f>
        <v>SIME BRICE</v>
      </c>
      <c r="C32" s="36"/>
      <c r="D32" s="36"/>
      <c r="E32" s="36">
        <f>VLOOKUP($A32,[26]HISTODEC25!$A$6:$BA$51,48,0)</f>
        <v>0</v>
      </c>
      <c r="F32" s="36">
        <f>VLOOKUP(A32,MVTNOV25!A32:AM67,6,0)+MVTNOV25!H32-E32+L32</f>
        <v>1181018.9838578615</v>
      </c>
      <c r="G32" s="5">
        <f>IF(MVTDEC25!F32&gt;800000,(MVTAVRIL25!I32-E32+L32),0)</f>
        <v>1038852.2265319447</v>
      </c>
      <c r="H32" s="36">
        <f>VLOOKUP(A32,[27]MVTDEC25!$A$6:$AM$42,8,0)</f>
        <v>37185.038650570306</v>
      </c>
      <c r="I32" s="6">
        <f t="shared" si="1"/>
        <v>1218204.0225084317</v>
      </c>
      <c r="J32" s="36">
        <f>VLOOKUP($A32,[26]HISTODEC25!$A$6:$AQ$51,22,0)</f>
        <v>0</v>
      </c>
      <c r="K32" s="36">
        <f>VLOOKUP($A32,[26]HISTODEC25!$A$6:$AU$51,45,0)</f>
        <v>25000</v>
      </c>
      <c r="L32" s="36">
        <f t="shared" si="2"/>
        <v>19000</v>
      </c>
      <c r="M32" s="36">
        <f t="shared" si="3"/>
        <v>1000</v>
      </c>
      <c r="N32" s="36">
        <f t="shared" si="0"/>
        <v>1000</v>
      </c>
      <c r="O32" s="36">
        <f t="shared" si="4"/>
        <v>4000</v>
      </c>
      <c r="P32" s="36">
        <f>VLOOKUP($A32,[26]HISTODEC25!$A$6:$AU$51,8,0)</f>
        <v>0</v>
      </c>
      <c r="Q32" s="36">
        <f>VLOOKUP($A32,[26]HISTODEC25!$A$6:$AU$51,23,0)</f>
        <v>0</v>
      </c>
      <c r="R32" s="36">
        <f>VLOOKUP($A32,[26]HISTODEC25!$A$6:$AU$51,46,0)</f>
        <v>0</v>
      </c>
      <c r="S32" s="36">
        <f>VLOOKUP($A32,[26]HISTODEC25!$A$6:$AU$51,26,0)</f>
        <v>1000000</v>
      </c>
      <c r="T32" s="36">
        <f>VLOOKUP($A32,[26]HISTODEC25!$A$6:$BG$51,58,0)</f>
        <v>30000</v>
      </c>
      <c r="U32" s="36">
        <f>VLOOKUP($A32,[26]HISTODEC25!$A$6:$AU$51,28,0)</f>
        <v>0</v>
      </c>
      <c r="V32" s="36">
        <f>VLOOKUP($A32,[26]HISTODEC25!$A$6:$AU$51,19,0)</f>
        <v>1000000</v>
      </c>
      <c r="W32" s="36" t="str">
        <f>VLOOKUP($A32,[26]HISTODEC25!$A$6:$AU$51,20,0)</f>
        <v>ESPECES</v>
      </c>
      <c r="X32" s="36" t="str">
        <f>VLOOKUP($A32,[26]HISTODEC25!$A$6:$AU$51,27,0)</f>
        <v>BANQUE</v>
      </c>
      <c r="Y32" s="36">
        <f>VLOOKUP($A32,[26]HISTODEC25!$A$6:$BM$51,33,0)</f>
        <v>0</v>
      </c>
      <c r="Z32" s="36">
        <f>VLOOKUP($A32,[26]HISTODEC25!$A$6:$BM$51,64,0)</f>
        <v>0</v>
      </c>
      <c r="AA32" s="36"/>
      <c r="AB32" s="36">
        <f>VLOOKUP($A32,[26]HISTODEC25!$A$6:$AU$51,44,0)</f>
        <v>0</v>
      </c>
      <c r="AC32" s="36">
        <f>VLOOKUP($A32,[26]HISTODEC25!$A$6:$AU$51,43,0)</f>
        <v>0</v>
      </c>
      <c r="AD32" s="36">
        <f>VLOOKUP($A32,[26]HISTODEC25!$A$6:$BR$51,47,0)</f>
        <v>0</v>
      </c>
      <c r="AE32" s="36">
        <f>VLOOKUP(A32,[26]HISTODEC25!$A$6:$BR$51,54,0)</f>
        <v>0</v>
      </c>
      <c r="AF32" s="36">
        <f>VLOOKUP($A32,[26]HISTODEC25!$A$6:$BR$51,60,0)</f>
        <v>0</v>
      </c>
      <c r="AG32" s="36">
        <f>VLOOKUP($A32,[26]HISTODEC25!$A$6:$CB$51,61,0)</f>
        <v>0</v>
      </c>
      <c r="AH32" s="36">
        <f>VLOOKUP($A32,[26]HISTODEC25!$A$6:$CB$51,62,0)</f>
        <v>0</v>
      </c>
      <c r="AI32" s="36">
        <f>VLOOKUP($A32,[26]HISTODEC25!$A$6:$CB$51,63,0)</f>
        <v>0</v>
      </c>
      <c r="AJ32" s="36">
        <f>VLOOKUP($A32,[26]HISTODEC25!$A$6:$BR$51,64,0)</f>
        <v>0</v>
      </c>
      <c r="AK32" s="36">
        <f>VLOOKUP($A32,[26]HISTODEC25!$A$6:$BR$51,65,0)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/>
      <c r="D33" s="36"/>
      <c r="E33" s="36">
        <f>VLOOKUP($A33,[26]HISTODEC25!$A$6:$BA$51,48,0)</f>
        <v>0</v>
      </c>
      <c r="F33" s="36">
        <f>VLOOKUP(A33,MVTNOV25!A33:AM68,6,0)+MVTNOV25!H33-E33+L33</f>
        <v>520500</v>
      </c>
      <c r="G33" s="5">
        <f>IF(MVTDEC25!F33&gt;800000,(MVTAVRIL25!I33-E33+L33),0)</f>
        <v>0</v>
      </c>
      <c r="H33" s="36">
        <f>VLOOKUP(A33,[27]MVTDEC25!$A$6:$AM$42,8,0)</f>
        <v>0</v>
      </c>
      <c r="I33" s="6">
        <f t="shared" si="1"/>
        <v>520500</v>
      </c>
      <c r="J33" s="36">
        <f>VLOOKUP($A33,[26]HISTODEC25!$A$6:$AQ$51,22,0)</f>
        <v>0</v>
      </c>
      <c r="K33" s="36">
        <f>VLOOKUP($A33,[26]HISTODEC25!$A$6:$AU$51,45,0)</f>
        <v>332500</v>
      </c>
      <c r="L33" s="36">
        <f>IF(K33=0,0,K33-(M33+N33+O33))</f>
        <v>326500</v>
      </c>
      <c r="M33" s="36">
        <f t="shared" si="3"/>
        <v>1000</v>
      </c>
      <c r="N33" s="36">
        <f t="shared" si="0"/>
        <v>1000</v>
      </c>
      <c r="O33" s="36">
        <f t="shared" si="4"/>
        <v>4000</v>
      </c>
      <c r="P33" s="36">
        <f>VLOOKUP($A33,[26]HISTODEC25!$A$6:$AU$51,8,0)</f>
        <v>-3000</v>
      </c>
      <c r="Q33" s="36">
        <f>VLOOKUP($A33,[26]HISTODEC25!$A$6:$AU$51,23,0)</f>
        <v>0</v>
      </c>
      <c r="R33" s="36">
        <f>VLOOKUP($A33,[26]HISTODEC25!$A$6:$AU$51,46,0)</f>
        <v>0</v>
      </c>
      <c r="S33" s="36">
        <f>VLOOKUP($A33,[26]HISTODEC25!$A$6:$AU$51,26,0)</f>
        <v>0</v>
      </c>
      <c r="T33" s="36">
        <f>VLOOKUP($A33,[26]HISTODEC25!$A$6:$BG$51,58,0)</f>
        <v>0</v>
      </c>
      <c r="U33" s="36">
        <f>VLOOKUP($A33,[26]HISTODEC25!$A$6:$AU$51,28,0)</f>
        <v>0</v>
      </c>
      <c r="V33" s="36">
        <f>VLOOKUP($A33,[26]HISTODEC25!$A$6:$AU$51,19,0)</f>
        <v>0</v>
      </c>
      <c r="W33" s="36">
        <f>VLOOKUP($A33,[26]HISTODEC25!$A$6:$AU$51,20,0)</f>
        <v>0</v>
      </c>
      <c r="X33" s="36">
        <f>VLOOKUP($A33,[26]HISTODEC25!$A$6:$AU$51,27,0)</f>
        <v>0</v>
      </c>
      <c r="Y33" s="36">
        <f>VLOOKUP($A33,[26]HISTODEC25!$A$6:$BM$51,33,0)</f>
        <v>0</v>
      </c>
      <c r="Z33" s="36">
        <f>VLOOKUP($A33,[26]HISTODEC25!$A$6:$BM$51,64,0)</f>
        <v>0</v>
      </c>
      <c r="AA33" s="36"/>
      <c r="AB33" s="36">
        <f>VLOOKUP($A33,[26]HISTODEC25!$A$6:$AU$51,44,0)</f>
        <v>0</v>
      </c>
      <c r="AC33" s="36">
        <f>VLOOKUP($A33,[26]HISTODEC25!$A$6:$AU$51,43,0)</f>
        <v>0</v>
      </c>
      <c r="AD33" s="36">
        <f>VLOOKUP($A33,[26]HISTODEC25!$A$6:$BR$51,47,0)</f>
        <v>0</v>
      </c>
      <c r="AE33" s="36">
        <f>VLOOKUP(A33,[26]HISTODEC25!$A$6:$BR$51,54,0)</f>
        <v>0</v>
      </c>
      <c r="AF33" s="36">
        <f>VLOOKUP($A33,[26]HISTODEC25!$A$6:$BR$51,60,0)</f>
        <v>0</v>
      </c>
      <c r="AG33" s="36">
        <f>VLOOKUP($A33,[26]HISTODEC25!$A$6:$CB$51,61,0)</f>
        <v>0</v>
      </c>
      <c r="AH33" s="36">
        <f>VLOOKUP($A33,[26]HISTODEC25!$A$6:$CB$51,62,0)</f>
        <v>0</v>
      </c>
      <c r="AI33" s="36">
        <f>VLOOKUP($A33,[26]HISTODEC25!$A$6:$CB$51,63,0)</f>
        <v>0</v>
      </c>
      <c r="AJ33" s="36">
        <f>VLOOKUP($A33,[26]HISTODEC25!$A$6:$BR$51,64,0)</f>
        <v>0</v>
      </c>
      <c r="AK33" s="36">
        <f>VLOOKUP($A33,[26]HISTODEC25!$A$6:$BR$51,65,0)</f>
        <v>0</v>
      </c>
    </row>
    <row r="34" spans="1:38" x14ac:dyDescent="0.35">
      <c r="A34" s="1" t="s">
        <v>49</v>
      </c>
      <c r="B34" s="1" t="str">
        <f>VLOOKUP(A34,[24]LISTADHERENT!A$5:H$60,3,0)</f>
        <v>SIMO PIERRE</v>
      </c>
      <c r="C34" s="36"/>
      <c r="D34" s="36"/>
      <c r="E34" s="36">
        <f>VLOOKUP($A34,[26]HISTODEC25!$A$6:$BA$51,48,0)</f>
        <v>0</v>
      </c>
      <c r="F34" s="36">
        <f>VLOOKUP(A34,MVTNOV25!A34:AM69,6,0)+MVTNOV25!H34-E34+L34</f>
        <v>1132860.7895001057</v>
      </c>
      <c r="G34" s="5">
        <f>IF(MVTDEC25!F34&gt;800000,(MVTAVRIL25!I34-E34+L34),0)</f>
        <v>1043087.8813039019</v>
      </c>
      <c r="H34" s="36">
        <f>VLOOKUP(A34,[27]MVTDEC25!$A$6:$AM$42,8,0)</f>
        <v>33842.588940428308</v>
      </c>
      <c r="I34" s="6">
        <f t="shared" si="1"/>
        <v>1166703.378440534</v>
      </c>
      <c r="J34" s="36">
        <f>VLOOKUP($A34,[26]HISTODEC25!$A$6:$AQ$51,22,0)</f>
        <v>0</v>
      </c>
      <c r="K34" s="36">
        <f>VLOOKUP($A34,[26]HISTODEC25!$A$6:$AU$51,45,0)</f>
        <v>0</v>
      </c>
      <c r="L34" s="36">
        <f>IF(K34=0,0,K34-(M34+N34+O34))+58000</f>
        <v>58000</v>
      </c>
      <c r="M34" s="36">
        <f t="shared" si="3"/>
        <v>0</v>
      </c>
      <c r="N34" s="36">
        <f t="shared" si="0"/>
        <v>0</v>
      </c>
      <c r="O34" s="36">
        <f t="shared" si="4"/>
        <v>0</v>
      </c>
      <c r="P34" s="36">
        <f>VLOOKUP($A34,[26]HISTODEC25!$A$6:$AU$51,8,0)</f>
        <v>0</v>
      </c>
      <c r="Q34" s="36">
        <f>VLOOKUP($A34,[26]HISTODEC25!$A$6:$AU$51,23,0)</f>
        <v>0</v>
      </c>
      <c r="R34" s="36">
        <f>VLOOKUP($A34,[26]HISTODEC25!$A$6:$AU$51,46,0)</f>
        <v>0</v>
      </c>
      <c r="S34" s="36">
        <f>VLOOKUP($A34,[26]HISTODEC25!$A$6:$AU$51,26,0)</f>
        <v>0</v>
      </c>
      <c r="T34" s="36">
        <f>VLOOKUP($A34,[26]HISTODEC25!$A$6:$BG$51,58,0)</f>
        <v>0</v>
      </c>
      <c r="U34" s="36">
        <f>VLOOKUP($A34,[26]HISTODEC25!$A$6:$AU$51,28,0)</f>
        <v>0</v>
      </c>
      <c r="V34" s="36">
        <f>VLOOKUP($A34,[26]HISTODEC25!$A$6:$AU$51,19,0)</f>
        <v>500000</v>
      </c>
      <c r="W34" s="36" t="str">
        <f>VLOOKUP($A34,[26]HISTODEC25!$A$6:$AU$51,20,0)</f>
        <v>EN COMPTE</v>
      </c>
      <c r="X34" s="36">
        <f>VLOOKUP($A34,[26]HISTODEC25!$A$6:$AU$51,27,0)</f>
        <v>0</v>
      </c>
      <c r="Y34" s="36">
        <f>VLOOKUP($A34,[26]HISTODEC25!$A$6:$BM$51,33,0)</f>
        <v>0</v>
      </c>
      <c r="Z34" s="36">
        <f>VLOOKUP($A34,[26]HISTODEC25!$A$6:$BM$51,64,0)</f>
        <v>0</v>
      </c>
      <c r="AA34" s="36"/>
      <c r="AB34" s="36">
        <f>VLOOKUP($A34,[26]HISTODEC25!$A$6:$AU$51,44,0)</f>
        <v>0</v>
      </c>
      <c r="AC34" s="36">
        <f>VLOOKUP($A34,[26]HISTODEC25!$A$6:$AU$51,43,0)</f>
        <v>0</v>
      </c>
      <c r="AD34" s="36">
        <f>VLOOKUP($A34,[26]HISTODEC25!$A$6:$BR$51,47,0)</f>
        <v>0</v>
      </c>
      <c r="AE34" s="36">
        <f>VLOOKUP(A34,[26]HISTODEC25!$A$6:$BR$51,54,0)</f>
        <v>0</v>
      </c>
      <c r="AF34" s="36">
        <f>VLOOKUP($A34,[26]HISTODEC25!$A$6:$BR$51,60,0)</f>
        <v>0</v>
      </c>
      <c r="AG34" s="36">
        <f>VLOOKUP($A34,[26]HISTODEC25!$A$6:$CB$51,61,0)</f>
        <v>0</v>
      </c>
      <c r="AH34" s="36">
        <f>VLOOKUP($A34,[26]HISTODEC25!$A$6:$CB$51,62,0)</f>
        <v>0</v>
      </c>
      <c r="AI34" s="36">
        <f>VLOOKUP($A34,[26]HISTODEC25!$A$6:$CB$51,63,0)</f>
        <v>0</v>
      </c>
      <c r="AJ34" s="36">
        <f>VLOOKUP($A34,[26]HISTODEC25!$A$6:$BR$51,64,0)</f>
        <v>0</v>
      </c>
      <c r="AK34" s="36">
        <f>VLOOKUP($A34,[26]HISTODEC25!$A$6:$BR$51,65,0)</f>
        <v>0</v>
      </c>
    </row>
    <row r="35" spans="1:38" s="2" customFormat="1" x14ac:dyDescent="0.35">
      <c r="A35" s="1" t="s">
        <v>51</v>
      </c>
      <c r="B35" s="1" t="str">
        <f>VLOOKUP(A35,[24]LISTADHERENT!A$5:H$60,3,0)</f>
        <v>TCHOUAMOU MATHIEU</v>
      </c>
      <c r="C35" s="36"/>
      <c r="D35" s="36"/>
      <c r="E35" s="36">
        <f>VLOOKUP($A35,[26]HISTODEC25!$A$6:$BA$51,48,0)</f>
        <v>0</v>
      </c>
      <c r="F35" s="36">
        <f>VLOOKUP(A35,MVTNOV25!A35:AM70,6,0)+MVTNOV25!H35-E35+L35</f>
        <v>1102011.7281972826</v>
      </c>
      <c r="G35" s="5">
        <f>IF(MVTDEC25!F35&gt;800000,(MVTAVRIL25!I35-E35+L35),0)</f>
        <v>960501.3394432544</v>
      </c>
      <c r="H35" s="36">
        <f>VLOOKUP(A35,[27]MVTDEC25!$A$6:$AM$42,8,0)</f>
        <v>34697.451325075039</v>
      </c>
      <c r="I35" s="6">
        <f t="shared" si="1"/>
        <v>1136709.1795223576</v>
      </c>
      <c r="J35" s="36">
        <f>VLOOKUP($A35,[26]HISTODEC25!$A$6:$AQ$51,22,0)</f>
        <v>0</v>
      </c>
      <c r="K35" s="36">
        <f>VLOOKUP($A35,[26]HISTODEC25!$A$6:$AU$51,45,0)</f>
        <v>25000</v>
      </c>
      <c r="L35" s="36">
        <f t="shared" si="2"/>
        <v>19000</v>
      </c>
      <c r="M35" s="36">
        <f t="shared" si="3"/>
        <v>1000</v>
      </c>
      <c r="N35" s="36">
        <f t="shared" si="0"/>
        <v>1000</v>
      </c>
      <c r="O35" s="36">
        <f t="shared" si="4"/>
        <v>4000</v>
      </c>
      <c r="P35" s="36">
        <f>VLOOKUP($A35,[26]HISTODEC25!$A$6:$AU$51,8,0)</f>
        <v>0</v>
      </c>
      <c r="Q35" s="36">
        <f>VLOOKUP($A35,[26]HISTODEC25!$A$6:$AU$51,23,0)</f>
        <v>0</v>
      </c>
      <c r="R35" s="36">
        <f>VLOOKUP($A35,[26]HISTODEC25!$A$6:$AU$51,46,0)</f>
        <v>0</v>
      </c>
      <c r="S35" s="36">
        <f>VLOOKUP($A35,[26]HISTODEC25!$A$6:$AU$51,26,0)</f>
        <v>1000000</v>
      </c>
      <c r="T35" s="36">
        <f>VLOOKUP($A35,[26]HISTODEC25!$A$6:$BG$51,58,0)</f>
        <v>60000</v>
      </c>
      <c r="U35" s="36">
        <f>VLOOKUP($A35,[26]HISTODEC25!$A$6:$AU$51,28,0)</f>
        <v>0</v>
      </c>
      <c r="V35" s="36">
        <f>VLOOKUP($A35,[26]HISTODEC25!$A$6:$AU$51,19,0)</f>
        <v>1000000</v>
      </c>
      <c r="W35" s="36" t="str">
        <f>VLOOKUP($A35,[26]HISTODEC25!$A$6:$AU$51,20,0)</f>
        <v>ESPECES</v>
      </c>
      <c r="X35" s="36" t="str">
        <f>VLOOKUP($A35,[26]HISTODEC25!$A$6:$AU$51,27,0)</f>
        <v>BANQUE</v>
      </c>
      <c r="Y35" s="36">
        <f>VLOOKUP($A35,[26]HISTODEC25!$A$6:$BM$51,33,0)</f>
        <v>0</v>
      </c>
      <c r="Z35" s="36">
        <f>VLOOKUP($A35,[26]HISTODEC25!$A$6:$BM$51,64,0)</f>
        <v>0</v>
      </c>
      <c r="AA35" s="36"/>
      <c r="AB35" s="36">
        <f>VLOOKUP($A35,[26]HISTODEC25!$A$6:$AU$51,44,0)</f>
        <v>0</v>
      </c>
      <c r="AC35" s="36">
        <f>VLOOKUP($A35,[26]HISTODEC25!$A$6:$AU$51,43,0)</f>
        <v>0</v>
      </c>
      <c r="AD35" s="36">
        <f>VLOOKUP($A35,[26]HISTODEC25!$A$6:$BR$51,47,0)</f>
        <v>0</v>
      </c>
      <c r="AE35" s="36">
        <f>VLOOKUP(A35,[26]HISTODEC25!$A$6:$BR$51,54,0)</f>
        <v>0</v>
      </c>
      <c r="AF35" s="36">
        <f>VLOOKUP($A35,[26]HISTODEC25!$A$6:$BR$51,60,0)</f>
        <v>0</v>
      </c>
      <c r="AG35" s="36">
        <f>VLOOKUP($A35,[26]HISTODEC25!$A$6:$CB$51,61,0)</f>
        <v>0</v>
      </c>
      <c r="AH35" s="36">
        <f>VLOOKUP($A35,[26]HISTODEC25!$A$6:$CB$51,62,0)</f>
        <v>0</v>
      </c>
      <c r="AI35" s="36">
        <f>VLOOKUP($A35,[26]HISTODEC25!$A$6:$CB$51,63,0)</f>
        <v>0</v>
      </c>
      <c r="AJ35" s="36">
        <f>VLOOKUP($A35,[26]HISTODEC25!$A$6:$BR$51,64,0)</f>
        <v>0</v>
      </c>
      <c r="AK35" s="36">
        <f>VLOOKUP($A35,[26]HISTODEC25!$A$6:$BR$51,65,0)</f>
        <v>0</v>
      </c>
      <c r="AL35"/>
    </row>
    <row r="36" spans="1:38" s="2" customFormat="1" x14ac:dyDescent="0.35">
      <c r="A36" s="1" t="s">
        <v>327</v>
      </c>
      <c r="B36" s="1" t="str">
        <f>VLOOKUP(A36,[24]LISTADHERENT!A$5:H$60,3,0)</f>
        <v>TCHOUATEU AUGUSTIN</v>
      </c>
      <c r="C36" s="36"/>
      <c r="D36" s="36"/>
      <c r="E36" s="36">
        <f>VLOOKUP($A36,[26]HISTODEC25!$A$6:$BA$51,48,0)</f>
        <v>0</v>
      </c>
      <c r="F36" s="36">
        <f>VLOOKUP(A36,MVTNOV25!A36:AM71,6,0)+MVTNOV25!H36-E36+L36</f>
        <v>1091800.5681563942</v>
      </c>
      <c r="G36" s="5">
        <f>IF(MVTDEC25!F36&gt;800000,(MVTAVRIL25!I36-E36+L36),0)</f>
        <v>950375.01065586659</v>
      </c>
      <c r="H36" s="36">
        <f>VLOOKUP(A36,[27]MVTDEC25!$A$6:$AM$42,8,0)</f>
        <v>34375.947279858701</v>
      </c>
      <c r="I36" s="6">
        <f t="shared" si="1"/>
        <v>1126176.5154362528</v>
      </c>
      <c r="J36" s="36">
        <f>VLOOKUP($A36,[26]HISTODEC25!$A$6:$AQ$51,22,0)</f>
        <v>0</v>
      </c>
      <c r="K36" s="36">
        <f>VLOOKUP($A36,[26]HISTODEC25!$A$6:$AU$51,45,0)</f>
        <v>25000</v>
      </c>
      <c r="L36" s="36">
        <f t="shared" si="2"/>
        <v>19000</v>
      </c>
      <c r="M36" s="36">
        <f t="shared" si="3"/>
        <v>1000</v>
      </c>
      <c r="N36" s="36">
        <f t="shared" si="0"/>
        <v>1000</v>
      </c>
      <c r="O36" s="36">
        <f t="shared" si="4"/>
        <v>4000</v>
      </c>
      <c r="P36" s="36">
        <f>VLOOKUP($A36,[26]HISTODEC25!$A$6:$AU$51,8,0)</f>
        <v>0</v>
      </c>
      <c r="Q36" s="36">
        <f>VLOOKUP($A36,[26]HISTODEC25!$A$6:$AU$51,23,0)</f>
        <v>0</v>
      </c>
      <c r="R36" s="36">
        <f>VLOOKUP($A36,[26]HISTODEC25!$A$6:$AU$51,46,0)</f>
        <v>0</v>
      </c>
      <c r="S36" s="36">
        <f>VLOOKUP($A36,[26]HISTODEC25!$A$6:$AU$51,26,0)</f>
        <v>1000000</v>
      </c>
      <c r="T36" s="36">
        <f>VLOOKUP($A36,[26]HISTODEC25!$A$6:$BG$51,58,0)</f>
        <v>120000</v>
      </c>
      <c r="U36" s="36">
        <f>VLOOKUP($A36,[26]HISTODEC25!$A$6:$AU$51,28,0)</f>
        <v>0</v>
      </c>
      <c r="V36" s="36">
        <f>VLOOKUP($A36,[26]HISTODEC25!$A$6:$AU$51,19,0)</f>
        <v>1000000</v>
      </c>
      <c r="W36" s="36" t="str">
        <f>VLOOKUP($A36,[26]HISTODEC25!$A$6:$AU$51,20,0)</f>
        <v>BANQUE</v>
      </c>
      <c r="X36" s="36" t="str">
        <f>VLOOKUP($A36,[26]HISTODEC25!$A$6:$AU$51,27,0)</f>
        <v>BANQUE</v>
      </c>
      <c r="Y36" s="36">
        <f>VLOOKUP($A36,[26]HISTODEC25!$A$6:$BM$51,33,0)</f>
        <v>0</v>
      </c>
      <c r="Z36" s="36">
        <f>VLOOKUP($A36,[26]HISTODEC25!$A$6:$BM$51,64,0)</f>
        <v>0</v>
      </c>
      <c r="AA36" s="36"/>
      <c r="AB36" s="36">
        <f>VLOOKUP($A36,[26]HISTODEC25!$A$6:$AU$51,44,0)</f>
        <v>0</v>
      </c>
      <c r="AC36" s="36">
        <f>VLOOKUP($A36,[26]HISTODEC25!$A$6:$AU$51,43,0)</f>
        <v>0</v>
      </c>
      <c r="AD36" s="36">
        <f>VLOOKUP($A36,[26]HISTODEC25!$A$6:$BR$51,47,0)</f>
        <v>0</v>
      </c>
      <c r="AE36" s="36">
        <f>VLOOKUP(A36,[26]HISTODEC25!$A$6:$BR$51,54,0)</f>
        <v>0</v>
      </c>
      <c r="AF36" s="36">
        <f>VLOOKUP($A36,[26]HISTODEC25!$A$6:$BR$51,60,0)</f>
        <v>0</v>
      </c>
      <c r="AG36" s="36">
        <f>VLOOKUP($A36,[26]HISTODEC25!$A$6:$CB$51,61,0)</f>
        <v>0</v>
      </c>
      <c r="AH36" s="36">
        <f>VLOOKUP($A36,[26]HISTODEC25!$A$6:$CB$51,62,0)</f>
        <v>0</v>
      </c>
      <c r="AI36" s="36">
        <f>VLOOKUP($A36,[26]HISTODEC25!$A$6:$CB$51,63,0)</f>
        <v>0</v>
      </c>
      <c r="AJ36" s="36">
        <f>VLOOKUP($A36,[26]HISTODEC25!$A$6:$BR$51,64,0)</f>
        <v>0</v>
      </c>
      <c r="AK36" s="36">
        <f>VLOOKUP($A36,[26]HISTODEC25!$A$6:$BR$51,65,0)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/>
      <c r="D37" s="36"/>
      <c r="E37" s="36">
        <f>VLOOKUP($A37,[26]HISTODEC25!$A$6:$BA$51,48,0)</f>
        <v>0</v>
      </c>
      <c r="F37" s="36">
        <f>VLOOKUP(A37,MVTNOV25!A37:AM72,6,0)+MVTNOV25!H37-E37+L37</f>
        <v>930250</v>
      </c>
      <c r="G37" s="5">
        <f>IF(MVTDEC25!F37&gt;800000,(MVTAVRIL25!I37-E37+L37),0)</f>
        <v>579750</v>
      </c>
      <c r="H37" s="36">
        <f>VLOOKUP(A37,[27]MVTDEC25!$A$6:$AM$42,8,0)</f>
        <v>0</v>
      </c>
      <c r="I37" s="6">
        <f t="shared" si="1"/>
        <v>930250</v>
      </c>
      <c r="J37" s="36">
        <f>VLOOKUP($A37,[26]HISTODEC25!$A$6:$AQ$51,22,0)</f>
        <v>0</v>
      </c>
      <c r="K37" s="36">
        <f>VLOOKUP($A37,[26]HISTODEC25!$A$6:$AU$51,45,0)</f>
        <v>25000</v>
      </c>
      <c r="L37" s="36">
        <f>IF(K37=0,0,K37-(M37+N37+O37))</f>
        <v>19000</v>
      </c>
      <c r="M37" s="36">
        <f t="shared" si="3"/>
        <v>1000</v>
      </c>
      <c r="N37" s="36">
        <f t="shared" si="0"/>
        <v>1000</v>
      </c>
      <c r="O37" s="36">
        <f t="shared" si="4"/>
        <v>4000</v>
      </c>
      <c r="P37" s="36">
        <f>VLOOKUP($A37,[26]HISTODEC25!$A$6:$AU$51,8,0)</f>
        <v>0</v>
      </c>
      <c r="Q37" s="36">
        <f>VLOOKUP($A37,[26]HISTODEC25!$A$6:$AU$51,23,0)</f>
        <v>0</v>
      </c>
      <c r="R37" s="36">
        <f>VLOOKUP($A37,[26]HISTODEC25!$A$6:$AU$51,46,0)</f>
        <v>0</v>
      </c>
      <c r="S37" s="36">
        <f>VLOOKUP($A37,[26]HISTODEC25!$A$6:$AU$51,26,0)</f>
        <v>0</v>
      </c>
      <c r="T37" s="36">
        <f>VLOOKUP($A37,[26]HISTODEC25!$A$6:$BG$51,58,0)</f>
        <v>0</v>
      </c>
      <c r="U37" s="36">
        <f>VLOOKUP($A37,[26]HISTODEC25!$A$6:$AU$51,28,0)</f>
        <v>0</v>
      </c>
      <c r="V37" s="36">
        <f>VLOOKUP($A37,[26]HISTODEC25!$A$6:$AU$51,19,0)</f>
        <v>0</v>
      </c>
      <c r="W37" s="36">
        <f>VLOOKUP($A37,[26]HISTODEC25!$A$6:$AU$51,20,0)</f>
        <v>0</v>
      </c>
      <c r="X37" s="36">
        <f>VLOOKUP($A37,[26]HISTODEC25!$A$6:$AU$51,27,0)</f>
        <v>0</v>
      </c>
      <c r="Y37" s="36">
        <f>VLOOKUP($A37,[26]HISTODEC25!$A$6:$BM$51,33,0)</f>
        <v>0</v>
      </c>
      <c r="Z37" s="36">
        <f>VLOOKUP($A37,[26]HISTODEC25!$A$6:$BM$51,64,0)</f>
        <v>0</v>
      </c>
      <c r="AA37" s="36"/>
      <c r="AB37" s="36">
        <f>VLOOKUP($A37,[26]HISTODEC25!$A$6:$AU$51,44,0)</f>
        <v>0</v>
      </c>
      <c r="AC37" s="36">
        <f>VLOOKUP($A37,[26]HISTODEC25!$A$6:$AU$51,43,0)</f>
        <v>0</v>
      </c>
      <c r="AD37" s="36">
        <f>VLOOKUP($A37,[26]HISTODEC25!$A$6:$BR$51,47,0)</f>
        <v>0</v>
      </c>
      <c r="AE37" s="36">
        <f>VLOOKUP(A37,[26]HISTODEC25!$A$6:$BR$51,54,0)</f>
        <v>0</v>
      </c>
      <c r="AF37" s="36">
        <f>VLOOKUP($A37,[26]HISTODEC25!$A$6:$BR$51,60,0)</f>
        <v>0</v>
      </c>
      <c r="AG37" s="36">
        <f>VLOOKUP($A37,[26]HISTODEC25!$A$6:$CB$51,61,0)</f>
        <v>0</v>
      </c>
      <c r="AH37" s="36">
        <f>VLOOKUP($A37,[26]HISTODEC25!$A$6:$CB$51,62,0)</f>
        <v>0</v>
      </c>
      <c r="AI37" s="36">
        <f>VLOOKUP($A37,[26]HISTODEC25!$A$6:$CB$51,63,0)</f>
        <v>0</v>
      </c>
      <c r="AJ37" s="36">
        <f>VLOOKUP($A37,[26]HISTODEC25!$A$6:$BR$51,64,0)</f>
        <v>0</v>
      </c>
      <c r="AK37" s="36">
        <f>VLOOKUP($A37,[26]HISTODEC25!$A$6:$BR$51,65,0)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/>
      <c r="D38" s="36"/>
      <c r="E38" s="36">
        <f>VLOOKUP($A38,[26]HISTODEC25!$A$6:$BA$51,48,0)</f>
        <v>0</v>
      </c>
      <c r="F38" s="36">
        <f>VLOOKUP(A38,MVTNOV25!A38:AM73,6,0)+MVTNOV25!H38-E38+L38</f>
        <v>507500</v>
      </c>
      <c r="G38" s="5">
        <f>IF(MVTDEC25!F38&gt;800000,(MVTAVRIL25!I38-E38+L38),0)</f>
        <v>0</v>
      </c>
      <c r="H38" s="36">
        <f>VLOOKUP(A38,[27]MVTDEC25!$A$6:$AM$42,8,0)</f>
        <v>0</v>
      </c>
      <c r="I38" s="6">
        <f t="shared" si="1"/>
        <v>507500</v>
      </c>
      <c r="J38" s="36">
        <f>VLOOKUP($A38,[26]HISTODEC25!$A$6:$AQ$51,22,0)</f>
        <v>0</v>
      </c>
      <c r="K38" s="36">
        <f>VLOOKUP($A38,[26]HISTODEC25!$A$6:$AU$51,45,0)</f>
        <v>322500</v>
      </c>
      <c r="L38" s="36">
        <f>IF(K38=0,0,K38-(M38+N38+O38))</f>
        <v>316500</v>
      </c>
      <c r="M38" s="36">
        <f t="shared" si="3"/>
        <v>1000</v>
      </c>
      <c r="N38" s="36">
        <f t="shared" si="0"/>
        <v>1000</v>
      </c>
      <c r="O38" s="36">
        <f t="shared" si="4"/>
        <v>4000</v>
      </c>
      <c r="P38" s="36">
        <f>VLOOKUP($A38,[26]HISTODEC25!$A$6:$AU$51,8,0)</f>
        <v>0</v>
      </c>
      <c r="Q38" s="36">
        <f>VLOOKUP($A38,[26]HISTODEC25!$A$6:$AU$51,23,0)</f>
        <v>0</v>
      </c>
      <c r="R38" s="36">
        <f>VLOOKUP($A38,[26]HISTODEC25!$A$6:$AU$51,46,0)</f>
        <v>0</v>
      </c>
      <c r="S38" s="36">
        <f>VLOOKUP($A38,[26]HISTODEC25!$A$6:$AU$51,26,0)</f>
        <v>0</v>
      </c>
      <c r="T38" s="36">
        <f>VLOOKUP($A38,[26]HISTODEC25!$A$6:$BG$51,58,0)</f>
        <v>0</v>
      </c>
      <c r="U38" s="36">
        <f>VLOOKUP($A38,[26]HISTODEC25!$A$6:$AU$51,28,0)</f>
        <v>0</v>
      </c>
      <c r="V38" s="36">
        <f>VLOOKUP($A38,[26]HISTODEC25!$A$6:$AU$51,19,0)</f>
        <v>0</v>
      </c>
      <c r="W38" s="36">
        <f>VLOOKUP($A38,[26]HISTODEC25!$A$6:$AU$51,20,0)</f>
        <v>0</v>
      </c>
      <c r="X38" s="36">
        <f>VLOOKUP($A38,[26]HISTODEC25!$A$6:$AU$51,27,0)</f>
        <v>0</v>
      </c>
      <c r="Y38" s="36">
        <f>VLOOKUP($A38,[26]HISTODEC25!$A$6:$BM$51,33,0)</f>
        <v>0</v>
      </c>
      <c r="Z38" s="36">
        <f>VLOOKUP($A38,[26]HISTODEC25!$A$6:$BM$51,64,0)</f>
        <v>0</v>
      </c>
      <c r="AA38" s="36"/>
      <c r="AB38" s="36">
        <f>VLOOKUP($A38,[26]HISTODEC25!$A$6:$AU$51,44,0)</f>
        <v>0</v>
      </c>
      <c r="AC38" s="36">
        <f>VLOOKUP($A38,[26]HISTODEC25!$A$6:$AU$51,43,0)</f>
        <v>0</v>
      </c>
      <c r="AD38" s="36">
        <f>VLOOKUP($A38,[26]HISTODEC25!$A$6:$BR$51,47,0)</f>
        <v>0</v>
      </c>
      <c r="AE38" s="36">
        <f>VLOOKUP(A38,[26]HISTODEC25!$A$6:$BR$51,54,0)</f>
        <v>0</v>
      </c>
      <c r="AF38" s="36">
        <f>VLOOKUP($A38,[26]HISTODEC25!$A$6:$BR$51,60,0)</f>
        <v>0</v>
      </c>
      <c r="AG38" s="36">
        <f>VLOOKUP($A38,[26]HISTODEC25!$A$6:$CB$51,61,0)</f>
        <v>0</v>
      </c>
      <c r="AH38" s="36">
        <f>VLOOKUP($A38,[26]HISTODEC25!$A$6:$CB$51,62,0)</f>
        <v>0</v>
      </c>
      <c r="AI38" s="36">
        <f>VLOOKUP($A38,[26]HISTODEC25!$A$6:$CB$51,63,0)</f>
        <v>0</v>
      </c>
      <c r="AJ38" s="36">
        <f>VLOOKUP($A38,[26]HISTODEC25!$A$6:$BR$51,64,0)</f>
        <v>0</v>
      </c>
      <c r="AK38" s="36">
        <f>VLOOKUP($A38,[26]HISTODEC25!$A$6:$BR$51,65,0)</f>
        <v>0</v>
      </c>
      <c r="AL38"/>
    </row>
    <row r="39" spans="1:38" s="2" customFormat="1" x14ac:dyDescent="0.35">
      <c r="A39" s="1" t="s">
        <v>313</v>
      </c>
      <c r="B39" s="1" t="str">
        <f>VLOOKUP(A39,[24]LISTADHERENT!A$5:H$60,3,0)</f>
        <v>YANTCHOU GERVAIS</v>
      </c>
      <c r="C39" s="36"/>
      <c r="D39" s="36"/>
      <c r="E39" s="36">
        <f>VLOOKUP($A39,[26]HISTODEC25!$A$6:$BA$51,48,0)</f>
        <v>0</v>
      </c>
      <c r="F39" s="36">
        <f>VLOOKUP(A39,MVTNOV25!A39:AM74,6,0)+MVTNOV25!H39-E39+L39</f>
        <v>1070457.7573240378</v>
      </c>
      <c r="G39" s="5">
        <f>IF(MVTDEC25!F39&gt;800000,(MVTAVRIL25!I39-E39+L39),0)</f>
        <v>924235.14821666293</v>
      </c>
      <c r="H39" s="36">
        <f>VLOOKUP(A39,[27]MVTDEC25!$A$6:$AM$42,8,0)</f>
        <v>33703.95702689889</v>
      </c>
      <c r="I39" s="6">
        <f t="shared" si="1"/>
        <v>1104161.7143509367</v>
      </c>
      <c r="J39" s="36">
        <f>VLOOKUP($A39,[26]HISTODEC25!$A$6:$AQ$51,22,0)</f>
        <v>0</v>
      </c>
      <c r="K39" s="36">
        <f>VLOOKUP($A39,[26]HISTODEC25!$A$6:$AU$51,45,0)</f>
        <v>25000</v>
      </c>
      <c r="L39" s="36">
        <f t="shared" si="2"/>
        <v>19000</v>
      </c>
      <c r="M39" s="36">
        <f t="shared" si="3"/>
        <v>1000</v>
      </c>
      <c r="N39" s="36">
        <f t="shared" si="0"/>
        <v>1000</v>
      </c>
      <c r="O39" s="36">
        <f t="shared" si="4"/>
        <v>4000</v>
      </c>
      <c r="P39" s="36">
        <f>VLOOKUP($A39,[26]HISTODEC25!$A$6:$AU$51,8,0)</f>
        <v>0</v>
      </c>
      <c r="Q39" s="36">
        <f>VLOOKUP($A39,[26]HISTODEC25!$A$6:$AU$51,23,0)</f>
        <v>0</v>
      </c>
      <c r="R39" s="36">
        <f>VLOOKUP($A39,[26]HISTODEC25!$A$6:$AU$51,46,0)</f>
        <v>0</v>
      </c>
      <c r="S39" s="36">
        <f>VLOOKUP($A39,[26]HISTODEC25!$A$6:$AU$51,26,0)</f>
        <v>500000</v>
      </c>
      <c r="T39" s="36">
        <f>VLOOKUP($A39,[26]HISTODEC25!$A$6:$BG$51,58,0)</f>
        <v>30000</v>
      </c>
      <c r="U39" s="36">
        <f>VLOOKUP($A39,[26]HISTODEC25!$A$6:$AU$51,28,0)</f>
        <v>0</v>
      </c>
      <c r="V39" s="36">
        <f>VLOOKUP($A39,[26]HISTODEC25!$A$6:$AU$51,19,0)</f>
        <v>107500</v>
      </c>
      <c r="W39" s="36" t="str">
        <f>VLOOKUP($A39,[26]HISTODEC25!$A$6:$AU$51,20,0)</f>
        <v>BANQUE</v>
      </c>
      <c r="X39" s="36" t="str">
        <f>VLOOKUP($A39,[26]HISTODEC25!$A$6:$AU$51,27,0)</f>
        <v>BANQUE</v>
      </c>
      <c r="Y39" s="36">
        <f>VLOOKUP($A39,[26]HISTODEC25!$A$6:$BM$51,33,0)</f>
        <v>0</v>
      </c>
      <c r="Z39" s="36">
        <f>VLOOKUP($A39,[26]HISTODEC25!$A$6:$BM$51,64,0)</f>
        <v>0</v>
      </c>
      <c r="AA39" s="36"/>
      <c r="AB39" s="36">
        <f>VLOOKUP($A39,[26]HISTODEC25!$A$6:$AU$51,44,0)</f>
        <v>0</v>
      </c>
      <c r="AC39" s="36">
        <f>VLOOKUP($A39,[26]HISTODEC25!$A$6:$AU$51,43,0)</f>
        <v>0</v>
      </c>
      <c r="AD39" s="36">
        <f>VLOOKUP($A39,[26]HISTODEC25!$A$6:$BR$51,47,0)</f>
        <v>0</v>
      </c>
      <c r="AE39" s="36">
        <f>VLOOKUP(A39,[26]HISTODEC25!$A$6:$BR$51,54,0)</f>
        <v>0</v>
      </c>
      <c r="AF39" s="36">
        <f>VLOOKUP($A39,[26]HISTODEC25!$A$6:$BR$51,60,0)</f>
        <v>0</v>
      </c>
      <c r="AG39" s="36">
        <f>VLOOKUP($A39,[26]HISTODEC25!$A$6:$CB$51,61,0)</f>
        <v>0</v>
      </c>
      <c r="AH39" s="36">
        <f>VLOOKUP($A39,[26]HISTODEC25!$A$6:$CB$51,62,0)</f>
        <v>0</v>
      </c>
      <c r="AI39" s="36">
        <f>VLOOKUP($A39,[26]HISTODEC25!$A$6:$CB$51,63,0)</f>
        <v>0</v>
      </c>
      <c r="AJ39" s="36">
        <f>VLOOKUP($A39,[26]HISTODEC25!$A$6:$BR$51,64,0)</f>
        <v>0</v>
      </c>
      <c r="AK39" s="36">
        <f>VLOOKUP($A39,[26]HISTODEC25!$A$6:$BR$51,65,0)</f>
        <v>0</v>
      </c>
      <c r="AL39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/>
      <c r="D40" s="36"/>
      <c r="E40" s="36">
        <f>VLOOKUP($A40,[26]HISTODEC25!$A$6:$BA$51,48,0)</f>
        <v>0</v>
      </c>
      <c r="F40" s="36">
        <f>VLOOKUP(A40,MVTNOV25!A40:AM75,6,0)+MVTNOV25!H40-E40+L40</f>
        <v>1886265.7896057479</v>
      </c>
      <c r="G40" s="5">
        <f>IF(MVTDEC25!F40&gt;800000,(MVTAVRIL25!I40-E40+L40),0)</f>
        <v>1744215.5898191084</v>
      </c>
      <c r="H40" s="36">
        <f>VLOOKUP(A40,[27]MVTDEC25!$A$6:$AM$42,8,0)</f>
        <v>59390.126027118866</v>
      </c>
      <c r="I40" s="6">
        <f t="shared" si="1"/>
        <v>1945655.9156328668</v>
      </c>
      <c r="J40" s="36">
        <f>VLOOKUP($A40,[26]HISTODEC25!$A$6:$AQ$51,22,0)</f>
        <v>0</v>
      </c>
      <c r="K40" s="36">
        <f>VLOOKUP($A40,[26]HISTODEC25!$A$6:$AU$51,45,0)</f>
        <v>25000</v>
      </c>
      <c r="L40" s="36">
        <f t="shared" si="2"/>
        <v>19000</v>
      </c>
      <c r="M40" s="36">
        <f t="shared" si="3"/>
        <v>1000</v>
      </c>
      <c r="N40" s="36">
        <f t="shared" si="0"/>
        <v>1000</v>
      </c>
      <c r="O40" s="36">
        <f t="shared" si="4"/>
        <v>4000</v>
      </c>
      <c r="P40" s="36">
        <f>VLOOKUP($A40,[26]HISTODEC25!$A$6:$AU$51,8,0)</f>
        <v>0</v>
      </c>
      <c r="Q40" s="36">
        <f>VLOOKUP($A40,[26]HISTODEC25!$A$6:$AU$51,23,0)</f>
        <v>0</v>
      </c>
      <c r="R40" s="36">
        <f>VLOOKUP($A40,[26]HISTODEC25!$A$6:$AU$51,46,0)</f>
        <v>0</v>
      </c>
      <c r="S40" s="36">
        <f>VLOOKUP($A40,[26]HISTODEC25!$A$6:$AU$51,26,0)</f>
        <v>0</v>
      </c>
      <c r="T40" s="36">
        <f>VLOOKUP($A40,[26]HISTODEC25!$A$6:$BG$51,58,0)</f>
        <v>0</v>
      </c>
      <c r="U40" s="36">
        <f>VLOOKUP($A40,[26]HISTODEC25!$A$6:$AU$51,28,0)</f>
        <v>0</v>
      </c>
      <c r="V40" s="36">
        <f>VLOOKUP($A40,[26]HISTODEC25!$A$6:$AU$51,19,0)</f>
        <v>0</v>
      </c>
      <c r="W40" s="36">
        <f>VLOOKUP($A40,[26]HISTODEC25!$A$6:$AU$51,20,0)</f>
        <v>0</v>
      </c>
      <c r="X40" s="36">
        <f>VLOOKUP($A40,[26]HISTODEC25!$A$6:$AU$51,27,0)</f>
        <v>0</v>
      </c>
      <c r="Y40" s="36">
        <f>VLOOKUP($A40,[26]HISTODEC25!$A$6:$BM$51,33,0)</f>
        <v>0</v>
      </c>
      <c r="Z40" s="36">
        <f>VLOOKUP($A40,[26]HISTODEC25!$A$6:$BM$51,64,0)</f>
        <v>0</v>
      </c>
      <c r="AA40" s="36"/>
      <c r="AB40" s="36">
        <f>VLOOKUP($A40,[26]HISTODEC25!$A$6:$AU$51,44,0)</f>
        <v>0</v>
      </c>
      <c r="AC40" s="36">
        <f>VLOOKUP($A40,[26]HISTODEC25!$A$6:$AU$51,43,0)</f>
        <v>0</v>
      </c>
      <c r="AD40" s="36">
        <f>VLOOKUP($A40,[26]HISTODEC25!$A$6:$BR$51,47,0)</f>
        <v>0</v>
      </c>
      <c r="AE40" s="36">
        <f>VLOOKUP(A40,[26]HISTODEC25!$A$6:$BR$51,54,0)</f>
        <v>0</v>
      </c>
      <c r="AF40" s="36">
        <f>VLOOKUP($A40,[26]HISTODEC25!$A$6:$BR$51,60,0)</f>
        <v>0</v>
      </c>
      <c r="AG40" s="36">
        <f>VLOOKUP($A40,[26]HISTODEC25!$A$6:$CB$51,61,0)</f>
        <v>0</v>
      </c>
      <c r="AH40" s="36">
        <f>VLOOKUP($A40,[26]HISTODEC25!$A$6:$CB$51,62,0)</f>
        <v>0</v>
      </c>
      <c r="AI40" s="36">
        <f>VLOOKUP($A40,[26]HISTODEC25!$A$6:$CB$51,63,0)</f>
        <v>0</v>
      </c>
      <c r="AJ40" s="36">
        <f>VLOOKUP($A40,[26]HISTODEC25!$A$6:$BR$51,64,0)</f>
        <v>0</v>
      </c>
      <c r="AK40" s="36">
        <f>VLOOKUP($A40,[26]HISTODEC25!$A$6:$BR$51,65,0)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/>
      <c r="D41" s="36"/>
      <c r="E41" s="36">
        <f>VLOOKUP($A41,[26]HISTODEC25!$A$6:$BA$51,48,0)</f>
        <v>0</v>
      </c>
      <c r="F41" s="36">
        <f>VLOOKUP(A41,MVTNOV25!A41:AM76,6,0)+MVTNOV25!H41-E41+L41</f>
        <v>1095729.5180005529</v>
      </c>
      <c r="G41" s="5">
        <f>IF(MVTDEC25!F41&gt;800000,(MVTAVRIL25!I41-E41+L41),0)</f>
        <v>954271.31996370177</v>
      </c>
      <c r="H41" s="36">
        <f>VLOOKUP(A41,[27]MVTDEC25!$A$6:$AM$42,8,0)</f>
        <v>34499.652447860281</v>
      </c>
      <c r="I41" s="6">
        <f t="shared" si="1"/>
        <v>1130229.1704484131</v>
      </c>
      <c r="J41" s="36">
        <f>VLOOKUP($A41,[26]HISTODEC25!$A$6:$AQ$51,22,0)</f>
        <v>0</v>
      </c>
      <c r="K41" s="36">
        <f>VLOOKUP($A41,[26]HISTODEC25!$A$6:$AU$51,45,0)</f>
        <v>25000</v>
      </c>
      <c r="L41" s="36">
        <f t="shared" si="2"/>
        <v>19000</v>
      </c>
      <c r="M41" s="36">
        <f t="shared" si="3"/>
        <v>1000</v>
      </c>
      <c r="N41" s="36">
        <f t="shared" si="0"/>
        <v>1000</v>
      </c>
      <c r="O41" s="36">
        <f t="shared" si="4"/>
        <v>4000</v>
      </c>
      <c r="P41" s="36">
        <f>VLOOKUP($A41,[26]HISTODEC25!$A$6:$AU$51,8,0)</f>
        <v>0</v>
      </c>
      <c r="Q41" s="36">
        <f>VLOOKUP($A41,[26]HISTODEC25!$A$6:$AU$51,23,0)</f>
        <v>0</v>
      </c>
      <c r="R41" s="36">
        <f>VLOOKUP($A41,[26]HISTODEC25!$A$6:$AU$51,46,0)</f>
        <v>0</v>
      </c>
      <c r="S41" s="36">
        <f>VLOOKUP($A41,[26]HISTODEC25!$A$6:$AU$51,26,0)</f>
        <v>0</v>
      </c>
      <c r="T41" s="36">
        <f>VLOOKUP($A41,[26]HISTODEC25!$A$6:$BG$51,58,0)</f>
        <v>0</v>
      </c>
      <c r="U41" s="36">
        <f>VLOOKUP($A41,[26]HISTODEC25!$A$6:$AU$51,28,0)</f>
        <v>0</v>
      </c>
      <c r="V41" s="36">
        <f>VLOOKUP($A41,[26]HISTODEC25!$A$6:$AU$51,19,0)</f>
        <v>0</v>
      </c>
      <c r="W41" s="36">
        <f>VLOOKUP($A41,[26]HISTODEC25!$A$6:$AU$51,20,0)</f>
        <v>0</v>
      </c>
      <c r="X41" s="36">
        <f>VLOOKUP($A41,[26]HISTODEC25!$A$6:$AU$51,27,0)</f>
        <v>0</v>
      </c>
      <c r="Y41" s="36">
        <f>VLOOKUP($A41,[26]HISTODEC25!$A$6:$BM$51,33,0)</f>
        <v>0</v>
      </c>
      <c r="Z41" s="36">
        <f>VLOOKUP($A41,[26]HISTODEC25!$A$6:$BM$51,64,0)</f>
        <v>0</v>
      </c>
      <c r="AA41" s="36"/>
      <c r="AB41" s="36">
        <f>VLOOKUP($A41,[26]HISTODEC25!$A$6:$AU$51,44,0)</f>
        <v>0</v>
      </c>
      <c r="AC41" s="36">
        <f>VLOOKUP($A41,[26]HISTODEC25!$A$6:$AU$51,43,0)</f>
        <v>0</v>
      </c>
      <c r="AD41" s="36">
        <f>VLOOKUP($A41,[26]HISTODEC25!$A$6:$BR$51,47,0)</f>
        <v>0</v>
      </c>
      <c r="AE41" s="36">
        <f>VLOOKUP(A41,[26]HISTODEC25!$A$6:$BR$51,54,0)</f>
        <v>0</v>
      </c>
      <c r="AF41" s="36">
        <f>VLOOKUP($A41,[26]HISTODEC25!$A$6:$BR$51,60,0)</f>
        <v>0</v>
      </c>
      <c r="AG41" s="36">
        <f>VLOOKUP($A41,[26]HISTODEC25!$A$6:$CB$51,61,0)</f>
        <v>0</v>
      </c>
      <c r="AH41" s="36">
        <f>VLOOKUP($A41,[26]HISTODEC25!$A$6:$CB$51,62,0)</f>
        <v>0</v>
      </c>
      <c r="AI41" s="36">
        <f>VLOOKUP($A41,[26]HISTODEC25!$A$6:$CB$51,63,0)</f>
        <v>0</v>
      </c>
      <c r="AJ41" s="36">
        <f>VLOOKUP($A41,[26]HISTODEC25!$A$6:$BR$51,64,0)</f>
        <v>0</v>
      </c>
      <c r="AK41" s="36">
        <f>VLOOKUP($A41,[26]HISTODEC25!$A$6:$BR$51,65,0)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/>
      <c r="D42" s="36"/>
      <c r="E42" s="36">
        <f>VLOOKUP($A42,[26]HISTODEC25!$A$6:$BA$51,48,0)</f>
        <v>0</v>
      </c>
      <c r="F42" s="36">
        <f>VLOOKUP(A42,MVTNOV25!A42:AM77,6,0)+MVTNOV25!H42-E42+L42</f>
        <v>2395244.372980848</v>
      </c>
      <c r="G42" s="5">
        <f>IF(MVTDEC25!F42&gt;800000,(MVTAVRIL25!I42-E42+L42),0)</f>
        <v>2242990.1954813572</v>
      </c>
      <c r="H42" s="36">
        <f>VLOOKUP(A42,[27]MVTDEC25!$A$6:$AM$42,8,0)</f>
        <v>75415.599413915377</v>
      </c>
      <c r="I42" s="6">
        <f t="shared" si="1"/>
        <v>2470659.9723947635</v>
      </c>
      <c r="J42" s="36">
        <f>VLOOKUP($A42,[26]HISTODEC25!$A$6:$AQ$51,22,0)</f>
        <v>0</v>
      </c>
      <c r="K42" s="36">
        <f>VLOOKUP($A42,[26]HISTODEC25!$A$6:$AU$51,45,0)</f>
        <v>25000</v>
      </c>
      <c r="L42" s="36">
        <f t="shared" si="2"/>
        <v>19000</v>
      </c>
      <c r="M42" s="36">
        <f t="shared" si="3"/>
        <v>1000</v>
      </c>
      <c r="N42" s="36">
        <f t="shared" si="0"/>
        <v>1000</v>
      </c>
      <c r="O42" s="36">
        <f t="shared" si="4"/>
        <v>4000</v>
      </c>
      <c r="P42" s="36">
        <f>VLOOKUP($A42,[26]HISTODEC25!$A$6:$AU$51,8,0)</f>
        <v>0</v>
      </c>
      <c r="Q42" s="36">
        <f>VLOOKUP($A42,[26]HISTODEC25!$A$6:$AU$51,23,0)</f>
        <v>0</v>
      </c>
      <c r="R42" s="36">
        <f>VLOOKUP($A42,[26]HISTODEC25!$A$6:$AU$51,46,0)</f>
        <v>0</v>
      </c>
      <c r="S42" s="36">
        <f>VLOOKUP($A42,[26]HISTODEC25!$A$6:$AU$51,26,0)</f>
        <v>0</v>
      </c>
      <c r="T42" s="36">
        <f>VLOOKUP($A42,[26]HISTODEC25!$A$6:$BG$51,58,0)</f>
        <v>0</v>
      </c>
      <c r="U42" s="36">
        <f>VLOOKUP($A42,[26]HISTODEC25!$A$6:$AU$51,28,0)</f>
        <v>0</v>
      </c>
      <c r="V42" s="36">
        <f>VLOOKUP($A42,[26]HISTODEC25!$A$6:$AU$51,19,0)</f>
        <v>0</v>
      </c>
      <c r="W42" s="36">
        <f>VLOOKUP($A42,[26]HISTODEC25!$A$6:$AU$51,20,0)</f>
        <v>0</v>
      </c>
      <c r="X42" s="36">
        <f>VLOOKUP($A42,[26]HISTODEC25!$A$6:$AU$51,27,0)</f>
        <v>0</v>
      </c>
      <c r="Y42" s="36">
        <f>VLOOKUP($A42,[26]HISTODEC25!$A$6:$BM$51,33,0)</f>
        <v>0</v>
      </c>
      <c r="Z42" s="36">
        <f>VLOOKUP($A42,[26]HISTODEC25!$A$6:$BM$51,64,0)</f>
        <v>0</v>
      </c>
      <c r="AA42" s="36"/>
      <c r="AB42" s="36">
        <f>VLOOKUP($A42,[26]HISTODEC25!$A$6:$AU$51,44,0)</f>
        <v>0</v>
      </c>
      <c r="AC42" s="36">
        <f>VLOOKUP($A42,[26]HISTODEC25!$A$6:$AU$51,43,0)</f>
        <v>0</v>
      </c>
      <c r="AD42" s="36">
        <f>VLOOKUP($A42,[26]HISTODEC25!$A$6:$BR$51,47,0)</f>
        <v>0</v>
      </c>
      <c r="AE42" s="36">
        <f>VLOOKUP(A42,[26]HISTODEC25!$A$6:$BR$51,54,0)</f>
        <v>0</v>
      </c>
      <c r="AF42" s="36">
        <f>VLOOKUP($A42,[26]HISTODEC25!$A$6:$BR$51,60,0)</f>
        <v>0</v>
      </c>
      <c r="AG42" s="36">
        <f>VLOOKUP($A42,[26]HISTODEC25!$A$6:$CB$51,61,0)</f>
        <v>0</v>
      </c>
      <c r="AH42" s="36">
        <f>VLOOKUP($A42,[26]HISTODEC25!$A$6:$CB$51,62,0)</f>
        <v>0</v>
      </c>
      <c r="AI42" s="36">
        <f>VLOOKUP($A42,[26]HISTODEC25!$A$6:$CB$51,63,0)</f>
        <v>0</v>
      </c>
      <c r="AJ42" s="36">
        <f>VLOOKUP($A42,[26]HISTODEC25!$A$6:$BR$51,64,0)</f>
        <v>0</v>
      </c>
      <c r="AK42" s="36">
        <f>VLOOKUP($A42,[26]HISTODEC25!$A$6:$BR$51,65,0)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9">SUM(C6:C43)</f>
        <v>0</v>
      </c>
      <c r="D44" s="9">
        <f t="shared" si="9"/>
        <v>0</v>
      </c>
      <c r="E44" s="9">
        <f t="shared" si="9"/>
        <v>0</v>
      </c>
      <c r="F44" s="9">
        <f t="shared" si="9"/>
        <v>45689011.999999993</v>
      </c>
      <c r="G44" s="9">
        <f t="shared" si="9"/>
        <v>36764612.000000007</v>
      </c>
      <c r="H44" s="36">
        <f t="shared" si="9"/>
        <v>1346000</v>
      </c>
      <c r="I44" s="9">
        <f t="shared" si="9"/>
        <v>47035012.000000015</v>
      </c>
      <c r="J44" s="9">
        <f t="shared" si="9"/>
        <v>0</v>
      </c>
      <c r="K44" s="9">
        <f t="shared" si="9"/>
        <v>1522000</v>
      </c>
      <c r="L44" s="9">
        <f t="shared" si="9"/>
        <v>1698000</v>
      </c>
      <c r="M44" s="9">
        <f t="shared" si="9"/>
        <v>34000</v>
      </c>
      <c r="N44" s="9">
        <f t="shared" si="9"/>
        <v>34000</v>
      </c>
      <c r="O44" s="9">
        <f t="shared" si="9"/>
        <v>136000</v>
      </c>
      <c r="P44" s="9">
        <f t="shared" si="9"/>
        <v>-3000</v>
      </c>
      <c r="Q44" s="9">
        <f t="shared" si="9"/>
        <v>0</v>
      </c>
      <c r="R44" s="9">
        <f t="shared" si="9"/>
        <v>0</v>
      </c>
      <c r="S44" s="9">
        <f t="shared" si="9"/>
        <v>17200000</v>
      </c>
      <c r="T44" s="9">
        <f t="shared" si="9"/>
        <v>1346000</v>
      </c>
      <c r="U44" s="9">
        <f t="shared" si="9"/>
        <v>0</v>
      </c>
      <c r="V44" s="9">
        <f t="shared" si="9"/>
        <v>15657500</v>
      </c>
      <c r="W44" s="9"/>
      <c r="X44" s="9">
        <f t="shared" si="9"/>
        <v>0</v>
      </c>
      <c r="Y44" s="9">
        <f t="shared" si="9"/>
        <v>0</v>
      </c>
      <c r="Z44" s="9">
        <f t="shared" si="9"/>
        <v>0</v>
      </c>
      <c r="AA44" s="9">
        <f t="shared" si="9"/>
        <v>0</v>
      </c>
      <c r="AB44" s="9">
        <f t="shared" si="9"/>
        <v>0</v>
      </c>
      <c r="AC44" s="9">
        <f t="shared" si="9"/>
        <v>0</v>
      </c>
      <c r="AD44" s="9">
        <f t="shared" si="9"/>
        <v>0</v>
      </c>
      <c r="AE44" s="9">
        <f t="shared" si="9"/>
        <v>0</v>
      </c>
      <c r="AF44" s="9">
        <f t="shared" si="9"/>
        <v>52000</v>
      </c>
      <c r="AG44" s="9">
        <f t="shared" si="9"/>
        <v>0</v>
      </c>
      <c r="AH44" s="9">
        <f t="shared" si="9"/>
        <v>0</v>
      </c>
      <c r="AI44" s="9">
        <f t="shared" si="9"/>
        <v>100000</v>
      </c>
      <c r="AJ44" s="9">
        <f t="shared" si="9"/>
        <v>0</v>
      </c>
      <c r="AK44" s="9">
        <f t="shared" si="9"/>
        <v>0</v>
      </c>
      <c r="AL44" s="9">
        <f t="shared" si="9"/>
        <v>0</v>
      </c>
    </row>
    <row r="47" spans="1:38" s="2" customFormat="1" x14ac:dyDescent="0.35">
      <c r="A47"/>
      <c r="B47"/>
      <c r="C47"/>
      <c r="D47"/>
      <c r="E47"/>
      <c r="F47"/>
      <c r="H47"/>
      <c r="I47"/>
      <c r="J47"/>
      <c r="K47" s="183"/>
      <c r="L47" s="183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</sheetData>
  <autoFilter ref="A5:V42" xr:uid="{00000000-0009-0000-0000-000006000000}">
    <sortState ref="A5:L51">
      <sortCondition ref="B5:B51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39DA-AFC6-4A34-A984-42604DBE6657}">
  <dimension ref="A1:AM44"/>
  <sheetViews>
    <sheetView workbookViewId="0">
      <pane xSplit="2" ySplit="5" topLeftCell="C6" activePane="bottomRight" state="frozen"/>
      <selection activeCell="F8" sqref="F8"/>
      <selection pane="topRight" activeCell="F8" sqref="F8"/>
      <selection pane="bottomLeft" activeCell="F8" sqref="F8"/>
      <selection pane="bottomRight" activeCell="D6" sqref="D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3" bestFit="1" customWidth="1"/>
    <col min="12" max="12" width="17.54296875" style="183" customWidth="1"/>
    <col min="13" max="13" width="15.7265625" style="2" customWidth="1"/>
    <col min="14" max="14" width="12.453125" style="2" customWidth="1"/>
    <col min="15" max="15" width="13.08984375" style="2" bestFit="1" customWidth="1"/>
    <col min="16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3" max="23" width="14.6328125" bestFit="1" customWidth="1"/>
    <col min="26" max="26" width="12.453125" bestFit="1" customWidth="1"/>
    <col min="31" max="31" width="12.453125" bestFit="1" customWidth="1"/>
    <col min="35" max="35" width="13.0898437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x14ac:dyDescent="0.35">
      <c r="A4">
        <v>1</v>
      </c>
      <c r="B4" s="5">
        <v>2</v>
      </c>
      <c r="C4">
        <v>3</v>
      </c>
      <c r="D4" s="5">
        <v>4</v>
      </c>
      <c r="E4">
        <v>5</v>
      </c>
      <c r="F4" s="5">
        <v>6</v>
      </c>
      <c r="G4">
        <v>7</v>
      </c>
      <c r="H4" s="5">
        <v>8</v>
      </c>
      <c r="I4">
        <v>9</v>
      </c>
      <c r="J4" s="5">
        <v>10</v>
      </c>
      <c r="K4">
        <v>11</v>
      </c>
      <c r="L4" s="5">
        <v>12</v>
      </c>
      <c r="M4">
        <v>13</v>
      </c>
      <c r="N4" s="5">
        <v>14</v>
      </c>
      <c r="O4">
        <v>15</v>
      </c>
      <c r="P4" s="5">
        <v>16</v>
      </c>
      <c r="Q4">
        <v>17</v>
      </c>
      <c r="R4" s="5">
        <v>18</v>
      </c>
      <c r="S4">
        <v>19</v>
      </c>
      <c r="T4" s="5">
        <v>20</v>
      </c>
      <c r="U4">
        <v>21</v>
      </c>
      <c r="V4" s="5">
        <v>22</v>
      </c>
      <c r="W4">
        <v>23</v>
      </c>
      <c r="X4" s="5">
        <v>24</v>
      </c>
      <c r="Y4">
        <v>25</v>
      </c>
      <c r="Z4" s="5">
        <v>26</v>
      </c>
      <c r="AA4">
        <v>27</v>
      </c>
      <c r="AB4" s="5">
        <v>28</v>
      </c>
      <c r="AC4">
        <v>29</v>
      </c>
      <c r="AD4" s="5">
        <v>30</v>
      </c>
      <c r="AE4">
        <v>31</v>
      </c>
      <c r="AF4" s="5">
        <v>32</v>
      </c>
      <c r="AG4">
        <v>33</v>
      </c>
      <c r="AH4" s="5">
        <v>34</v>
      </c>
      <c r="AI4">
        <v>35</v>
      </c>
      <c r="AJ4" s="5">
        <v>36</v>
      </c>
      <c r="AK4">
        <v>37</v>
      </c>
      <c r="AL4" s="5">
        <v>38</v>
      </c>
    </row>
    <row r="5" spans="1:39" ht="56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185" t="s">
        <v>346</v>
      </c>
      <c r="X5" s="4" t="s">
        <v>321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>
        <f>+MVTDEC24!C6</f>
        <v>0</v>
      </c>
      <c r="D6" s="36">
        <f>+MVTDEC24!D6</f>
        <v>1023134</v>
      </c>
      <c r="E6" s="36">
        <f>MVTJANV25!E6+MVTFEV25!E6+MVTMARS25!E6+MVTAVRIL25!E6+MVTMAI25!E6+MVTJUIN25!E6+MVTJUIL25!E6+MVTAOUT25!E6+MVTSEPT25!E6+MVTOCT25!E6+MVTNOV25!E6+MVTDEC25!E6</f>
        <v>0</v>
      </c>
      <c r="F6" s="36">
        <f>MVTJANV25!F6+MVTFEV25!F6+MVTMARS25!F6+MVTAVRIL25!F6+MVTMAI25!F6+MVTJUIN25!F6+MVTJUIL25!F6+MVTAOUT25!F6+MVTSEPT25!F6+MVTOCT25!F6+MVTNOV25!F6+MVTDEC25!F6</f>
        <v>13226469.338717744</v>
      </c>
      <c r="G6" s="5">
        <f>MVTJANV25!G6+MVTFEV25!G6+MVTMARS25!G6+MVTAVRIL25!G6+MVTMAI25!G6+MVTJUIN25!G6+MVTJUIL25!G6+MVTAOUT25!G6+MVTSEPT25!G6+MVTOCT25!G6+MVTNOV25!G6+MVTDEC25!G6</f>
        <v>13196944.364028955</v>
      </c>
      <c r="H6" s="36">
        <f>MVTDEC24!H6+MVTJANV25!H6+MVTFEV25!H6+MVTMARS25!H6+MVTAVRIL25!H6+MVTMAI25!H6+MVTJUIN25!H6+MVTJUIL25!H6+MVTAOUT25!H6+MVTSEPT25!H6+MVTOCT25!H6+MVTNOV25!H6</f>
        <v>83346.090793779207</v>
      </c>
      <c r="I6" s="184">
        <f>F6+H6</f>
        <v>13309815.429511523</v>
      </c>
      <c r="J6" s="36">
        <f>MVTJANV25!J6+MVTFEV25!J6+MVTMARS25!J6+MVTAVRIL25!J6+MVTMAI25!J6+MVTJUIN25!J6+MVTJUIL25!J6+MVTAOUT25!J6+MVTSEPT25!J6+MVTOCT25!J6+MVTNOV25!J6+MVTDEC25!J6</f>
        <v>0</v>
      </c>
      <c r="K6" s="36">
        <f>MVTJANV25!K6+MVTFEV25!K6+MVTMARS25!K6+MVTAVRIL25!K6+MVTMAI25!K6+MVTJUIN25!K6+MVTJUIL25!K6+MVTAOUT25!K6+MVTSEPT25!K6+MVTOCT25!K6+MVTNOV25!K6+MVTDEC25!K6</f>
        <v>0</v>
      </c>
      <c r="L6" s="36">
        <f>MVTJANV25!L6+MVTFEV25!L6+MVTMARS25!L6+MVTAVRIL25!L6+MVTMAI25!L6+MVTJUIN25!L6+MVTJUIL25!L6+MVTAOUT25!L6+MVTSEPT25!L6+MVTOCT25!L6+MVTNOV25!L6+MVTDEC25!L6</f>
        <v>80000</v>
      </c>
      <c r="M6" s="36">
        <f>MVTJANV25!M6+MVTFEV25!M6+MVTMARS25!M6+MVTAVRIL25!M6+MVTMAI25!M6+MVTJUIN25!M6+MVTJUIL25!M6+MVTAOUT25!M6+MVTSEPT25!M6+MVTOCT25!M6+MVTNOV25!M6+MVTDEC25!M6</f>
        <v>0</v>
      </c>
      <c r="N6" s="36">
        <f>MVTJANV25!N6+MVTFEV25!N6+MVTMARS25!N6+MVTAVRIL25!N6+MVTMAI25!N6+MVTJUIN25!N6+MVTJUIL25!N6+MVTAOUT25!N6+MVTSEPT25!N6+MVTOCT25!N6+MVTNOV25!N6+MVTDEC25!N6</f>
        <v>0</v>
      </c>
      <c r="O6" s="36">
        <f>MVTJANV25!O6+MVTFEV25!O6+MVTMARS25!O6+MVTAVRIL25!O6+MVTMAI25!O6+MVTJUIN25!O6+MVTJUIL25!O6+MVTAOUT25!O6+MVTSEPT25!O6+MVTOCT25!O6+MVTNOV25!O6+MVTDEC25!O6</f>
        <v>0</v>
      </c>
      <c r="P6" s="36">
        <f>MVTJANV25!P6+MVTFEV25!P6+MVTMARS25!P6+MVTAVRIL25!P6+MVTMAI25!P6+MVTJUIN25!P6+MVTJUIL25!P6+MVTAOUT25!P6+MVTSEPT25!P6+MVTOCT25!P6+MVTNOV25!P6+MVTDEC25!P6</f>
        <v>0</v>
      </c>
      <c r="Q6" s="36">
        <f>MVTJANV25!Q6+MVTFEV25!Q6+MVTMARS25!Q6+MVTAVRIL25!Q6+MVTMAI25!Q6+MVTJUIN25!Q6+MVTJUIL25!Q6+MVTAOUT25!Q6+MVTSEPT25!Q6+MVTOCT25!Q6+MVTNOV25!Q6+MVTDEC25!Q6</f>
        <v>0</v>
      </c>
      <c r="R6" s="36">
        <f>MVTJANV25!R6+MVTFEV25!R6+MVTMARS25!R6+MVTAVRIL25!R6+MVTMAI25!R6+MVTJUIN25!R6+MVTJUIL25!R6+MVTAOUT25!R6+MVTSEPT25!R6+MVTOCT25!R6+MVTNOV25!R6+MVTDEC25!R6</f>
        <v>0</v>
      </c>
      <c r="S6" s="36">
        <f>MVTJANV25!S6+MVTFEV25!S6+MVTMARS25!S6+MVTAVRIL25!S6+MVTMAI25!S6+MVTJUIN25!S6+MVTJUIL25!S6+MVTAOUT25!S6+MVTSEPT25!S6+MVTOCT25!S6+MVTNOV25!S6+MVTDEC25!S6</f>
        <v>0</v>
      </c>
      <c r="T6" s="36">
        <f>MVTDEC24!T6+MVTJANV25!T6+MVTFEV25!T6+MVTMARS25!T6+MVTAVRIL25!T6+MVTMAI25!T6+MVTJUIN25!T6+MVTJUIL25!T6+MVTAOUT25!T6+MVTSEPT25!T6+MVTOCT25!T6+MVTNOV25!T6</f>
        <v>0</v>
      </c>
      <c r="U6" s="36">
        <f>MVTJANV25!U6+MVTFEV25!U6+MVTMARS25!U6+MVTAVRIL25!U6+MVTMAI25!U6+MVTJUIN25!U6+MVTJUIL25!U6+MVTAOUT25!U6+MVTSEPT25!U6+MVTOCT25!U6+MVTNOV25!U6</f>
        <v>0</v>
      </c>
      <c r="V6" s="36">
        <f>MVTJANV25!V6+MVTFEV25!V6+MVTMARS25!V6+MVTAVRIL25!V6+MVTMAI25!V6+MVTJUIN25!V6+MVTJUIL25!V6+MVTAOUT25!V6+MVTSEPT25!V6+MVTOCT25!V6+MVTNOV25!V6+MVTDEC25!V6</f>
        <v>0</v>
      </c>
      <c r="W6" s="36">
        <f>S6-V6</f>
        <v>0</v>
      </c>
      <c r="X6" s="36"/>
      <c r="Y6" s="36">
        <f>MVTJANV25!Y6+MVTFEV25!Y6+MVTMARS25!Y6+MVTAVRIL25!Y6+MVTMAI25!Y6+MVTJUIN25!Y6+MVTJUIL25!Y6+MVTAOUT25!Y6+MVTSEPT25!Y6+MVTOCT25!Y6+MVTNOV25!Y6+MVTDEC25!Y6</f>
        <v>0</v>
      </c>
      <c r="Z6" s="36">
        <f>MVTJANV25!Z6+MVTFEV25!Z6+MVTMARS25!Z6+MVTAVRIL25!Z6+MVTMAI25!Z6+MVTJUIN25!Z6+MVTJUIL25!Z6+MVTAOUT25!Z6+MVTSEPT25!Z6+MVTOCT25!Z6+MVTNOV25!Z6+MVTDEC25!Z6</f>
        <v>0</v>
      </c>
      <c r="AA6" s="36">
        <f>MVTJANV25!AA6+MVTFEV25!AA6+MVTMARS25!AA6+MVTAVRIL25!AA6+MVTMAI25!AA6+MVTJUIN25!AA6+MVTJUIL25!AA6+MVTAOUT25!AA6+MVTSEPT25!AA6+MVTOCT25!AA6+MVTNOV25!AA6+MVTDEC25!AA6</f>
        <v>0</v>
      </c>
      <c r="AB6" s="36">
        <f>MVTJANV25!AB6+MVTFEV25!AB6+MVTMARS25!AB6+MVTAVRIL25!AB6+MVTMAI25!AB6+MVTJUIN25!AB6+MVTJUIL25!AB6+MVTAOUT25!AB6+MVTSEPT25!AB6+MVTOCT25!AB6+MVTNOV25!AB6+MVTDEC25!AB6</f>
        <v>0</v>
      </c>
      <c r="AC6" s="36">
        <f>MVTJANV25!AC6+MVTFEV25!AC6+MVTMARS25!AC6+MVTAVRIL25!AC6+MVTMAI25!AC6+MVTJUIN25!AC6+MVTJUIL25!AC6+MVTAOUT25!AC6+MVTSEPT25!AC6+MVTOCT25!AC6+MVTNOV25!AC6+MVTDEC25!AC6</f>
        <v>0</v>
      </c>
      <c r="AD6" s="36">
        <f>MVTJANV25!AD6+MVTFEV25!AD6+MVTMARS25!AD6+MVTAVRIL25!AD6+MVTMAI25!AD6+MVTJUIN25!AD6+MVTJUIL25!AD6+MVTAOUT25!AD6+MVTSEPT25!AD6+MVTOCT25!AD6+MVTNOV25!AD6+MVTDEC25!AD6</f>
        <v>0</v>
      </c>
      <c r="AE6" s="36">
        <f>MVTJANV25!AE6+MVTFEV25!AE6+MVTMARS25!AE6+MVTAVRIL25!AE6+MVTMAI25!AE6+MVTJUIN25!AE6+MVTJUIL25!AE6+MVTAOUT25!AE6+MVTSEPT25!AE6+MVTOCT25!AE6+MVTNOV25!AE6+MVTDEC25!AE6</f>
        <v>0</v>
      </c>
      <c r="AF6" s="36">
        <f>MVTJANV25!AF6+MVTFEV25!AF6+MVTMARS25!AF6+MVTAVRIL25!AF6+MVTMAI25!AF6+MVTJUIN25!AF6+MVTJUIL25!AF6+MVTAOUT25!AF6+MVTSEPT25!AF6+MVTOCT25!AF6+MVTNOV25!AF6+MVTDEC25!AF6</f>
        <v>266000</v>
      </c>
      <c r="AG6" s="36">
        <f>MVTJANV25!AG6+MVTFEV25!AG6+MVTMARS25!AG6+MVTAVRIL25!AG6+MVTMAI25!AG6+MVTJUIN25!AG6+MVTJUIL25!AG6+MVTAOUT25!AG6+MVTSEPT25!AG6+MVTOCT25!AG6+MVTNOV25!AG6+MVTDEC25!AG6</f>
        <v>200000</v>
      </c>
      <c r="AH6" s="36">
        <f>MVTJANV25!AH6+MVTFEV25!AH6+MVTMARS25!AH6+MVTAVRIL25!AH6+MVTMAI25!AH6+MVTJUIN25!AH6+MVTJUIL25!AH6+MVTAOUT25!AH6+MVTSEPT25!AH6+MVTOCT25!AH6+MVTNOV25!AH6+MVTDEC25!AH6</f>
        <v>1060000</v>
      </c>
      <c r="AI6" s="36">
        <f>MVTJANV25!AI6+MVTFEV25!AI6+MVTMARS25!AI6+MVTAVRIL25!AI6+MVTMAI25!AI6+MVTJUIN25!AI6+MVTJUIL25!AI6+MVTAOUT25!AI6+MVTSEPT25!AI6+MVTOCT25!AI6+MVTNOV25!AI6+MVTDEC25!AI6</f>
        <v>70000</v>
      </c>
      <c r="AJ6" s="36">
        <f>MVTJANV25!AJ6+MVTFEV25!AJ6+MVTMARS25!AJ6+MVTAVRIL25!AJ6+MVTMAI25!AJ6+MVTJUIN25!AJ6+MVTJUIL25!AJ6+MVTAOUT25!AJ6+MVTSEPT25!AJ6+MVTOCT25!AJ6+MVTNOV25!AJ6+MVTDEC25!AJ6</f>
        <v>0</v>
      </c>
      <c r="AK6" s="36">
        <f>MVTJANV25!AK6+MVTFEV25!AK6+MVTMARS25!AK6+MVTAVRIL25!AK6+MVTMAI25!AK6+MVTJUIN25!AK6+MVTJUIL25!AK6+MVTAOUT25!AK6+MVTSEPT25!AK6+MVTOCT25!AK6+MVTNOV25!AK6+MVTDEC25!AK6</f>
        <v>0</v>
      </c>
      <c r="AL6" s="36">
        <f>MVTJANV25!AL6+MVTFEV25!AL6+MVTMARS25!AL6+MVTAVRIL25!AL6+MVTMAI25!AL6+MVTJUIN25!AL6+MVTJUIL25!AL6+MVTAOUT25!AL6+MVTSEPT25!AL6+MVTOCT25!AL6+MVTNOV25!AL6+MVTDEC25!AL6</f>
        <v>801000</v>
      </c>
    </row>
    <row r="7" spans="1:39" ht="15.5" x14ac:dyDescent="0.35">
      <c r="A7" s="1" t="s">
        <v>17</v>
      </c>
      <c r="B7" s="1" t="str">
        <f>VLOOKUP(A7,[24]LISTADHERENT!A$5:H$60,3,0)</f>
        <v>BAKOP ACHILLE</v>
      </c>
      <c r="C7" s="36">
        <f>+MVTDEC24!C7</f>
        <v>800000</v>
      </c>
      <c r="D7" s="36">
        <f>+MVTDEC24!D7</f>
        <v>18598</v>
      </c>
      <c r="E7" s="36">
        <f>MVTJANV25!E7+MVTFEV25!E7+MVTMARS25!E7+MVTAVRIL25!E7+MVTMAI25!E7+MVTJUIN25!E7+MVTJUIL25!E7+MVTAOUT25!E7+MVTSEPT25!E7+MVTOCT25!E7+MVTNOV25!E7+MVTDEC25!E7</f>
        <v>0</v>
      </c>
      <c r="F7" s="36">
        <f>MVTJANV25!F7+MVTFEV25!F7+MVTMARS25!F7+MVTAVRIL25!F7+MVTMAI25!F7+MVTJUIN25!F7+MVTJUIL25!F7+MVTAOUT25!F7+MVTSEPT25!F7+MVTOCT25!F7+MVTNOV25!F7+MVTDEC25!F7</f>
        <v>11955373.981257843</v>
      </c>
      <c r="G7" s="5">
        <f>MVTJANV25!G7+MVTFEV25!G7+MVTMARS25!G7+MVTAVRIL25!G7+MVTMAI25!G7+MVTJUIN25!G7+MVTJUIL25!G7+MVTAOUT25!G7+MVTSEPT25!G7+MVTOCT25!G7+MVTNOV25!G7+MVTDEC25!G7</f>
        <v>11454079.973512705</v>
      </c>
      <c r="H7" s="36">
        <f>MVTDEC24!H7+MVTJANV25!H7+MVTFEV25!H7+MVTMARS25!H7+MVTAVRIL25!H7+MVTMAI25!H7+MVTJUIN25!H7+MVTJUIL25!H7+MVTAOUT25!H7+MVTSEPT25!H7+MVTOCT25!H7+MVTNOV25!H7</f>
        <v>68937.110692788454</v>
      </c>
      <c r="I7" s="184">
        <f t="shared" ref="I7:I42" si="0">F7+H7</f>
        <v>12024311.091950631</v>
      </c>
      <c r="J7" s="36">
        <f>MVTJANV25!J7+MVTFEV25!J7+MVTMARS25!J7+MVTAVRIL25!J7+MVTMAI25!J7+MVTJUIN25!J7+MVTJUIL25!J7+MVTAOUT25!J7+MVTSEPT25!J7+MVTOCT25!J7+MVTNOV25!J7+MVTDEC25!J7</f>
        <v>0</v>
      </c>
      <c r="K7" s="36">
        <f>MVTJANV25!K7+MVTFEV25!K7+MVTMARS25!K7+MVTAVRIL25!K7+MVTMAI25!K7+MVTJUIN25!K7+MVTJUIL25!K7+MVTAOUT25!K7+MVTSEPT25!K7+MVTOCT25!K7+MVTNOV25!K7+MVTDEC25!K7</f>
        <v>295000</v>
      </c>
      <c r="L7" s="36">
        <f>MVTJANV25!L7+MVTFEV25!L7+MVTMARS25!L7+MVTAVRIL25!L7+MVTMAI25!L7+MVTJUIN25!L7+MVTJUIL25!L7+MVTAOUT25!L7+MVTSEPT25!L7+MVTOCT25!L7+MVTNOV25!L7+MVTDEC25!L7</f>
        <v>223000</v>
      </c>
      <c r="M7" s="36">
        <f>MVTJANV25!M7+MVTFEV25!M7+MVTMARS25!M7+MVTAVRIL25!M7+MVTMAI25!M7+MVTJUIN25!M7+MVTJUIL25!M7+MVTAOUT25!M7+MVTSEPT25!M7+MVTOCT25!M7+MVTNOV25!M7+MVTDEC25!M7</f>
        <v>12000</v>
      </c>
      <c r="N7" s="36">
        <f>MVTJANV25!N7+MVTFEV25!N7+MVTMARS25!N7+MVTAVRIL25!N7+MVTMAI25!N7+MVTJUIN25!N7+MVTJUIL25!N7+MVTAOUT25!N7+MVTSEPT25!N7+MVTOCT25!N7+MVTNOV25!N7+MVTDEC25!N7</f>
        <v>12000</v>
      </c>
      <c r="O7" s="36">
        <f>MVTJANV25!O7+MVTFEV25!O7+MVTMARS25!O7+MVTAVRIL25!O7+MVTMAI25!O7+MVTJUIN25!O7+MVTJUIL25!O7+MVTAOUT25!O7+MVTSEPT25!O7+MVTOCT25!O7+MVTNOV25!O7+MVTDEC25!O7</f>
        <v>48000</v>
      </c>
      <c r="P7" s="36">
        <f>MVTJANV25!P7+MVTFEV25!P7+MVTMARS25!P7+MVTAVRIL25!P7+MVTMAI25!P7+MVTJUIN25!P7+MVTJUIL25!P7+MVTAOUT25!P7+MVTSEPT25!P7+MVTOCT25!P7+MVTNOV25!P7+MVTDEC25!P7</f>
        <v>5000</v>
      </c>
      <c r="Q7" s="36">
        <f>MVTJANV25!Q7+MVTFEV25!Q7+MVTMARS25!Q7+MVTAVRIL25!Q7+MVTMAI25!Q7+MVTJUIN25!Q7+MVTJUIL25!Q7+MVTAOUT25!Q7+MVTSEPT25!Q7+MVTOCT25!Q7+MVTNOV25!Q7+MVTDEC25!Q7</f>
        <v>0</v>
      </c>
      <c r="R7" s="36">
        <f>MVTJANV25!R7+MVTFEV25!R7+MVTMARS25!R7+MVTAVRIL25!R7+MVTMAI25!R7+MVTJUIN25!R7+MVTJUIL25!R7+MVTAOUT25!R7+MVTSEPT25!R7+MVTOCT25!R7+MVTNOV25!R7+MVTDEC25!R7</f>
        <v>0</v>
      </c>
      <c r="S7" s="36">
        <f>MVTJANV25!S7+MVTFEV25!S7+MVTMARS25!S7+MVTAVRIL25!S7+MVTMAI25!S7+MVTJUIN25!S7+MVTJUIL25!S7+MVTAOUT25!S7+MVTSEPT25!S7+MVTOCT25!S7+MVTNOV25!S7+MVTDEC25!S7</f>
        <v>2000000</v>
      </c>
      <c r="T7" s="36">
        <f>MVTDEC24!T7+MVTJANV25!T7+MVTFEV25!T7+MVTMARS25!T7+MVTAVRIL25!T7+MVTMAI25!T7+MVTJUIN25!T7+MVTJUIL25!T7+MVTAOUT25!T7+MVTSEPT25!T7+MVTOCT25!T7+MVTNOV25!T7</f>
        <v>110000</v>
      </c>
      <c r="U7" s="36">
        <f>MVTJANV25!U7+MVTFEV25!U7+MVTMARS25!U7+MVTAVRIL25!U7+MVTMAI25!U7+MVTJUIN25!U7+MVTJUIL25!U7+MVTAOUT25!U7+MVTSEPT25!U7+MVTOCT25!U7+MVTNOV25!U7+MVTDEC25!U7</f>
        <v>0</v>
      </c>
      <c r="V7" s="36">
        <f>MVTJANV25!V7+MVTFEV25!V7+MVTMARS25!V7+MVTAVRIL25!V7+MVTMAI25!V7+MVTJUIN25!V7+MVTJUIL25!V7+MVTAOUT25!V7+MVTSEPT25!V7+MVTOCT25!V7+MVTNOV25!V7+MVTDEC25!V7</f>
        <v>1000000</v>
      </c>
      <c r="W7" s="36">
        <f>S7-V7-1000000</f>
        <v>0</v>
      </c>
      <c r="X7" s="186">
        <v>46010</v>
      </c>
      <c r="Y7" s="36">
        <f>MVTJANV25!Y7+MVTFEV25!Y7+MVTMARS25!Y7+MVTAVRIL25!Y7+MVTMAI25!Y7+MVTJUIN25!Y7+MVTJUIL25!Y7+MVTAOUT25!Y7+MVTSEPT25!Y7+MVTOCT25!Y7+MVTNOV25!Y7+MVTDEC25!Y7</f>
        <v>0</v>
      </c>
      <c r="Z7" s="36">
        <f>MVTJANV25!Z7+MVTFEV25!Z7+MVTMARS25!Z7+MVTAVRIL25!Z7+MVTMAI25!Z7+MVTJUIN25!Z7+MVTJUIL25!Z7+MVTAOUT25!Z7+MVTSEPT25!Z7+MVTOCT25!Z7+MVTNOV25!Z7+MVTDEC25!Z7</f>
        <v>0</v>
      </c>
      <c r="AA7" s="36">
        <f>MVTJANV25!AA7+MVTFEV25!AA7+MVTMARS25!AA7+MVTAVRIL25!AA7+MVTMAI25!AA7+MVTJUIN25!AA7+MVTJUIL25!AA7+MVTAOUT25!AA7+MVTSEPT25!AA7+MVTOCT25!AA7+MVTNOV25!AA7+MVTDEC25!AA7</f>
        <v>0</v>
      </c>
      <c r="AB7" s="36">
        <f>MVTJANV25!AB7+MVTFEV25!AB7+MVTMARS25!AB7+MVTAVRIL25!AB7+MVTMAI25!AB7+MVTJUIN25!AB7+MVTJUIL25!AB7+MVTAOUT25!AB7+MVTSEPT25!AB7+MVTOCT25!AB7+MVTNOV25!AB7+MVTDEC25!AB7</f>
        <v>0</v>
      </c>
      <c r="AC7" s="36">
        <f>MVTJANV25!AC7+MVTFEV25!AC7+MVTMARS25!AC7+MVTAVRIL25!AC7+MVTMAI25!AC7+MVTJUIN25!AC7+MVTJUIL25!AC7+MVTAOUT25!AC7+MVTSEPT25!AC7+MVTOCT25!AC7+MVTNOV25!AC7+MVTDEC25!AC7</f>
        <v>0</v>
      </c>
      <c r="AD7" s="36">
        <f>MVTJANV25!AD7+MVTFEV25!AD7+MVTMARS25!AD7+MVTAVRIL25!AD7+MVTMAI25!AD7+MVTJUIN25!AD7+MVTJUIL25!AD7+MVTAOUT25!AD7+MVTSEPT25!AD7+MVTOCT25!AD7+MVTNOV25!AD7+MVTDEC25!AD7</f>
        <v>0</v>
      </c>
      <c r="AE7" s="36">
        <f>MVTJANV25!AE7+MVTFEV25!AE7+MVTMARS25!AE7+MVTAVRIL25!AE7+MVTMAI25!AE7+MVTJUIN25!AE7+MVTJUIL25!AE7+MVTAOUT25!AE7+MVTSEPT25!AE7+MVTOCT25!AE7+MVTNOV25!AE7+MVTDEC25!AE7</f>
        <v>0</v>
      </c>
      <c r="AF7" s="36">
        <f>MVTJANV25!AF7+MVTFEV25!AF7+MVTMARS25!AF7+MVTAVRIL25!AF7+MVTMAI25!AF7+MVTJUIN25!AF7+MVTJUIL25!AF7+MVTAOUT25!AF7+MVTSEPT25!AF7+MVTOCT25!AF7+MVTNOV25!AF7+MVTDEC25!AF7</f>
        <v>0</v>
      </c>
      <c r="AG7" s="36">
        <f>MVTJANV25!AG7+MVTFEV25!AG7+MVTMARS25!AG7+MVTAVRIL25!AG7+MVTMAI25!AG7+MVTJUIN25!AG7+MVTJUIL25!AG7+MVTAOUT25!AG7+MVTSEPT25!AG7+MVTOCT25!AG7+MVTNOV25!AG7+MVTDEC25!AG7</f>
        <v>0</v>
      </c>
      <c r="AH7" s="36">
        <f>MVTJANV25!AH7+MVTFEV25!AH7+MVTMARS25!AH7+MVTAVRIL25!AH7+MVTMAI25!AH7+MVTJUIN25!AH7+MVTJUIL25!AH7+MVTAOUT25!AH7+MVTSEPT25!AH7+MVTOCT25!AH7+MVTNOV25!AH7+MVTDEC25!AH7</f>
        <v>0</v>
      </c>
      <c r="AI7" s="36">
        <f>MVTJANV25!AI7+MVTFEV25!AI7+MVTMARS25!AI7+MVTAVRIL25!AI7+MVTMAI25!AI7+MVTJUIN25!AI7+MVTJUIL25!AI7+MVTAOUT25!AI7+MVTSEPT25!AI7+MVTOCT25!AI7+MVTNOV25!AI7+MVTDEC25!AI7</f>
        <v>0</v>
      </c>
      <c r="AJ7" s="36">
        <f>MVTJANV25!AJ7+MVTFEV25!AJ7+MVTMARS25!AJ7+MVTAVRIL25!AJ7+MVTMAI25!AJ7+MVTJUIN25!AJ7+MVTJUIL25!AJ7+MVTAOUT25!AJ7+MVTSEPT25!AJ7+MVTOCT25!AJ7+MVTNOV25!AJ7+MVTDEC25!AJ7</f>
        <v>0</v>
      </c>
      <c r="AK7" s="36">
        <f>MVTJANV25!AK7+MVTFEV25!AK7+MVTMARS25!AK7+MVTAVRIL25!AK7+MVTMAI25!AK7+MVTJUIN25!AK7+MVTJUIL25!AK7+MVTAOUT25!AK7+MVTSEPT25!AK7+MVTOCT25!AK7+MVTNOV25!AK7+MVTDEC25!AK7</f>
        <v>0</v>
      </c>
    </row>
    <row r="8" spans="1:39" ht="15.5" x14ac:dyDescent="0.35">
      <c r="A8" s="1" t="s">
        <v>19</v>
      </c>
      <c r="B8" s="1" t="str">
        <f>VLOOKUP(A8,[24]LISTADHERENT!A$5:H$60,3,0)</f>
        <v>BOUTCHOUANG WILLIAM</v>
      </c>
      <c r="C8" s="36">
        <f>+MVTDEC24!C8</f>
        <v>800000</v>
      </c>
      <c r="D8" s="36">
        <f>+MVTDEC24!D8</f>
        <v>132669</v>
      </c>
      <c r="E8" s="36">
        <f>MVTJANV25!E8+MVTFEV25!E8+MVTMARS25!E8+MVTAVRIL25!E8+MVTMAI25!E8+MVTJUIN25!E8+MVTJUIL25!E8+MVTAOUT25!E8+MVTSEPT25!E8+MVTOCT25!E8+MVTNOV25!E8+MVTDEC25!E8</f>
        <v>0</v>
      </c>
      <c r="F8" s="36">
        <f>MVTJANV25!F8+MVTFEV25!F8+MVTMARS25!F8+MVTAVRIL25!F8+MVTMAI25!F8+MVTJUIN25!F8+MVTJUIL25!F8+MVTAOUT25!F8+MVTSEPT25!F8+MVTOCT25!F8+MVTNOV25!F8+MVTDEC25!F8</f>
        <v>13480306.743941305</v>
      </c>
      <c r="G8" s="5">
        <f>MVTJANV25!G8+MVTFEV25!G8+MVTMARS25!G8+MVTAVRIL25!G8+MVTMAI25!G8+MVTJUIN25!G8+MVTJUIL25!G8+MVTAOUT25!G8+MVTSEPT25!G8+MVTOCT25!G8+MVTNOV25!G8+MVTDEC25!G8</f>
        <v>13031586.27791951</v>
      </c>
      <c r="H8" s="36">
        <f>MVTDEC24!H8+MVTJANV25!H8+MVTFEV25!H8+MVTMARS25!H8+MVTAVRIL25!H8+MVTMAI25!H8+MVTJUIN25!H8+MVTJUIL25!H8+MVTAOUT25!H8+MVTSEPT25!H8+MVTOCT25!H8+MVTNOV25!H8</f>
        <v>78276.309347178671</v>
      </c>
      <c r="I8" s="184">
        <f t="shared" si="0"/>
        <v>13558583.053288484</v>
      </c>
      <c r="J8" s="36">
        <f>MVTJANV25!J8+MVTFEV25!J8+MVTMARS25!J8+MVTAVRIL25!J8+MVTMAI25!J8+MVTJUIN25!J8+MVTJUIL25!J8+MVTAOUT25!J8+MVTSEPT25!J8+MVTOCT25!J8+MVTNOV25!J8+MVTDEC25!J8</f>
        <v>0</v>
      </c>
      <c r="K8" s="36">
        <f>MVTJANV25!K8+MVTFEV25!K8+MVTMARS25!K8+MVTAVRIL25!K8+MVTMAI25!K8+MVTJUIN25!K8+MVTJUIL25!K8+MVTAOUT25!K8+MVTSEPT25!K8+MVTOCT25!K8+MVTNOV25!K8+MVTDEC25!K8</f>
        <v>300000</v>
      </c>
      <c r="L8" s="36">
        <f>MVTJANV25!L8+MVTFEV25!L8+MVTMARS25!L8+MVTAVRIL25!L8+MVTMAI25!L8+MVTJUIN25!L8+MVTJUIL25!L8+MVTAOUT25!L8+MVTSEPT25!L8+MVTOCT25!L8+MVTNOV25!L8+MVTDEC25!L8</f>
        <v>228000</v>
      </c>
      <c r="M8" s="36">
        <f>MVTJANV25!M8+MVTFEV25!M8+MVTMARS25!M8+MVTAVRIL25!M8+MVTMAI25!M8+MVTJUIN25!M8+MVTJUIL25!M8+MVTAOUT25!M8+MVTSEPT25!M8+MVTOCT25!M8+MVTNOV25!M8+MVTDEC25!M8</f>
        <v>12000</v>
      </c>
      <c r="N8" s="36">
        <f>MVTJANV25!N8+MVTFEV25!N8+MVTMARS25!N8+MVTAVRIL25!N8+MVTMAI25!N8+MVTJUIN25!N8+MVTJUIL25!N8+MVTAOUT25!N8+MVTSEPT25!N8+MVTOCT25!N8+MVTNOV25!N8+MVTDEC25!N8</f>
        <v>12000</v>
      </c>
      <c r="O8" s="36">
        <f>MVTJANV25!O8+MVTFEV25!O8+MVTMARS25!O8+MVTAVRIL25!O8+MVTMAI25!O8+MVTJUIN25!O8+MVTJUIL25!O8+MVTAOUT25!O8+MVTSEPT25!O8+MVTOCT25!O8+MVTNOV25!O8+MVTDEC25!O8</f>
        <v>48000</v>
      </c>
      <c r="P8" s="36">
        <f>MVTJANV25!P8+MVTFEV25!P8+MVTMARS25!P8+MVTAVRIL25!P8+MVTMAI25!P8+MVTJUIN25!P8+MVTJUIL25!P8+MVTAOUT25!P8+MVTSEPT25!P8+MVTOCT25!P8+MVTNOV25!P8+MVTDEC25!P8</f>
        <v>0</v>
      </c>
      <c r="Q8" s="36">
        <f>MVTJANV25!Q8+MVTFEV25!Q8+MVTMARS25!Q8+MVTAVRIL25!Q8+MVTMAI25!Q8+MVTJUIN25!Q8+MVTJUIL25!Q8+MVTAOUT25!Q8+MVTSEPT25!Q8+MVTOCT25!Q8+MVTNOV25!Q8+MVTDEC25!Q8</f>
        <v>0</v>
      </c>
      <c r="R8" s="36">
        <f>MVTJANV25!R8+MVTFEV25!R8+MVTMARS25!R8+MVTAVRIL25!R8+MVTMAI25!R8+MVTJUIN25!R8+MVTJUIL25!R8+MVTAOUT25!R8+MVTSEPT25!R8+MVTOCT25!R8+MVTNOV25!R8+MVTDEC25!R8</f>
        <v>0</v>
      </c>
      <c r="S8" s="36">
        <f>MVTJANV25!S8+MVTFEV25!S8+MVTMARS25!S8+MVTAVRIL25!S8+MVTMAI25!S8+MVTJUIN25!S8+MVTJUIL25!S8+MVTAOUT25!S8+MVTSEPT25!S8+MVTOCT25!S8+MVTNOV25!S8+MVTDEC25!S8</f>
        <v>2000000</v>
      </c>
      <c r="T8" s="36">
        <f>MVTDEC24!T8+MVTJANV25!T8+MVTFEV25!T8+MVTMARS25!T8+MVTAVRIL25!T8+MVTMAI25!T8+MVTJUIN25!T8+MVTJUIL25!T8+MVTAOUT25!T8+MVTSEPT25!T8+MVTOCT25!T8+MVTNOV25!T8</f>
        <v>60000</v>
      </c>
      <c r="U8" s="36">
        <f>MVTJANV25!U8+MVTFEV25!U8+MVTMARS25!U8+MVTAVRIL25!U8+MVTMAI25!U8+MVTJUIN25!U8+MVTJUIL25!U8+MVTAOUT25!U8+MVTSEPT25!U8+MVTOCT25!U8+MVTNOV25!U8+MVTDEC25!U8</f>
        <v>0</v>
      </c>
      <c r="V8" s="36">
        <f>MVTJANV25!V8+MVTFEV25!V8+MVTMARS25!V8+MVTAVRIL25!V8+MVTMAI25!V8+MVTJUIN25!V8+MVTJUIL25!V8+MVTAOUT25!V8+MVTSEPT25!V8+MVTOCT25!V8+MVTNOV25!V8+MVTDEC25!V8</f>
        <v>2000000</v>
      </c>
      <c r="W8" s="36">
        <f t="shared" ref="W8:W41" si="1">S8-V8</f>
        <v>0</v>
      </c>
      <c r="X8" s="186">
        <v>45827</v>
      </c>
      <c r="Y8" s="36">
        <f>MVTJANV25!Y8+MVTFEV25!Y8+MVTMARS25!Y8+MVTAVRIL25!Y8+MVTMAI25!Y8+MVTJUIN25!Y8+MVTJUIL25!Y8+MVTAOUT25!Y8+MVTSEPT25!Y8+MVTOCT25!Y8+MVTNOV25!Y8+MVTDEC25!Y8</f>
        <v>0</v>
      </c>
      <c r="Z8" s="36">
        <f>MVTJANV25!Z8+MVTFEV25!Z8+MVTMARS25!Z8+MVTAVRIL25!Z8+MVTMAI25!Z8+MVTJUIN25!Z8+MVTJUIL25!Z8+MVTAOUT25!Z8+MVTSEPT25!Z8+MVTOCT25!Z8+MVTNOV25!Z8+MVTDEC25!Z8</f>
        <v>0</v>
      </c>
      <c r="AA8" s="36">
        <f>MVTJANV25!AA8+MVTFEV25!AA8+MVTMARS25!AA8+MVTAVRIL25!AA8+MVTMAI25!AA8+MVTJUIN25!AA8+MVTJUIL25!AA8+MVTAOUT25!AA8+MVTSEPT25!AA8+MVTOCT25!AA8+MVTNOV25!AA8+MVTDEC25!AA8</f>
        <v>0</v>
      </c>
      <c r="AB8" s="36">
        <f>MVTJANV25!AB8+MVTFEV25!AB8+MVTMARS25!AB8+MVTAVRIL25!AB8+MVTMAI25!AB8+MVTJUIN25!AB8+MVTJUIL25!AB8+MVTAOUT25!AB8+MVTSEPT25!AB8+MVTOCT25!AB8+MVTNOV25!AB8+MVTDEC25!AB8</f>
        <v>0</v>
      </c>
      <c r="AC8" s="36">
        <f>MVTJANV25!AC8+MVTFEV25!AC8+MVTMARS25!AC8+MVTAVRIL25!AC8+MVTMAI25!AC8+MVTJUIN25!AC8+MVTJUIL25!AC8+MVTAOUT25!AC8+MVTSEPT25!AC8+MVTOCT25!AC8+MVTNOV25!AC8+MVTDEC25!AC8</f>
        <v>0</v>
      </c>
      <c r="AD8" s="36">
        <f>MVTJANV25!AD8+MVTFEV25!AD8+MVTMARS25!AD8+MVTAVRIL25!AD8+MVTMAI25!AD8+MVTJUIN25!AD8+MVTJUIL25!AD8+MVTAOUT25!AD8+MVTSEPT25!AD8+MVTOCT25!AD8+MVTNOV25!AD8+MVTDEC25!AD8</f>
        <v>0</v>
      </c>
      <c r="AE8" s="36">
        <f>MVTJANV25!AE8+MVTFEV25!AE8+MVTMARS25!AE8+MVTAVRIL25!AE8+MVTMAI25!AE8+MVTJUIN25!AE8+MVTJUIL25!AE8+MVTAOUT25!AE8+MVTSEPT25!AE8+MVTOCT25!AE8+MVTNOV25!AE8+MVTDEC25!AE8</f>
        <v>0</v>
      </c>
      <c r="AF8" s="36">
        <f>MVTJANV25!AF8+MVTFEV25!AF8+MVTMARS25!AF8+MVTAVRIL25!AF8+MVTMAI25!AF8+MVTJUIN25!AF8+MVTJUIL25!AF8+MVTAOUT25!AF8+MVTSEPT25!AF8+MVTOCT25!AF8+MVTNOV25!AF8+MVTDEC25!AF8</f>
        <v>0</v>
      </c>
      <c r="AG8" s="36">
        <f>MVTJANV25!AG8+MVTFEV25!AG8+MVTMARS25!AG8+MVTAVRIL25!AG8+MVTMAI25!AG8+MVTJUIN25!AG8+MVTJUIL25!AG8+MVTAOUT25!AG8+MVTSEPT25!AG8+MVTOCT25!AG8+MVTNOV25!AG8+MVTDEC25!AG8</f>
        <v>0</v>
      </c>
      <c r="AH8" s="36">
        <f>MVTJANV25!AH8+MVTFEV25!AH8+MVTMARS25!AH8+MVTAVRIL25!AH8+MVTMAI25!AH8+MVTJUIN25!AH8+MVTJUIL25!AH8+MVTAOUT25!AH8+MVTSEPT25!AH8+MVTOCT25!AH8+MVTNOV25!AH8+MVTDEC25!AH8</f>
        <v>0</v>
      </c>
      <c r="AI8" s="36">
        <f>MVTJANV25!AI8+MVTFEV25!AI8+MVTMARS25!AI8+MVTAVRIL25!AI8+MVTMAI25!AI8+MVTJUIN25!AI8+MVTJUIL25!AI8+MVTAOUT25!AI8+MVTSEPT25!AI8+MVTOCT25!AI8+MVTNOV25!AI8+MVTDEC25!AI8</f>
        <v>100000</v>
      </c>
      <c r="AJ8" s="36">
        <f>MVTJANV25!AJ8+MVTFEV25!AJ8+MVTMARS25!AJ8+MVTAVRIL25!AJ8+MVTMAI25!AJ8+MVTJUIN25!AJ8+MVTJUIL25!AJ8+MVTAOUT25!AJ8+MVTSEPT25!AJ8+MVTOCT25!AJ8+MVTNOV25!AJ8+MVTDEC25!AJ8</f>
        <v>0</v>
      </c>
      <c r="AK8" s="36">
        <f>MVTJANV25!AK8+MVTFEV25!AK8+MVTMARS25!AK8+MVTAVRIL25!AK8+MVTMAI25!AK8+MVTJUIN25!AK8+MVTJUIL25!AK8+MVTAOUT25!AK8+MVTSEPT25!AK8+MVTOCT25!AK8+MVTNOV25!AK8+MVTDEC25!AK8</f>
        <v>0</v>
      </c>
    </row>
    <row r="9" spans="1:39" ht="15.5" x14ac:dyDescent="0.35">
      <c r="A9" s="1" t="s">
        <v>23</v>
      </c>
      <c r="B9" s="1" t="str">
        <f>VLOOKUP(A9,[24]LISTADHERENT!A$5:H$60,3,0)</f>
        <v xml:space="preserve">DJOMO JEAN PAUL </v>
      </c>
      <c r="C9" s="36">
        <f>+MVTDEC24!C9</f>
        <v>800000</v>
      </c>
      <c r="D9" s="36">
        <f>+MVTDEC24!D9</f>
        <v>6643</v>
      </c>
      <c r="E9" s="36">
        <f>MVTJANV25!E9+MVTFEV25!E9+MVTMARS25!E9+MVTAVRIL25!E9+MVTMAI25!E9+MVTJUIN25!E9+MVTJUIL25!E9+MVTAOUT25!E9+MVTSEPT25!E9+MVTOCT25!E9+MVTNOV25!E9+MVTDEC25!E9</f>
        <v>0</v>
      </c>
      <c r="F9" s="36">
        <f>MVTJANV25!F9+MVTFEV25!F9+MVTMARS25!F9+MVTAVRIL25!F9+MVTMAI25!F9+MVTJUIN25!F9+MVTJUIL25!F9+MVTAOUT25!F9+MVTSEPT25!F9+MVTOCT25!F9+MVTNOV25!F9+MVTDEC25!F9</f>
        <v>11860971.500579983</v>
      </c>
      <c r="G9" s="5">
        <f>MVTJANV25!G9+MVTFEV25!G9+MVTMARS25!G9+MVTAVRIL25!G9+MVTMAI25!G9+MVTJUIN25!G9+MVTJUIL25!G9+MVTAOUT25!G9+MVTSEPT25!G9+MVTOCT25!G9+MVTNOV25!G9+MVTDEC25!G9</f>
        <v>11415887.815722859</v>
      </c>
      <c r="H9" s="36">
        <f>MVTDEC24!H9+MVTJANV25!H9+MVTFEV25!H9+MVTMARS25!H9+MVTAVRIL25!H9+MVTMAI25!H9+MVTJUIN25!H9+MVTJUIL25!H9+MVTAOUT25!H9+MVTSEPT25!H9+MVTOCT25!H9+MVTNOV25!H9</f>
        <v>68010.034901820793</v>
      </c>
      <c r="I9" s="184">
        <f t="shared" si="0"/>
        <v>11928981.535481803</v>
      </c>
      <c r="J9" s="36">
        <f>MVTJANV25!J9+MVTFEV25!J9+MVTMARS25!J9+MVTAVRIL25!J9+MVTMAI25!J9+MVTJUIN25!J9+MVTJUIL25!J9+MVTAOUT25!J9+MVTSEPT25!J9+MVTOCT25!J9+MVTNOV25!J9+MVTDEC25!J9</f>
        <v>5000</v>
      </c>
      <c r="K9" s="36">
        <f>MVTJANV25!K9+MVTFEV25!K9+MVTMARS25!K9+MVTAVRIL25!K9+MVTMAI25!K9+MVTJUIN25!K9+MVTJUIL25!K9+MVTAOUT25!K9+MVTSEPT25!K9+MVTOCT25!K9+MVTNOV25!K9+MVTDEC25!K9</f>
        <v>300000</v>
      </c>
      <c r="L9" s="36">
        <f>MVTJANV25!L9+MVTFEV25!L9+MVTMARS25!L9+MVTAVRIL25!L9+MVTMAI25!L9+MVTJUIN25!L9+MVTJUIL25!L9+MVTAOUT25!L9+MVTSEPT25!L9+MVTOCT25!L9+MVTNOV25!L9+MVTDEC25!L9</f>
        <v>228000</v>
      </c>
      <c r="M9" s="36">
        <f>MVTJANV25!M9+MVTFEV25!M9+MVTMARS25!M9+MVTAVRIL25!M9+MVTMAI25!M9+MVTJUIN25!M9+MVTJUIL25!M9+MVTAOUT25!M9+MVTSEPT25!M9+MVTOCT25!M9+MVTNOV25!M9+MVTDEC25!M9</f>
        <v>12000</v>
      </c>
      <c r="N9" s="36">
        <f>MVTJANV25!N9+MVTFEV25!N9+MVTMARS25!N9+MVTAVRIL25!N9+MVTMAI25!N9+MVTJUIN25!N9+MVTJUIL25!N9+MVTAOUT25!N9+MVTSEPT25!N9+MVTOCT25!N9+MVTNOV25!N9+MVTDEC25!N9</f>
        <v>12000</v>
      </c>
      <c r="O9" s="36">
        <f>MVTJANV25!O9+MVTFEV25!O9+MVTMARS25!O9+MVTAVRIL25!O9+MVTMAI25!O9+MVTJUIN25!O9+MVTJUIL25!O9+MVTAOUT25!O9+MVTSEPT25!O9+MVTOCT25!O9+MVTNOV25!O9+MVTDEC25!O9</f>
        <v>48000</v>
      </c>
      <c r="P9" s="36">
        <f>MVTJANV25!P9+MVTFEV25!P9+MVTMARS25!P9+MVTAVRIL25!P9+MVTMAI25!P9+MVTJUIN25!P9+MVTJUIL25!P9+MVTAOUT25!P9+MVTSEPT25!P9+MVTOCT25!P9+MVTNOV25!P9+MVTDEC25!P9</f>
        <v>0</v>
      </c>
      <c r="Q9" s="36">
        <f>MVTJANV25!Q9+MVTFEV25!Q9+MVTMARS25!Q9+MVTAVRIL25!Q9+MVTMAI25!Q9+MVTJUIN25!Q9+MVTJUIL25!Q9+MVTAOUT25!Q9+MVTSEPT25!Q9+MVTOCT25!Q9+MVTNOV25!Q9+MVTDEC25!Q9</f>
        <v>0</v>
      </c>
      <c r="R9" s="36">
        <f>MVTJANV25!R9+MVTFEV25!R9+MVTMARS25!R9+MVTAVRIL25!R9+MVTMAI25!R9+MVTJUIN25!R9+MVTJUIL25!R9+MVTAOUT25!R9+MVTSEPT25!R9+MVTOCT25!R9+MVTNOV25!R9+MVTDEC25!R9</f>
        <v>0</v>
      </c>
      <c r="S9" s="36">
        <f>MVTJANV25!S9+MVTFEV25!S9+MVTMARS25!S9+MVTAVRIL25!S9+MVTMAI25!S9+MVTJUIN25!S9+MVTJUIL25!S9+MVTAOUT25!S9+MVTSEPT25!S9+MVTOCT25!S9+MVTNOV25!S9+MVTDEC25!S9</f>
        <v>1000000</v>
      </c>
      <c r="T9" s="36">
        <f>MVTDEC24!T9+MVTJANV25!T9+MVTFEV25!T9+MVTMARS25!T9+MVTAVRIL25!T9+MVTMAI25!T9+MVTJUIN25!T9+MVTJUIL25!T9+MVTAOUT25!T9+MVTSEPT25!T9+MVTOCT25!T9+MVTNOV25!T9</f>
        <v>120000</v>
      </c>
      <c r="U9" s="36">
        <f>MVTJANV25!U9+MVTFEV25!U9+MVTMARS25!U9+MVTAVRIL25!U9+MVTMAI25!U9+MVTJUIN25!U9+MVTJUIL25!U9+MVTAOUT25!U9+MVTSEPT25!U9+MVTOCT25!U9+MVTNOV25!U9+MVTDEC25!U9</f>
        <v>0</v>
      </c>
      <c r="V9" s="36">
        <f>MVTJANV25!V9+MVTFEV25!V9+MVTMARS25!V9+MVTAVRIL25!V9+MVTMAI25!V9+MVTJUIN25!V9+MVTJUIL25!V9+MVTAOUT25!V9+MVTSEPT25!V9+MVTOCT25!V9+MVTNOV25!V9+MVTDEC25!V9</f>
        <v>1000000</v>
      </c>
      <c r="W9" s="36">
        <f t="shared" si="1"/>
        <v>0</v>
      </c>
      <c r="X9" s="186">
        <v>46010</v>
      </c>
      <c r="Y9" s="36">
        <f>MVTJANV25!Y9+MVTFEV25!Y9+MVTMARS25!Y9+MVTAVRIL25!Y9+MVTMAI25!Y9+MVTJUIN25!Y9+MVTJUIL25!Y9+MVTAOUT25!Y9+MVTSEPT25!Y9+MVTOCT25!Y9+MVTNOV25!Y9+MVTDEC25!Y9</f>
        <v>0</v>
      </c>
      <c r="Z9" s="36">
        <f>MVTJANV25!Z9+MVTFEV25!Z9+MVTMARS25!Z9+MVTAVRIL25!Z9+MVTMAI25!Z9+MVTJUIN25!Z9+MVTJUIL25!Z9+MVTAOUT25!Z9+MVTSEPT25!Z9+MVTOCT25!Z9+MVTNOV25!Z9+MVTDEC25!Z9</f>
        <v>0</v>
      </c>
      <c r="AA9" s="36">
        <f>MVTJANV25!AA9+MVTFEV25!AA9+MVTMARS25!AA9+MVTAVRIL25!AA9+MVTMAI25!AA9+MVTJUIN25!AA9+MVTJUIL25!AA9+MVTAOUT25!AA9+MVTSEPT25!AA9+MVTOCT25!AA9+MVTNOV25!AA9+MVTDEC25!AA9</f>
        <v>0</v>
      </c>
      <c r="AB9" s="36">
        <f>MVTJANV25!AB9+MVTFEV25!AB9+MVTMARS25!AB9+MVTAVRIL25!AB9+MVTMAI25!AB9+MVTJUIN25!AB9+MVTJUIL25!AB9+MVTAOUT25!AB9+MVTSEPT25!AB9+MVTOCT25!AB9+MVTNOV25!AB9+MVTDEC25!AB9</f>
        <v>0</v>
      </c>
      <c r="AC9" s="36">
        <f>MVTJANV25!AC9+MVTFEV25!AC9+MVTMARS25!AC9+MVTAVRIL25!AC9+MVTMAI25!AC9+MVTJUIN25!AC9+MVTJUIL25!AC9+MVTAOUT25!AC9+MVTSEPT25!AC9+MVTOCT25!AC9+MVTNOV25!AC9+MVTDEC25!AC9</f>
        <v>0</v>
      </c>
      <c r="AD9" s="36">
        <f>MVTJANV25!AD9+MVTFEV25!AD9+MVTMARS25!AD9+MVTAVRIL25!AD9+MVTMAI25!AD9+MVTJUIN25!AD9+MVTJUIL25!AD9+MVTAOUT25!AD9+MVTSEPT25!AD9+MVTOCT25!AD9+MVTNOV25!AD9+MVTDEC25!AD9</f>
        <v>0</v>
      </c>
      <c r="AE9" s="36">
        <f>MVTJANV25!AE9+MVTFEV25!AE9+MVTMARS25!AE9+MVTAVRIL25!AE9+MVTMAI25!AE9+MVTJUIN25!AE9+MVTJUIL25!AE9+MVTAOUT25!AE9+MVTSEPT25!AE9+MVTOCT25!AE9+MVTNOV25!AE9+MVTDEC25!AE9</f>
        <v>0</v>
      </c>
      <c r="AF9" s="36">
        <f>MVTJANV25!AF9+MVTFEV25!AF9+MVTMARS25!AF9+MVTAVRIL25!AF9+MVTMAI25!AF9+MVTJUIN25!AF9+MVTJUIL25!AF9+MVTAOUT25!AF9+MVTSEPT25!AF9+MVTOCT25!AF9+MVTNOV25!AF9+MVTDEC25!AF9</f>
        <v>0</v>
      </c>
      <c r="AG9" s="36">
        <f>MVTJANV25!AG9+MVTFEV25!AG9+MVTMARS25!AG9+MVTAVRIL25!AG9+MVTMAI25!AG9+MVTJUIN25!AG9+MVTJUIL25!AG9+MVTAOUT25!AG9+MVTSEPT25!AG9+MVTOCT25!AG9+MVTNOV25!AG9+MVTDEC25!AG9</f>
        <v>0</v>
      </c>
      <c r="AH9" s="36">
        <f>MVTJANV25!AH9+MVTFEV25!AH9+MVTMARS25!AH9+MVTAVRIL25!AH9+MVTMAI25!AH9+MVTJUIN25!AH9+MVTJUIL25!AH9+MVTAOUT25!AH9+MVTSEPT25!AH9+MVTOCT25!AH9+MVTNOV25!AH9+MVTDEC25!AH9</f>
        <v>0</v>
      </c>
      <c r="AI9" s="36">
        <f>MVTJANV25!AI9+MVTFEV25!AI9+MVTMARS25!AI9+MVTAVRIL25!AI9+MVTMAI25!AI9+MVTJUIN25!AI9+MVTJUIL25!AI9+MVTAOUT25!AI9+MVTSEPT25!AI9+MVTOCT25!AI9+MVTNOV25!AI9+MVTDEC25!AI9</f>
        <v>100000</v>
      </c>
      <c r="AJ9" s="36">
        <f>MVTJANV25!AJ9+MVTFEV25!AJ9+MVTMARS25!AJ9+MVTAVRIL25!AJ9+MVTMAI25!AJ9+MVTJUIN25!AJ9+MVTJUIL25!AJ9+MVTAOUT25!AJ9+MVTSEPT25!AJ9+MVTOCT25!AJ9+MVTNOV25!AJ9+MVTDEC25!AJ9</f>
        <v>0</v>
      </c>
      <c r="AK9" s="36">
        <f>MVTJANV25!AK9+MVTFEV25!AK9+MVTMARS25!AK9+MVTAVRIL25!AK9+MVTMAI25!AK9+MVTJUIN25!AK9+MVTJUIL25!AK9+MVTAOUT25!AK9+MVTSEPT25!AK9+MVTOCT25!AK9+MVTNOV25!AK9+MVTDEC25!AK9</f>
        <v>0</v>
      </c>
    </row>
    <row r="10" spans="1:39" ht="15.5" x14ac:dyDescent="0.35">
      <c r="A10" s="1" t="s">
        <v>154</v>
      </c>
      <c r="B10" s="1" t="str">
        <f>VLOOKUP(A10,[24]LISTADHERENT!A$5:H$60,3,0)</f>
        <v>DJOMOU TCHAPDA</v>
      </c>
      <c r="C10" s="36">
        <f>+MVTDEC24!C10</f>
        <v>800000</v>
      </c>
      <c r="D10" s="36">
        <f>+MVTDEC24!D10</f>
        <v>7246</v>
      </c>
      <c r="E10" s="36">
        <f>MVTJANV25!E10+MVTFEV25!E10+MVTMARS25!E10+MVTAVRIL25!E10+MVTMAI25!E10+MVTJUIN25!E10+MVTJUIL25!E10+MVTAOUT25!E10+MVTSEPT25!E10+MVTOCT25!E10+MVTNOV25!E10+MVTDEC25!E10</f>
        <v>0</v>
      </c>
      <c r="F10" s="36">
        <f>MVTJANV25!F10+MVTFEV25!F10+MVTMARS25!F10+MVTAVRIL25!F10+MVTMAI25!F10+MVTJUIN25!F10+MVTJUIL25!F10+MVTAOUT25!F10+MVTSEPT25!F10+MVTOCT25!F10+MVTNOV25!F10+MVTDEC25!F10</f>
        <v>11959324.787707781</v>
      </c>
      <c r="G10" s="5">
        <f>MVTJANV25!G10+MVTFEV25!G10+MVTMARS25!G10+MVTAVRIL25!G10+MVTMAI25!G10+MVTJUIN25!G10+MVTJUIL25!G10+MVTAOUT25!G10+MVTSEPT25!G10+MVTOCT25!G10+MVTNOV25!G10+MVTDEC25!G10</f>
        <v>11518964.887618596</v>
      </c>
      <c r="H10" s="36">
        <f>MVTDEC24!H10+MVTJANV25!H10+MVTFEV25!H10+MVTMARS25!H10+MVTAVRIL25!H10+MVTMAI25!H10+MVTJUIN25!H10+MVTJUIL25!H10+MVTAOUT25!H10+MVTSEPT25!H10+MVTOCT25!H10+MVTNOV25!H10</f>
        <v>68278.202945778467</v>
      </c>
      <c r="I10" s="184">
        <f t="shared" si="0"/>
        <v>12027602.99065356</v>
      </c>
      <c r="J10" s="36">
        <f>MVTJANV25!J10+MVTFEV25!J10+MVTMARS25!J10+MVTAVRIL25!J10+MVTMAI25!J10+MVTJUIN25!J10+MVTJUIL25!J10+MVTAOUT25!J10+MVTSEPT25!J10+MVTOCT25!J10+MVTNOV25!J10+MVTDEC25!J10</f>
        <v>0</v>
      </c>
      <c r="K10" s="36">
        <f>MVTJANV25!K10+MVTFEV25!K10+MVTMARS25!K10+MVTAVRIL25!K10+MVTMAI25!K10+MVTJUIN25!K10+MVTJUIL25!K10+MVTAOUT25!K10+MVTSEPT25!K10+MVTOCT25!K10+MVTNOV25!K10+MVTDEC25!K10</f>
        <v>307500</v>
      </c>
      <c r="L10" s="36">
        <f>MVTJANV25!L10+MVTFEV25!L10+MVTMARS25!L10+MVTAVRIL25!L10+MVTMAI25!L10+MVTJUIN25!L10+MVTJUIL25!L10+MVTAOUT25!L10+MVTSEPT25!L10+MVTOCT25!L10+MVTNOV25!L10+MVTDEC25!L10</f>
        <v>235500</v>
      </c>
      <c r="M10" s="36">
        <f>MVTJANV25!M10+MVTFEV25!M10+MVTMARS25!M10+MVTAVRIL25!M10+MVTMAI25!M10+MVTJUIN25!M10+MVTJUIL25!M10+MVTAOUT25!M10+MVTSEPT25!M10+MVTOCT25!M10+MVTNOV25!M10+MVTDEC25!M10</f>
        <v>12000</v>
      </c>
      <c r="N10" s="36">
        <f>MVTJANV25!N10+MVTFEV25!N10+MVTMARS25!N10+MVTAVRIL25!N10+MVTMAI25!N10+MVTJUIN25!N10+MVTJUIL25!N10+MVTAOUT25!N10+MVTSEPT25!N10+MVTOCT25!N10+MVTNOV25!N10+MVTDEC25!N10</f>
        <v>12000</v>
      </c>
      <c r="O10" s="36">
        <f>MVTJANV25!O10+MVTFEV25!O10+MVTMARS25!O10+MVTAVRIL25!O10+MVTMAI25!O10+MVTJUIN25!O10+MVTJUIL25!O10+MVTAOUT25!O10+MVTSEPT25!O10+MVTOCT25!O10+MVTNOV25!O10+MVTDEC25!O10</f>
        <v>48000</v>
      </c>
      <c r="P10" s="36">
        <f>MVTJANV25!P10+MVTFEV25!P10+MVTMARS25!P10+MVTAVRIL25!P10+MVTMAI25!P10+MVTJUIN25!P10+MVTJUIL25!P10+MVTAOUT25!P10+MVTSEPT25!P10+MVTOCT25!P10+MVTNOV25!P10+MVTDEC25!P10</f>
        <v>3000</v>
      </c>
      <c r="Q10" s="36">
        <f>MVTJANV25!Q10+MVTFEV25!Q10+MVTMARS25!Q10+MVTAVRIL25!Q10+MVTMAI25!Q10+MVTJUIN25!Q10+MVTJUIL25!Q10+MVTAOUT25!Q10+MVTSEPT25!Q10+MVTOCT25!Q10+MVTNOV25!Q10+MVTDEC25!Q10</f>
        <v>0</v>
      </c>
      <c r="R10" s="36">
        <f>MVTJANV25!R10+MVTFEV25!R10+MVTMARS25!R10+MVTAVRIL25!R10+MVTMAI25!R10+MVTJUIN25!R10+MVTJUIL25!R10+MVTAOUT25!R10+MVTSEPT25!R10+MVTOCT25!R10+MVTNOV25!R10+MVTDEC25!R10</f>
        <v>0</v>
      </c>
      <c r="S10" s="36">
        <f>MVTJANV25!S10+MVTFEV25!S10+MVTMARS25!S10+MVTAVRIL25!S10+MVTMAI25!S10+MVTJUIN25!S10+MVTJUIL25!S10+MVTAOUT25!S10+MVTSEPT25!S10+MVTOCT25!S10+MVTNOV25!S10+MVTDEC25!S10</f>
        <v>1000000</v>
      </c>
      <c r="T10" s="36">
        <f>MVTDEC24!T10+MVTJANV25!T10+MVTFEV25!T10+MVTMARS25!T10+MVTAVRIL25!T10+MVTMAI25!T10+MVTJUIN25!T10+MVTJUIL25!T10+MVTAOUT25!T10+MVTSEPT25!T10+MVTOCT25!T10+MVTNOV25!T10</f>
        <v>120000</v>
      </c>
      <c r="U10" s="36">
        <f>MVTJANV25!U10+MVTFEV25!U10+MVTMARS25!U10+MVTAVRIL25!U10+MVTMAI25!U10+MVTJUIN25!U10+MVTJUIL25!U10+MVTAOUT25!U10+MVTSEPT25!U10+MVTOCT25!U10+MVTNOV25!U10+MVTDEC25!U10</f>
        <v>0</v>
      </c>
      <c r="V10" s="36">
        <f>MVTJANV25!V10+MVTFEV25!V10+MVTMARS25!V10+MVTAVRIL25!V10+MVTMAI25!V10+MVTJUIN25!V10+MVTJUIL25!V10+MVTAOUT25!V10+MVTSEPT25!V10+MVTOCT25!V10+MVTNOV25!V10+MVTDEC25!V10</f>
        <v>1000000</v>
      </c>
      <c r="W10" s="36">
        <f t="shared" si="1"/>
        <v>0</v>
      </c>
      <c r="X10" s="186">
        <v>46010</v>
      </c>
      <c r="Y10" s="36">
        <f>MVTJANV25!Y10+MVTFEV25!Y10+MVTMARS25!Y10+MVTAVRIL25!Y10+MVTMAI25!Y10+MVTJUIN25!Y10+MVTJUIL25!Y10+MVTAOUT25!Y10+MVTSEPT25!Y10+MVTOCT25!Y10+MVTNOV25!Y10+MVTDEC25!Y10</f>
        <v>0</v>
      </c>
      <c r="Z10" s="36">
        <f>MVTJANV25!Z10+MVTFEV25!Z10+MVTMARS25!Z10+MVTAVRIL25!Z10+MVTMAI25!Z10+MVTJUIN25!Z10+MVTJUIL25!Z10+MVTAOUT25!Z10+MVTSEPT25!Z10+MVTOCT25!Z10+MVTNOV25!Z10+MVTDEC25!Z10</f>
        <v>0</v>
      </c>
      <c r="AA10" s="36">
        <f>MVTJANV25!AA10+MVTFEV25!AA10+MVTMARS25!AA10+MVTAVRIL25!AA10+MVTMAI25!AA10+MVTJUIN25!AA10+MVTJUIL25!AA10+MVTAOUT25!AA10+MVTSEPT25!AA10+MVTOCT25!AA10+MVTNOV25!AA10+MVTDEC25!AA10</f>
        <v>0</v>
      </c>
      <c r="AB10" s="36">
        <f>MVTJANV25!AB10+MVTFEV25!AB10+MVTMARS25!AB10+MVTAVRIL25!AB10+MVTMAI25!AB10+MVTJUIN25!AB10+MVTJUIL25!AB10+MVTAOUT25!AB10+MVTSEPT25!AB10+MVTOCT25!AB10+MVTNOV25!AB10+MVTDEC25!AB10</f>
        <v>0</v>
      </c>
      <c r="AC10" s="36">
        <f>MVTJANV25!AC10+MVTFEV25!AC10+MVTMARS25!AC10+MVTAVRIL25!AC10+MVTMAI25!AC10+MVTJUIN25!AC10+MVTJUIL25!AC10+MVTAOUT25!AC10+MVTSEPT25!AC10+MVTOCT25!AC10+MVTNOV25!AC10+MVTDEC25!AC10</f>
        <v>0</v>
      </c>
      <c r="AD10" s="36">
        <f>MVTJANV25!AD10+MVTFEV25!AD10+MVTMARS25!AD10+MVTAVRIL25!AD10+MVTMAI25!AD10+MVTJUIN25!AD10+MVTJUIL25!AD10+MVTAOUT25!AD10+MVTSEPT25!AD10+MVTOCT25!AD10+MVTNOV25!AD10+MVTDEC25!AD10</f>
        <v>0</v>
      </c>
      <c r="AE10" s="36">
        <f>MVTJANV25!AE10+MVTFEV25!AE10+MVTMARS25!AE10+MVTAVRIL25!AE10+MVTMAI25!AE10+MVTJUIN25!AE10+MVTJUIL25!AE10+MVTAOUT25!AE10+MVTSEPT25!AE10+MVTOCT25!AE10+MVTNOV25!AE10+MVTDEC25!AE10</f>
        <v>0</v>
      </c>
      <c r="AF10" s="36">
        <f>MVTJANV25!AF10+MVTFEV25!AF10+MVTMARS25!AF10+MVTAVRIL25!AF10+MVTMAI25!AF10+MVTJUIN25!AF10+MVTJUIL25!AF10+MVTAOUT25!AF10+MVTSEPT25!AF10+MVTOCT25!AF10+MVTNOV25!AF10+MVTDEC25!AF10</f>
        <v>0</v>
      </c>
      <c r="AG10" s="36">
        <f>MVTJANV25!AG10+MVTFEV25!AG10+MVTMARS25!AG10+MVTAVRIL25!AG10+MVTMAI25!AG10+MVTJUIN25!AG10+MVTJUIL25!AG10+MVTAOUT25!AG10+MVTSEPT25!AG10+MVTOCT25!AG10+MVTNOV25!AG10+MVTDEC25!AG10</f>
        <v>0</v>
      </c>
      <c r="AH10" s="36">
        <f>MVTJANV25!AH10+MVTFEV25!AH10+MVTMARS25!AH10+MVTAVRIL25!AH10+MVTMAI25!AH10+MVTJUIN25!AH10+MVTJUIL25!AH10+MVTAOUT25!AH10+MVTSEPT25!AH10+MVTOCT25!AH10+MVTNOV25!AH10+MVTDEC25!AH10</f>
        <v>0</v>
      </c>
      <c r="AI10" s="36">
        <f>MVTJANV25!AI10+MVTFEV25!AI10+MVTMARS25!AI10+MVTAVRIL25!AI10+MVTMAI25!AI10+MVTJUIN25!AI10+MVTJUIL25!AI10+MVTAOUT25!AI10+MVTSEPT25!AI10+MVTOCT25!AI10+MVTNOV25!AI10+MVTDEC25!AI10</f>
        <v>0</v>
      </c>
      <c r="AJ10" s="36">
        <f>MVTJANV25!AJ10+MVTFEV25!AJ10+MVTMARS25!AJ10+MVTAVRIL25!AJ10+MVTMAI25!AJ10+MVTJUIN25!AJ10+MVTJUIL25!AJ10+MVTAOUT25!AJ10+MVTSEPT25!AJ10+MVTOCT25!AJ10+MVTNOV25!AJ10+MVTDEC25!AJ10</f>
        <v>0</v>
      </c>
      <c r="AK10" s="36">
        <f>MVTJANV25!AK10+MVTFEV25!AK10+MVTMARS25!AK10+MVTAVRIL25!AK10+MVTMAI25!AK10+MVTJUIN25!AK10+MVTJUIL25!AK10+MVTAOUT25!AK10+MVTSEPT25!AK10+MVTOCT25!AK10+MVTNOV25!AK10+MVTDEC25!AK10</f>
        <v>0</v>
      </c>
    </row>
    <row r="11" spans="1:39" ht="15.5" x14ac:dyDescent="0.35">
      <c r="A11" s="1" t="s">
        <v>24</v>
      </c>
      <c r="B11" s="1" t="str">
        <f>VLOOKUP(A11,[24]LISTADHERENT!A$5:H$60,3,0)</f>
        <v>DJOUKWE NANGUEN GUY BLAISE</v>
      </c>
      <c r="C11" s="36">
        <f>+MVTDEC24!C11</f>
        <v>800000</v>
      </c>
      <c r="D11" s="36">
        <f>+MVTDEC24!D11</f>
        <v>6032</v>
      </c>
      <c r="E11" s="36">
        <f>MVTJANV25!E11+MVTFEV25!E11+MVTMARS25!E11+MVTAVRIL25!E11+MVTMAI25!E11+MVTJUIN25!E11+MVTJUIL25!E11+MVTAOUT25!E11+MVTSEPT25!E11+MVTOCT25!E11+MVTNOV25!E11+MVTDEC25!E11</f>
        <v>0</v>
      </c>
      <c r="F11" s="36">
        <f>MVTJANV25!F11+MVTFEV25!F11+MVTMARS25!F11+MVTAVRIL25!F11+MVTMAI25!F11+MVTJUIN25!F11+MVTJUIL25!F11+MVTAOUT25!F11+MVTSEPT25!F11+MVTOCT25!F11+MVTNOV25!F11+MVTDEC25!F11</f>
        <v>13109664.130915789</v>
      </c>
      <c r="G11" s="5">
        <f>MVTJANV25!G11+MVTFEV25!G11+MVTMARS25!G11+MVTAVRIL25!G11+MVTMAI25!G11+MVTJUIN25!G11+MVTJUIL25!G11+MVTAOUT25!G11+MVTSEPT25!G11+MVTOCT25!G11+MVTNOV25!G11+MVTDEC25!G11</f>
        <v>11662235.945221346</v>
      </c>
      <c r="H11" s="36">
        <f>MVTDEC24!H11+MVTJANV25!H11+MVTFEV25!H11+MVTMARS25!H11+MVTAVRIL25!H11+MVTMAI25!H11+MVTJUIN25!H11+MVTJUIL25!H11+MVTAOUT25!H11+MVTSEPT25!H11+MVTOCT25!H11+MVTNOV25!H11</f>
        <v>68968.183232068608</v>
      </c>
      <c r="I11" s="184">
        <f t="shared" si="0"/>
        <v>13178632.314147858</v>
      </c>
      <c r="J11" s="36">
        <f>MVTJANV25!J11+MVTFEV25!J11+MVTMARS25!J11+MVTAVRIL25!J11+MVTMAI25!J11+MVTJUIN25!J11+MVTJUIL25!J11+MVTAOUT25!J11+MVTSEPT25!J11+MVTOCT25!J11+MVTNOV25!J11+MVTDEC25!J11</f>
        <v>0</v>
      </c>
      <c r="K11" s="36">
        <f>MVTJANV25!K11+MVTFEV25!K11+MVTMARS25!K11+MVTAVRIL25!K11+MVTMAI25!K11+MVTJUIN25!K11+MVTJUIL25!K11+MVTAOUT25!K11+MVTSEPT25!K11+MVTOCT25!K11+MVTNOV25!K11+MVTDEC25!K11</f>
        <v>550375</v>
      </c>
      <c r="L11" s="36">
        <f>MVTJANV25!L11+MVTFEV25!L11+MVTMARS25!L11+MVTAVRIL25!L11+MVTMAI25!L11+MVTJUIN25!L11+MVTJUIL25!L11+MVTAOUT25!L11+MVTSEPT25!L11+MVTOCT25!L11+MVTNOV25!L11+MVTDEC25!L11</f>
        <v>478375</v>
      </c>
      <c r="M11" s="36">
        <f>MVTJANV25!M11+MVTFEV25!M11+MVTMARS25!M11+MVTAVRIL25!M11+MVTMAI25!M11+MVTJUIN25!M11+MVTJUIL25!M11+MVTAOUT25!M11+MVTSEPT25!M11+MVTOCT25!M11+MVTNOV25!M11+MVTDEC25!M11</f>
        <v>12000</v>
      </c>
      <c r="N11" s="36">
        <f>MVTJANV25!N11+MVTFEV25!N11+MVTMARS25!N11+MVTAVRIL25!N11+MVTMAI25!N11+MVTJUIN25!N11+MVTJUIL25!N11+MVTAOUT25!N11+MVTSEPT25!N11+MVTOCT25!N11+MVTNOV25!N11+MVTDEC25!N11</f>
        <v>12000</v>
      </c>
      <c r="O11" s="36">
        <f>MVTJANV25!O11+MVTFEV25!O11+MVTMARS25!O11+MVTAVRIL25!O11+MVTMAI25!O11+MVTJUIN25!O11+MVTJUIL25!O11+MVTAOUT25!O11+MVTSEPT25!O11+MVTOCT25!O11+MVTNOV25!O11+MVTDEC25!O11</f>
        <v>48000</v>
      </c>
      <c r="P11" s="36">
        <f>MVTJANV25!P11+MVTFEV25!P11+MVTMARS25!P11+MVTAVRIL25!P11+MVTMAI25!P11+MVTJUIN25!P11+MVTJUIL25!P11+MVTAOUT25!P11+MVTSEPT25!P11+MVTOCT25!P11+MVTNOV25!P11+MVTDEC25!P11</f>
        <v>3000</v>
      </c>
      <c r="Q11" s="36">
        <f>MVTJANV25!Q11+MVTFEV25!Q11+MVTMARS25!Q11+MVTAVRIL25!Q11+MVTMAI25!Q11+MVTJUIN25!Q11+MVTJUIL25!Q11+MVTAOUT25!Q11+MVTSEPT25!Q11+MVTOCT25!Q11+MVTNOV25!Q11+MVTDEC25!Q11</f>
        <v>0</v>
      </c>
      <c r="R11" s="36">
        <f>MVTJANV25!R11+MVTFEV25!R11+MVTMARS25!R11+MVTAVRIL25!R11+MVTMAI25!R11+MVTJUIN25!R11+MVTJUIL25!R11+MVTAOUT25!R11+MVTSEPT25!R11+MVTOCT25!R11+MVTNOV25!R11+MVTDEC25!R11</f>
        <v>0</v>
      </c>
      <c r="S11" s="36">
        <f>MVTJANV25!S11+MVTFEV25!S11+MVTMARS25!S11+MVTAVRIL25!S11+MVTMAI25!S11+MVTJUIN25!S11+MVTJUIL25!S11+MVTAOUT25!S11+MVTSEPT25!S11+MVTOCT25!S11+MVTNOV25!S11+MVTDEC25!S11</f>
        <v>2000000</v>
      </c>
      <c r="T11" s="36">
        <f>MVTDEC24!T11+MVTJANV25!T11+MVTFEV25!T11+MVTMARS25!T11+MVTAVRIL25!T11+MVTMAI25!T11+MVTJUIN25!T11+MVTJUIL25!T11+MVTAOUT25!T11+MVTSEPT25!T11+MVTOCT25!T11+MVTNOV25!T11</f>
        <v>225000</v>
      </c>
      <c r="U11" s="36">
        <f>MVTJANV25!U11+MVTFEV25!U11+MVTMARS25!U11+MVTAVRIL25!U11+MVTMAI25!U11+MVTJUIN25!U11+MVTJUIL25!U11+MVTAOUT25!U11+MVTSEPT25!U11+MVTOCT25!U11+MVTNOV25!U11+MVTDEC25!U11</f>
        <v>0</v>
      </c>
      <c r="V11" s="36">
        <f>MVTJANV25!V11+MVTFEV25!V11+MVTMARS25!V11+MVTAVRIL25!V11+MVTMAI25!V11+MVTJUIN25!V11+MVTJUIL25!V11+MVTAOUT25!V11+MVTSEPT25!V11+MVTOCT25!V11+MVTNOV25!V11+MVTDEC25!V11</f>
        <v>2135000</v>
      </c>
      <c r="W11" s="36">
        <f>S11-V11+135000</f>
        <v>0</v>
      </c>
      <c r="X11" s="186"/>
      <c r="Y11" s="36">
        <f>MVTJANV25!Y11+MVTFEV25!Y11+MVTMARS25!Y11+MVTAVRIL25!Y11+MVTMAI25!Y11+MVTJUIN25!Y11+MVTJUIL25!Y11+MVTAOUT25!Y11+MVTSEPT25!Y11+MVTOCT25!Y11+MVTNOV25!Y11+MVTDEC25!Y11</f>
        <v>0</v>
      </c>
      <c r="Z11" s="36">
        <f>MVTJANV25!Z11+MVTFEV25!Z11+MVTMARS25!Z11+MVTAVRIL25!Z11+MVTMAI25!Z11+MVTJUIN25!Z11+MVTJUIL25!Z11+MVTAOUT25!Z11+MVTSEPT25!Z11+MVTOCT25!Z11+MVTNOV25!Z11+MVTDEC25!Z11</f>
        <v>0</v>
      </c>
      <c r="AA11" s="36">
        <f>MVTJANV25!AA11+MVTFEV25!AA11+MVTMARS25!AA11+MVTAVRIL25!AA11+MVTMAI25!AA11+MVTJUIN25!AA11+MVTJUIL25!AA11+MVTAOUT25!AA11+MVTSEPT25!AA11+MVTOCT25!AA11+MVTNOV25!AA11+MVTDEC25!AA11</f>
        <v>0</v>
      </c>
      <c r="AB11" s="36">
        <f>MVTJANV25!AB11+MVTFEV25!AB11+MVTMARS25!AB11+MVTAVRIL25!AB11+MVTMAI25!AB11+MVTJUIN25!AB11+MVTJUIL25!AB11+MVTAOUT25!AB11+MVTSEPT25!AB11+MVTOCT25!AB11+MVTNOV25!AB11+MVTDEC25!AB11</f>
        <v>0</v>
      </c>
      <c r="AC11" s="36">
        <f>MVTJANV25!AC11+MVTFEV25!AC11+MVTMARS25!AC11+MVTAVRIL25!AC11+MVTMAI25!AC11+MVTJUIN25!AC11+MVTJUIL25!AC11+MVTAOUT25!AC11+MVTSEPT25!AC11+MVTOCT25!AC11+MVTNOV25!AC11+MVTDEC25!AC11</f>
        <v>0</v>
      </c>
      <c r="AD11" s="36">
        <f>MVTJANV25!AD11+MVTFEV25!AD11+MVTMARS25!AD11+MVTAVRIL25!AD11+MVTMAI25!AD11+MVTJUIN25!AD11+MVTJUIL25!AD11+MVTAOUT25!AD11+MVTSEPT25!AD11+MVTOCT25!AD11+MVTNOV25!AD11+MVTDEC25!AD11</f>
        <v>0</v>
      </c>
      <c r="AE11" s="36">
        <f>MVTJANV25!AE11+MVTFEV25!AE11+MVTMARS25!AE11+MVTAVRIL25!AE11+MVTMAI25!AE11+MVTJUIN25!AE11+MVTJUIL25!AE11+MVTAOUT25!AE11+MVTSEPT25!AE11+MVTOCT25!AE11+MVTNOV25!AE11+MVTDEC25!AE11</f>
        <v>0</v>
      </c>
      <c r="AF11" s="36">
        <f>MVTJANV25!AF11+MVTFEV25!AF11+MVTMARS25!AF11+MVTAVRIL25!AF11+MVTMAI25!AF11+MVTJUIN25!AF11+MVTJUIL25!AF11+MVTAOUT25!AF11+MVTSEPT25!AF11+MVTOCT25!AF11+MVTNOV25!AF11+MVTDEC25!AF11</f>
        <v>0</v>
      </c>
      <c r="AG11" s="36">
        <f>MVTJANV25!AG11+MVTFEV25!AG11+MVTMARS25!AG11+MVTAVRIL25!AG11+MVTMAI25!AG11+MVTJUIN25!AG11+MVTJUIL25!AG11+MVTAOUT25!AG11+MVTSEPT25!AG11+MVTOCT25!AG11+MVTNOV25!AG11+MVTDEC25!AG11</f>
        <v>0</v>
      </c>
      <c r="AH11" s="36">
        <f>MVTJANV25!AH11+MVTFEV25!AH11+MVTMARS25!AH11+MVTAVRIL25!AH11+MVTMAI25!AH11+MVTJUIN25!AH11+MVTJUIL25!AH11+MVTAOUT25!AH11+MVTSEPT25!AH11+MVTOCT25!AH11+MVTNOV25!AH11+MVTDEC25!AH11</f>
        <v>0</v>
      </c>
      <c r="AI11" s="36">
        <f>MVTJANV25!AI11+MVTFEV25!AI11+MVTMARS25!AI11+MVTAVRIL25!AI11+MVTMAI25!AI11+MVTJUIN25!AI11+MVTJUIL25!AI11+MVTAOUT25!AI11+MVTSEPT25!AI11+MVTOCT25!AI11+MVTNOV25!AI11+MVTDEC25!AI11</f>
        <v>100000</v>
      </c>
      <c r="AJ11" s="36">
        <f>MVTJANV25!AJ11+MVTFEV25!AJ11+MVTMARS25!AJ11+MVTAVRIL25!AJ11+MVTMAI25!AJ11+MVTJUIN25!AJ11+MVTJUIL25!AJ11+MVTAOUT25!AJ11+MVTSEPT25!AJ11+MVTOCT25!AJ11+MVTNOV25!AJ11+MVTDEC25!AJ11</f>
        <v>0</v>
      </c>
      <c r="AK11" s="36">
        <f>MVTJANV25!AK11+MVTFEV25!AK11+MVTMARS25!AK11+MVTAVRIL25!AK11+MVTMAI25!AK11+MVTJUIN25!AK11+MVTJUIL25!AK11+MVTAOUT25!AK11+MVTSEPT25!AK11+MVTOCT25!AK11+MVTNOV25!AK11+MVTDEC25!AK11</f>
        <v>0</v>
      </c>
    </row>
    <row r="12" spans="1:39" ht="15.5" x14ac:dyDescent="0.35">
      <c r="A12" s="1" t="s">
        <v>25</v>
      </c>
      <c r="B12" s="1" t="str">
        <f>VLOOKUP(A12,[24]LISTADHERENT!A$5:H$60,3,0)</f>
        <v>DJUOMBESSY ANTOINE</v>
      </c>
      <c r="C12" s="36">
        <f>+MVTDEC24!C12</f>
        <v>800000</v>
      </c>
      <c r="D12" s="36">
        <f>+MVTDEC24!D12</f>
        <v>14486</v>
      </c>
      <c r="E12" s="36">
        <f>MVTJANV25!E12+MVTFEV25!E12+MVTMARS25!E12+MVTAVRIL25!E12+MVTMAI25!E12+MVTJUIN25!E12+MVTJUIL25!E12+MVTAOUT25!E12+MVTSEPT25!E12+MVTOCT25!E12+MVTNOV25!E12+MVTDEC25!E12</f>
        <v>0</v>
      </c>
      <c r="F12" s="36">
        <f>MVTJANV25!F12+MVTFEV25!F12+MVTMARS25!F12+MVTAVRIL25!F12+MVTMAI25!F12+MVTJUIN25!F12+MVTJUIL25!F12+MVTAOUT25!F12+MVTSEPT25!F12+MVTOCT25!F12+MVTNOV25!F12+MVTDEC25!F12</f>
        <v>20475945.329871248</v>
      </c>
      <c r="G12" s="5">
        <f>MVTJANV25!G12+MVTFEV25!G12+MVTMARS25!G12+MVTAVRIL25!G12+MVTMAI25!G12+MVTJUIN25!G12+MVTJUIL25!G12+MVTAOUT25!G12+MVTSEPT25!G12+MVTOCT25!G12+MVTNOV25!G12+MVTDEC25!G12</f>
        <v>19545647.890708119</v>
      </c>
      <c r="H12" s="36">
        <f>MVTDEC24!H12+MVTJANV25!H12+MVTFEV25!H12+MVTMARS25!H12+MVTAVRIL25!H12+MVTMAI25!H12+MVTJUIN25!H12+MVTJUIL25!H12+MVTAOUT25!H12+MVTSEPT25!H12+MVTOCT25!H12+MVTNOV25!H12</f>
        <v>85780.246422867262</v>
      </c>
      <c r="I12" s="184">
        <f t="shared" si="0"/>
        <v>20561725.576294117</v>
      </c>
      <c r="J12" s="36">
        <f>MVTJANV25!J12+MVTFEV25!J12+MVTMARS25!J12+MVTAVRIL25!J12+MVTMAI25!J12+MVTJUIN25!J12+MVTJUIL25!J12+MVTAOUT25!J12+MVTSEPT25!J12+MVTOCT25!J12+MVTNOV25!J12+MVTDEC25!J12</f>
        <v>0</v>
      </c>
      <c r="K12" s="36">
        <f>MVTJANV25!K12+MVTFEV25!K12+MVTMARS25!K12+MVTAVRIL25!K12+MVTMAI25!K12+MVTJUIN25!K12+MVTJUIL25!K12+MVTAOUT25!K12+MVTSEPT25!K12+MVTOCT25!K12+MVTNOV25!K12+MVTDEC25!K12</f>
        <v>1280500</v>
      </c>
      <c r="L12" s="36">
        <f>MVTJANV25!L12+MVTFEV25!L12+MVTMARS25!L12+MVTAVRIL25!L12+MVTMAI25!L12+MVTJUIN25!L12+MVTJUIL25!L12+MVTAOUT25!L12+MVTSEPT25!L12+MVTOCT25!L12+MVTNOV25!L12+MVTDEC25!L12</f>
        <v>1208500</v>
      </c>
      <c r="M12" s="36">
        <f>MVTJANV25!M12+MVTFEV25!M12+MVTMARS25!M12+MVTAVRIL25!M12+MVTMAI25!M12+MVTJUIN25!M12+MVTJUIL25!M12+MVTAOUT25!M12+MVTSEPT25!M12+MVTOCT25!M12+MVTNOV25!M12+MVTDEC25!M12</f>
        <v>12000</v>
      </c>
      <c r="N12" s="36">
        <f>MVTJANV25!N12+MVTFEV25!N12+MVTMARS25!N12+MVTAVRIL25!N12+MVTMAI25!N12+MVTJUIN25!N12+MVTJUIL25!N12+MVTAOUT25!N12+MVTSEPT25!N12+MVTOCT25!N12+MVTNOV25!N12+MVTDEC25!N12</f>
        <v>12000</v>
      </c>
      <c r="O12" s="36">
        <f>MVTJANV25!O12+MVTFEV25!O12+MVTMARS25!O12+MVTAVRIL25!O12+MVTMAI25!O12+MVTJUIN25!O12+MVTJUIL25!O12+MVTAOUT25!O12+MVTSEPT25!O12+MVTOCT25!O12+MVTNOV25!O12+MVTDEC25!O12</f>
        <v>48000</v>
      </c>
      <c r="P12" s="36">
        <f>MVTJANV25!P12+MVTFEV25!P12+MVTMARS25!P12+MVTAVRIL25!P12+MVTMAI25!P12+MVTJUIN25!P12+MVTJUIL25!P12+MVTAOUT25!P12+MVTSEPT25!P12+MVTOCT25!P12+MVTNOV25!P12+MVTDEC25!P12</f>
        <v>0</v>
      </c>
      <c r="Q12" s="36">
        <f>MVTJANV25!Q12+MVTFEV25!Q12+MVTMARS25!Q12+MVTAVRIL25!Q12+MVTMAI25!Q12+MVTJUIN25!Q12+MVTJUIL25!Q12+MVTAOUT25!Q12+MVTSEPT25!Q12+MVTOCT25!Q12+MVTNOV25!Q12+MVTDEC25!Q12</f>
        <v>0</v>
      </c>
      <c r="R12" s="36">
        <f>MVTJANV25!R12+MVTFEV25!R12+MVTMARS25!R12+MVTAVRIL25!R12+MVTMAI25!R12+MVTJUIN25!R12+MVTJUIL25!R12+MVTAOUT25!R12+MVTSEPT25!R12+MVTOCT25!R12+MVTNOV25!R12+MVTDEC25!R12</f>
        <v>0</v>
      </c>
      <c r="S12" s="36">
        <f>MVTJANV25!S12+MVTFEV25!S12+MVTMARS25!S12+MVTAVRIL25!S12+MVTMAI25!S12+MVTJUIN25!S12+MVTJUIL25!S12+MVTAOUT25!S12+MVTSEPT25!S12+MVTOCT25!S12+MVTNOV25!S12+MVTDEC25!S12</f>
        <v>2150000</v>
      </c>
      <c r="T12" s="36">
        <f>MVTDEC24!T12+MVTJANV25!T12+MVTFEV25!T12+MVTMARS25!T12+MVTAVRIL25!T12+MVTMAI25!T12+MVTJUIN25!T12+MVTJUIL25!T12+MVTAOUT25!T12+MVTSEPT25!T12+MVTOCT25!T12+MVTNOV25!T12</f>
        <v>91500</v>
      </c>
      <c r="U12" s="36">
        <f>MVTJANV25!U12+MVTFEV25!U12+MVTMARS25!U12+MVTAVRIL25!U12+MVTMAI25!U12+MVTJUIN25!U12+MVTJUIL25!U12+MVTAOUT25!U12+MVTSEPT25!U12+MVTOCT25!U12+MVTNOV25!U12+MVTDEC25!U12</f>
        <v>0</v>
      </c>
      <c r="V12" s="36">
        <f>MVTJANV25!V12+MVTFEV25!V12+MVTMARS25!V12+MVTAVRIL25!V12+MVTMAI25!V12+MVTJUIN25!V12+MVTJUIL25!V12+MVTAOUT25!V12+MVTSEPT25!V12+MVTOCT25!V12+MVTNOV25!V12+MVTDEC25!V12</f>
        <v>2150000</v>
      </c>
      <c r="W12" s="36">
        <f t="shared" si="1"/>
        <v>0</v>
      </c>
      <c r="X12" s="186">
        <v>45980</v>
      </c>
      <c r="Y12" s="36">
        <f>MVTJANV25!Y12+MVTFEV25!Y12+MVTMARS25!Y12+MVTAVRIL25!Y12+MVTMAI25!Y12+MVTJUIN25!Y12+MVTJUIL25!Y12+MVTAOUT25!Y12+MVTSEPT25!Y12+MVTOCT25!Y12+MVTNOV25!Y12+MVTDEC25!Y12</f>
        <v>0</v>
      </c>
      <c r="Z12" s="36">
        <f>MVTJANV25!Z12+MVTFEV25!Z12+MVTMARS25!Z12+MVTAVRIL25!Z12+MVTMAI25!Z12+MVTJUIN25!Z12+MVTJUIL25!Z12+MVTAOUT25!Z12+MVTSEPT25!Z12+MVTOCT25!Z12+MVTNOV25!Z12+MVTDEC25!Z12</f>
        <v>0</v>
      </c>
      <c r="AA12" s="36">
        <f>MVTJANV25!AA12+MVTFEV25!AA12+MVTMARS25!AA12+MVTAVRIL25!AA12+MVTMAI25!AA12+MVTJUIN25!AA12+MVTJUIL25!AA12+MVTAOUT25!AA12+MVTSEPT25!AA12+MVTOCT25!AA12+MVTNOV25!AA12+MVTDEC25!AA12</f>
        <v>0</v>
      </c>
      <c r="AB12" s="36">
        <f>MVTJANV25!AB12+MVTFEV25!AB12+MVTMARS25!AB12+MVTAVRIL25!AB12+MVTMAI25!AB12+MVTJUIN25!AB12+MVTJUIL25!AB12+MVTAOUT25!AB12+MVTSEPT25!AB12+MVTOCT25!AB12+MVTNOV25!AB12+MVTDEC25!AB12</f>
        <v>0</v>
      </c>
      <c r="AC12" s="36">
        <f>MVTJANV25!AC12+MVTFEV25!AC12+MVTMARS25!AC12+MVTAVRIL25!AC12+MVTMAI25!AC12+MVTJUIN25!AC12+MVTJUIL25!AC12+MVTAOUT25!AC12+MVTSEPT25!AC12+MVTOCT25!AC12+MVTNOV25!AC12+MVTDEC25!AC12</f>
        <v>0</v>
      </c>
      <c r="AD12" s="36">
        <f>MVTJANV25!AD12+MVTFEV25!AD12+MVTMARS25!AD12+MVTAVRIL25!AD12+MVTMAI25!AD12+MVTJUIN25!AD12+MVTJUIL25!AD12+MVTAOUT25!AD12+MVTSEPT25!AD12+MVTOCT25!AD12+MVTNOV25!AD12+MVTDEC25!AD12</f>
        <v>0</v>
      </c>
      <c r="AE12" s="36">
        <f>MVTJANV25!AE12+MVTFEV25!AE12+MVTMARS25!AE12+MVTAVRIL25!AE12+MVTMAI25!AE12+MVTJUIN25!AE12+MVTJUIL25!AE12+MVTAOUT25!AE12+MVTSEPT25!AE12+MVTOCT25!AE12+MVTNOV25!AE12+MVTDEC25!AE12</f>
        <v>0</v>
      </c>
      <c r="AF12" s="36">
        <f>MVTJANV25!AF12+MVTFEV25!AF12+MVTMARS25!AF12+MVTAVRIL25!AF12+MVTMAI25!AF12+MVTJUIN25!AF12+MVTJUIL25!AF12+MVTAOUT25!AF12+MVTSEPT25!AF12+MVTOCT25!AF12+MVTNOV25!AF12+MVTDEC25!AF12</f>
        <v>0</v>
      </c>
      <c r="AG12" s="36">
        <f>MVTJANV25!AG12+MVTFEV25!AG12+MVTMARS25!AG12+MVTAVRIL25!AG12+MVTMAI25!AG12+MVTJUIN25!AG12+MVTJUIL25!AG12+MVTAOUT25!AG12+MVTSEPT25!AG12+MVTOCT25!AG12+MVTNOV25!AG12+MVTDEC25!AG12</f>
        <v>0</v>
      </c>
      <c r="AH12" s="36">
        <f>MVTJANV25!AH12+MVTFEV25!AH12+MVTMARS25!AH12+MVTAVRIL25!AH12+MVTMAI25!AH12+MVTJUIN25!AH12+MVTJUIL25!AH12+MVTAOUT25!AH12+MVTSEPT25!AH12+MVTOCT25!AH12+MVTNOV25!AH12+MVTDEC25!AH12</f>
        <v>0</v>
      </c>
      <c r="AI12" s="36">
        <f>MVTJANV25!AI12+MVTFEV25!AI12+MVTMARS25!AI12+MVTAVRIL25!AI12+MVTMAI25!AI12+MVTJUIN25!AI12+MVTJUIL25!AI12+MVTAOUT25!AI12+MVTSEPT25!AI12+MVTOCT25!AI12+MVTNOV25!AI12+MVTDEC25!AI12</f>
        <v>0</v>
      </c>
      <c r="AJ12" s="36">
        <f>MVTJANV25!AJ12+MVTFEV25!AJ12+MVTMARS25!AJ12+MVTAVRIL25!AJ12+MVTMAI25!AJ12+MVTJUIN25!AJ12+MVTJUIL25!AJ12+MVTAOUT25!AJ12+MVTSEPT25!AJ12+MVTOCT25!AJ12+MVTNOV25!AJ12+MVTDEC25!AJ12</f>
        <v>0</v>
      </c>
      <c r="AK12" s="36">
        <f>MVTJANV25!AK12+MVTFEV25!AK12+MVTMARS25!AK12+MVTAVRIL25!AK12+MVTMAI25!AK12+MVTJUIN25!AK12+MVTJUIL25!AK12+MVTAOUT25!AK12+MVTSEPT25!AK12+MVTOCT25!AK12+MVTNOV25!AK12+MVTDEC25!AK12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>
        <f>+MVTDEC24!C13</f>
        <v>800000</v>
      </c>
      <c r="D13" s="36">
        <f>+MVTDEC24!D13</f>
        <v>6365</v>
      </c>
      <c r="E13" s="36">
        <f>MVTJANV25!E13+MVTFEV25!E13+MVTMARS25!E13+MVTAVRIL25!E13+MVTMAI25!E13+MVTJUIN25!E13+MVTJUIL25!E13+MVTAOUT25!E13+MVTSEPT25!E13+MVTOCT25!E13+MVTNOV25!E13+MVTDEC25!E13</f>
        <v>0</v>
      </c>
      <c r="F13" s="36">
        <f>MVTJANV25!F13+MVTFEV25!F13+MVTMARS25!F13+MVTAVRIL25!F13+MVTMAI25!F13+MVTJUIN25!F13+MVTJUIL25!F13+MVTAOUT25!F13+MVTSEPT25!F13+MVTOCT25!F13+MVTNOV25!F13+MVTDEC25!F13</f>
        <v>11857399.418647252</v>
      </c>
      <c r="G13" s="5">
        <f>MVTJANV25!G13+MVTFEV25!G13+MVTMARS25!G13+MVTAVRIL25!G13+MVTMAI25!G13+MVTJUIN25!G13+MVTJUIL25!G13+MVTAOUT25!G13+MVTSEPT25!G13+MVTOCT25!G13+MVTNOV25!G13+MVTDEC25!G13</f>
        <v>11412323.756143957</v>
      </c>
      <c r="H13" s="36">
        <f>MVTDEC24!H13+MVTJANV25!H13+MVTFEV25!H13+MVTMARS25!H13+MVTAVRIL25!H13+MVTMAI25!H13+MVTJUIN25!H13+MVTJUIL25!H13+MVTAOUT25!H13+MVTSEPT25!H13+MVTOCT25!H13+MVTNOV25!H13</f>
        <v>67987.388588394897</v>
      </c>
      <c r="I13" s="184">
        <f t="shared" si="0"/>
        <v>11925386.807235647</v>
      </c>
      <c r="J13" s="36">
        <f>MVTJANV25!J13+MVTFEV25!J13+MVTMARS25!J13+MVTAVRIL25!J13+MVTMAI25!J13+MVTJUIN25!J13+MVTJUIL25!J13+MVTAOUT25!J13+MVTSEPT25!J13+MVTOCT25!J13+MVTNOV25!J13+MVTDEC25!J13</f>
        <v>0</v>
      </c>
      <c r="K13" s="36">
        <f>MVTJANV25!K13+MVTFEV25!K13+MVTMARS25!K13+MVTAVRIL25!K13+MVTMAI25!K13+MVTJUIN25!K13+MVTJUIL25!K13+MVTAOUT25!K13+MVTSEPT25!K13+MVTOCT25!K13+MVTNOV25!K13+MVTDEC25!K13</f>
        <v>300000</v>
      </c>
      <c r="L13" s="36">
        <f>MVTJANV25!L13+MVTFEV25!L13+MVTMARS25!L13+MVTAVRIL25!L13+MVTMAI25!L13+MVTJUIN25!L13+MVTJUIL25!L13+MVTAOUT25!L13+MVTSEPT25!L13+MVTOCT25!L13+MVTNOV25!L13+MVTDEC25!L13</f>
        <v>228000</v>
      </c>
      <c r="M13" s="36">
        <f>MVTJANV25!M13+MVTFEV25!M13+MVTMARS25!M13+MVTAVRIL25!M13+MVTMAI25!M13+MVTJUIN25!M13+MVTJUIL25!M13+MVTAOUT25!M13+MVTSEPT25!M13+MVTOCT25!M13+MVTNOV25!M13+MVTDEC25!M13</f>
        <v>12000</v>
      </c>
      <c r="N13" s="36">
        <f>MVTJANV25!N13+MVTFEV25!N13+MVTMARS25!N13+MVTAVRIL25!N13+MVTMAI25!N13+MVTJUIN25!N13+MVTJUIL25!N13+MVTAOUT25!N13+MVTSEPT25!N13+MVTOCT25!N13+MVTNOV25!N13+MVTDEC25!N13</f>
        <v>12000</v>
      </c>
      <c r="O13" s="36">
        <f>MVTJANV25!O13+MVTFEV25!O13+MVTMARS25!O13+MVTAVRIL25!O13+MVTMAI25!O13+MVTJUIN25!O13+MVTJUIL25!O13+MVTAOUT25!O13+MVTSEPT25!O13+MVTOCT25!O13+MVTNOV25!O13+MVTDEC25!O13</f>
        <v>48000</v>
      </c>
      <c r="P13" s="36">
        <f>MVTJANV25!P13+MVTFEV25!P13+MVTMARS25!P13+MVTAVRIL25!P13+MVTMAI25!P13+MVTJUIN25!P13+MVTJUIL25!P13+MVTAOUT25!P13+MVTSEPT25!P13+MVTOCT25!P13+MVTNOV25!P13+MVTDEC25!P13</f>
        <v>0</v>
      </c>
      <c r="Q13" s="36">
        <f>MVTJANV25!Q13+MVTFEV25!Q13+MVTMARS25!Q13+MVTAVRIL25!Q13+MVTMAI25!Q13+MVTJUIN25!Q13+MVTJUIL25!Q13+MVTAOUT25!Q13+MVTSEPT25!Q13+MVTOCT25!Q13+MVTNOV25!Q13+MVTDEC25!Q13</f>
        <v>0</v>
      </c>
      <c r="R13" s="36">
        <f>MVTJANV25!R13+MVTFEV25!R13+MVTMARS25!R13+MVTAVRIL25!R13+MVTMAI25!R13+MVTJUIN25!R13+MVTJUIL25!R13+MVTAOUT25!R13+MVTSEPT25!R13+MVTOCT25!R13+MVTNOV25!R13+MVTDEC25!R13</f>
        <v>0</v>
      </c>
      <c r="S13" s="36">
        <f>MVTJANV25!S13+MVTFEV25!S13+MVTMARS25!S13+MVTAVRIL25!S13+MVTMAI25!S13+MVTJUIN25!S13+MVTJUIL25!S13+MVTAOUT25!S13+MVTSEPT25!S13+MVTOCT25!S13+MVTNOV25!S13+MVTDEC25!S13</f>
        <v>0</v>
      </c>
      <c r="T13" s="36">
        <f>MVTDEC24!T13+MVTJANV25!T13+MVTFEV25!T13+MVTMARS25!T13+MVTAVRIL25!T13+MVTMAI25!T13+MVTJUIN25!T13+MVTJUIL25!T13+MVTAOUT25!T13+MVTSEPT25!T13+MVTOCT25!T13+MVTNOV25!T13</f>
        <v>0</v>
      </c>
      <c r="U13" s="36">
        <f>MVTJANV25!U13+MVTFEV25!U13+MVTMARS25!U13+MVTAVRIL25!U13+MVTMAI25!U13+MVTJUIN25!U13+MVTJUIL25!U13+MVTAOUT25!U13+MVTSEPT25!U13+MVTOCT25!U13+MVTNOV25!U13+MVTDEC25!U13</f>
        <v>0</v>
      </c>
      <c r="V13" s="36">
        <f>MVTJANV25!V13+MVTFEV25!V13+MVTMARS25!V13+MVTAVRIL25!V13+MVTMAI25!V13+MVTJUIN25!V13+MVTJUIL25!V13+MVTAOUT25!V13+MVTSEPT25!V13+MVTOCT25!V13+MVTNOV25!V13+MVTDEC25!V13</f>
        <v>0</v>
      </c>
      <c r="W13" s="36">
        <f t="shared" si="1"/>
        <v>0</v>
      </c>
      <c r="X13" s="36"/>
      <c r="Y13" s="36">
        <f>MVTJANV25!Y13+MVTFEV25!Y13+MVTMARS25!Y13+MVTAVRIL25!Y13+MVTMAI25!Y13+MVTJUIN25!Y13+MVTJUIL25!Y13+MVTAOUT25!Y13+MVTSEPT25!Y13+MVTOCT25!Y13+MVTNOV25!Y13+MVTDEC25!Y13</f>
        <v>0</v>
      </c>
      <c r="Z13" s="36">
        <f>MVTJANV25!Z13+MVTFEV25!Z13+MVTMARS25!Z13+MVTAVRIL25!Z13+MVTMAI25!Z13+MVTJUIN25!Z13+MVTJUIL25!Z13+MVTAOUT25!Z13+MVTSEPT25!Z13+MVTOCT25!Z13+MVTNOV25!Z13+MVTDEC25!Z13</f>
        <v>0</v>
      </c>
      <c r="AA13" s="36">
        <f>MVTJANV25!AA13+MVTFEV25!AA13+MVTMARS25!AA13+MVTAVRIL25!AA13+MVTMAI25!AA13+MVTJUIN25!AA13+MVTJUIL25!AA13+MVTAOUT25!AA13+MVTSEPT25!AA13+MVTOCT25!AA13+MVTNOV25!AA13+MVTDEC25!AA13</f>
        <v>0</v>
      </c>
      <c r="AB13" s="36">
        <f>MVTJANV25!AB13+MVTFEV25!AB13+MVTMARS25!AB13+MVTAVRIL25!AB13+MVTMAI25!AB13+MVTJUIN25!AB13+MVTJUIL25!AB13+MVTAOUT25!AB13+MVTSEPT25!AB13+MVTOCT25!AB13+MVTNOV25!AB13+MVTDEC25!AB13</f>
        <v>0</v>
      </c>
      <c r="AC13" s="36">
        <f>MVTJANV25!AC13+MVTFEV25!AC13+MVTMARS25!AC13+MVTAVRIL25!AC13+MVTMAI25!AC13+MVTJUIN25!AC13+MVTJUIL25!AC13+MVTAOUT25!AC13+MVTSEPT25!AC13+MVTOCT25!AC13+MVTNOV25!AC13+MVTDEC25!AC13</f>
        <v>0</v>
      </c>
      <c r="AD13" s="36">
        <f>MVTJANV25!AD13+MVTFEV25!AD13+MVTMARS25!AD13+MVTAVRIL25!AD13+MVTMAI25!AD13+MVTJUIN25!AD13+MVTJUIL25!AD13+MVTAOUT25!AD13+MVTSEPT25!AD13+MVTOCT25!AD13+MVTNOV25!AD13+MVTDEC25!AD13</f>
        <v>0</v>
      </c>
      <c r="AE13" s="36">
        <f>MVTJANV25!AE13+MVTFEV25!AE13+MVTMARS25!AE13+MVTAVRIL25!AE13+MVTMAI25!AE13+MVTJUIN25!AE13+MVTJUIL25!AE13+MVTAOUT25!AE13+MVTSEPT25!AE13+MVTOCT25!AE13+MVTNOV25!AE13+MVTDEC25!AE13</f>
        <v>0</v>
      </c>
      <c r="AF13" s="36">
        <f>MVTJANV25!AF13+MVTFEV25!AF13+MVTMARS25!AF13+MVTAVRIL25!AF13+MVTMAI25!AF13+MVTJUIN25!AF13+MVTJUIL25!AF13+MVTAOUT25!AF13+MVTSEPT25!AF13+MVTOCT25!AF13+MVTNOV25!AF13+MVTDEC25!AF13</f>
        <v>0</v>
      </c>
      <c r="AG13" s="36">
        <f>MVTJANV25!AG13+MVTFEV25!AG13+MVTMARS25!AG13+MVTAVRIL25!AG13+MVTMAI25!AG13+MVTJUIN25!AG13+MVTJUIL25!AG13+MVTAOUT25!AG13+MVTSEPT25!AG13+MVTOCT25!AG13+MVTNOV25!AG13+MVTDEC25!AG13</f>
        <v>0</v>
      </c>
      <c r="AH13" s="36">
        <f>MVTJANV25!AH13+MVTFEV25!AH13+MVTMARS25!AH13+MVTAVRIL25!AH13+MVTMAI25!AH13+MVTJUIN25!AH13+MVTJUIL25!AH13+MVTAOUT25!AH13+MVTSEPT25!AH13+MVTOCT25!AH13+MVTNOV25!AH13+MVTDEC25!AH13</f>
        <v>0</v>
      </c>
      <c r="AI13" s="36">
        <f>MVTJANV25!AI13+MVTFEV25!AI13+MVTMARS25!AI13+MVTAVRIL25!AI13+MVTMAI25!AI13+MVTJUIN25!AI13+MVTJUIL25!AI13+MVTAOUT25!AI13+MVTSEPT25!AI13+MVTOCT25!AI13+MVTNOV25!AI13+MVTDEC25!AI13</f>
        <v>0</v>
      </c>
      <c r="AJ13" s="36">
        <f>MVTJANV25!AJ13+MVTFEV25!AJ13+MVTMARS25!AJ13+MVTAVRIL25!AJ13+MVTMAI25!AJ13+MVTJUIN25!AJ13+MVTJUIL25!AJ13+MVTAOUT25!AJ13+MVTSEPT25!AJ13+MVTOCT25!AJ13+MVTNOV25!AJ13+MVTDEC25!AJ13</f>
        <v>0</v>
      </c>
      <c r="AK13" s="36">
        <f>MVTJANV25!AK13+MVTFEV25!AK13+MVTMARS25!AK13+MVTAVRIL25!AK13+MVTMAI25!AK13+MVTJUIN25!AK13+MVTJUIL25!AK13+MVTAOUT25!AK13+MVTSEPT25!AK13+MVTOCT25!AK13+MVTNOV25!AK13+MVTDEC25!AK13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>
        <f>+MVTDEC24!C14</f>
        <v>800000</v>
      </c>
      <c r="D14" s="36">
        <f>+MVTDEC24!D14</f>
        <v>702391</v>
      </c>
      <c r="E14" s="36">
        <f>MVTJANV25!E14+MVTFEV25!E14+MVTMARS25!E14+MVTAVRIL25!E14+MVTMAI25!E14+MVTJUIN25!E14+MVTJUIL25!E14+MVTAOUT25!E14+MVTSEPT25!E14+MVTOCT25!E14+MVTNOV25!E14+MVTDEC25!E14</f>
        <v>0</v>
      </c>
      <c r="F14" s="36">
        <f>MVTJANV25!F14+MVTFEV25!F14+MVTMARS25!F14+MVTAVRIL25!F14+MVTMAI25!F14+MVTJUIN25!F14+MVTJUIL25!F14+MVTAOUT25!F14+MVTSEPT25!F14+MVTOCT25!F14+MVTNOV25!F14+MVTDEC25!F14</f>
        <v>20791768.770838298</v>
      </c>
      <c r="G14" s="5">
        <f>MVTJANV25!G14+MVTFEV25!G14+MVTMARS25!G14+MVTAVRIL25!G14+MVTMAI25!G14+MVTJUIN25!G14+MVTJUIL25!G14+MVTAOUT25!G14+MVTSEPT25!G14+MVTOCT25!G14+MVTNOV25!G14+MVTDEC25!G14</f>
        <v>20332626.390908919</v>
      </c>
      <c r="H14" s="36">
        <f>MVTDEC24!H14+MVTJANV25!H14+MVTFEV25!H14+MVTMARS25!H14+MVTAVRIL25!H14+MVTMAI25!H14+MVTJUIN25!H14+MVTJUIL25!H14+MVTAOUT25!H14+MVTSEPT25!H14+MVTOCT25!H14+MVTNOV25!H14</f>
        <v>124677.1319297915</v>
      </c>
      <c r="I14" s="184">
        <f t="shared" si="0"/>
        <v>20916445.90276809</v>
      </c>
      <c r="J14" s="36">
        <f>MVTJANV25!J14+MVTFEV25!J14+MVTMARS25!J14+MVTAVRIL25!J14+MVTMAI25!J14+MVTJUIN25!J14+MVTJUIL25!J14+MVTAOUT25!J14+MVTSEPT25!J14+MVTOCT25!J14+MVTNOV25!J14+MVTDEC25!J14</f>
        <v>0</v>
      </c>
      <c r="K14" s="36">
        <f>MVTJANV25!K14+MVTFEV25!K14+MVTMARS25!K14+MVTAVRIL25!K14+MVTMAI25!K14+MVTJUIN25!K14+MVTJUIL25!K14+MVTAOUT25!K14+MVTSEPT25!K14+MVTOCT25!K14+MVTNOV25!K14+MVTDEC25!K14</f>
        <v>297000</v>
      </c>
      <c r="L14" s="36">
        <f>MVTJANV25!L14+MVTFEV25!L14+MVTMARS25!L14+MVTAVRIL25!L14+MVTMAI25!L14+MVTJUIN25!L14+MVTJUIL25!L14+MVTAOUT25!L14+MVTSEPT25!L14+MVTOCT25!L14+MVTNOV25!L14+MVTDEC25!L14</f>
        <v>225000</v>
      </c>
      <c r="M14" s="36">
        <f>MVTJANV25!M14+MVTFEV25!M14+MVTMARS25!M14+MVTAVRIL25!M14+MVTMAI25!M14+MVTJUIN25!M14+MVTJUIL25!M14+MVTAOUT25!M14+MVTSEPT25!M14+MVTOCT25!M14+MVTNOV25!M14+MVTDEC25!M14</f>
        <v>12000</v>
      </c>
      <c r="N14" s="36">
        <f>MVTJANV25!N14+MVTFEV25!N14+MVTMARS25!N14+MVTAVRIL25!N14+MVTMAI25!N14+MVTJUIN25!N14+MVTJUIL25!N14+MVTAOUT25!N14+MVTSEPT25!N14+MVTOCT25!N14+MVTNOV25!N14+MVTDEC25!N14</f>
        <v>12000</v>
      </c>
      <c r="O14" s="36">
        <f>MVTJANV25!O14+MVTFEV25!O14+MVTMARS25!O14+MVTAVRIL25!O14+MVTMAI25!O14+MVTJUIN25!O14+MVTJUIL25!O14+MVTAOUT25!O14+MVTSEPT25!O14+MVTOCT25!O14+MVTNOV25!O14+MVTDEC25!O14</f>
        <v>48000</v>
      </c>
      <c r="P14" s="36">
        <f>MVTJANV25!P14+MVTFEV25!P14+MVTMARS25!P14+MVTAVRIL25!P14+MVTMAI25!P14+MVTJUIN25!P14+MVTJUIL25!P14+MVTAOUT25!P14+MVTSEPT25!P14+MVTOCT25!P14+MVTNOV25!P14+MVTDEC25!P14</f>
        <v>3000</v>
      </c>
      <c r="Q14" s="36">
        <f>MVTJANV25!Q14+MVTFEV25!Q14+MVTMARS25!Q14+MVTAVRIL25!Q14+MVTMAI25!Q14+MVTJUIN25!Q14+MVTJUIL25!Q14+MVTAOUT25!Q14+MVTSEPT25!Q14+MVTOCT25!Q14+MVTNOV25!Q14+MVTDEC25!Q14</f>
        <v>0</v>
      </c>
      <c r="R14" s="36">
        <f>MVTJANV25!R14+MVTFEV25!R14+MVTMARS25!R14+MVTAVRIL25!R14+MVTMAI25!R14+MVTJUIN25!R14+MVTJUIL25!R14+MVTAOUT25!R14+MVTSEPT25!R14+MVTOCT25!R14+MVTNOV25!R14+MVTDEC25!R14</f>
        <v>0</v>
      </c>
      <c r="S14" s="36">
        <f>MVTJANV25!S14+MVTFEV25!S14+MVTMARS25!S14+MVTAVRIL25!S14+MVTMAI25!S14+MVTJUIN25!S14+MVTJUIL25!S14+MVTAOUT25!S14+MVTSEPT25!S14+MVTOCT25!S14+MVTNOV25!S14+MVTDEC25!S14</f>
        <v>0</v>
      </c>
      <c r="T14" s="36">
        <f>MVTDEC24!T14+MVTJANV25!T14+MVTFEV25!T14+MVTMARS25!T14+MVTAVRIL25!T14+MVTMAI25!T14+MVTJUIN25!T14+MVTJUIL25!T14+MVTAOUT25!T14+MVTSEPT25!T14+MVTOCT25!T14+MVTNOV25!T14</f>
        <v>0</v>
      </c>
      <c r="U14" s="36">
        <f>MVTJANV25!U14+MVTFEV25!U14+MVTMARS25!U14+MVTAVRIL25!U14+MVTMAI25!U14+MVTJUIN25!U14+MVTJUIL25!U14+MVTAOUT25!U14+MVTSEPT25!U14+MVTOCT25!U14+MVTNOV25!U14+MVTDEC25!U14</f>
        <v>0</v>
      </c>
      <c r="V14" s="36">
        <f>MVTJANV25!V14+MVTFEV25!V14+MVTMARS25!V14+MVTAVRIL25!V14+MVTMAI25!V14+MVTJUIN25!V14+MVTJUIL25!V14+MVTAOUT25!V14+MVTSEPT25!V14+MVTOCT25!V14+MVTNOV25!V14+MVTDEC25!V14</f>
        <v>0</v>
      </c>
      <c r="W14" s="36">
        <f t="shared" si="1"/>
        <v>0</v>
      </c>
      <c r="X14" s="36"/>
      <c r="Y14" s="36">
        <f>MVTJANV25!Y14+MVTFEV25!Y14+MVTMARS25!Y14+MVTAVRIL25!Y14+MVTMAI25!Y14+MVTJUIN25!Y14+MVTJUIL25!Y14+MVTAOUT25!Y14+MVTSEPT25!Y14+MVTOCT25!Y14+MVTNOV25!Y14+MVTDEC25!Y14</f>
        <v>0</v>
      </c>
      <c r="Z14" s="36">
        <f>MVTJANV25!Z14+MVTFEV25!Z14+MVTMARS25!Z14+MVTAVRIL25!Z14+MVTMAI25!Z14+MVTJUIN25!Z14+MVTJUIL25!Z14+MVTAOUT25!Z14+MVTSEPT25!Z14+MVTOCT25!Z14+MVTNOV25!Z14+MVTDEC25!Z14</f>
        <v>0</v>
      </c>
      <c r="AA14" s="36">
        <f>MVTJANV25!AA14+MVTFEV25!AA14+MVTMARS25!AA14+MVTAVRIL25!AA14+MVTMAI25!AA14+MVTJUIN25!AA14+MVTJUIL25!AA14+MVTAOUT25!AA14+MVTSEPT25!AA14+MVTOCT25!AA14+MVTNOV25!AA14+MVTDEC25!AA14</f>
        <v>0</v>
      </c>
      <c r="AB14" s="36">
        <f>MVTJANV25!AB14+MVTFEV25!AB14+MVTMARS25!AB14+MVTAVRIL25!AB14+MVTMAI25!AB14+MVTJUIN25!AB14+MVTJUIL25!AB14+MVTAOUT25!AB14+MVTSEPT25!AB14+MVTOCT25!AB14+MVTNOV25!AB14+MVTDEC25!AB14</f>
        <v>0</v>
      </c>
      <c r="AC14" s="36">
        <f>MVTJANV25!AC14+MVTFEV25!AC14+MVTMARS25!AC14+MVTAVRIL25!AC14+MVTMAI25!AC14+MVTJUIN25!AC14+MVTJUIL25!AC14+MVTAOUT25!AC14+MVTSEPT25!AC14+MVTOCT25!AC14+MVTNOV25!AC14+MVTDEC25!AC14</f>
        <v>0</v>
      </c>
      <c r="AD14" s="36">
        <f>MVTJANV25!AD14+MVTFEV25!AD14+MVTMARS25!AD14+MVTAVRIL25!AD14+MVTMAI25!AD14+MVTJUIN25!AD14+MVTJUIL25!AD14+MVTAOUT25!AD14+MVTSEPT25!AD14+MVTOCT25!AD14+MVTNOV25!AD14+MVTDEC25!AD14</f>
        <v>0</v>
      </c>
      <c r="AE14" s="36">
        <f>MVTJANV25!AE14+MVTFEV25!AE14+MVTMARS25!AE14+MVTAVRIL25!AE14+MVTMAI25!AE14+MVTJUIN25!AE14+MVTJUIL25!AE14+MVTAOUT25!AE14+MVTSEPT25!AE14+MVTOCT25!AE14+MVTNOV25!AE14+MVTDEC25!AE14</f>
        <v>0</v>
      </c>
      <c r="AF14" s="36">
        <f>MVTJANV25!AF14+MVTFEV25!AF14+MVTMARS25!AF14+MVTAVRIL25!AF14+MVTMAI25!AF14+MVTJUIN25!AF14+MVTJUIL25!AF14+MVTAOUT25!AF14+MVTSEPT25!AF14+MVTOCT25!AF14+MVTNOV25!AF14+MVTDEC25!AF14</f>
        <v>0</v>
      </c>
      <c r="AG14" s="36">
        <f>MVTJANV25!AG14+MVTFEV25!AG14+MVTMARS25!AG14+MVTAVRIL25!AG14+MVTMAI25!AG14+MVTJUIN25!AG14+MVTJUIL25!AG14+MVTAOUT25!AG14+MVTSEPT25!AG14+MVTOCT25!AG14+MVTNOV25!AG14+MVTDEC25!AG14</f>
        <v>0</v>
      </c>
      <c r="AH14" s="36">
        <f>MVTJANV25!AH14+MVTFEV25!AH14+MVTMARS25!AH14+MVTAVRIL25!AH14+MVTMAI25!AH14+MVTJUIN25!AH14+MVTJUIL25!AH14+MVTAOUT25!AH14+MVTSEPT25!AH14+MVTOCT25!AH14+MVTNOV25!AH14+MVTDEC25!AH14</f>
        <v>0</v>
      </c>
      <c r="AI14" s="36">
        <f>MVTJANV25!AI14+MVTFEV25!AI14+MVTMARS25!AI14+MVTAVRIL25!AI14+MVTMAI25!AI14+MVTJUIN25!AI14+MVTJUIL25!AI14+MVTAOUT25!AI14+MVTSEPT25!AI14+MVTOCT25!AI14+MVTNOV25!AI14+MVTDEC25!AI14</f>
        <v>100000</v>
      </c>
      <c r="AJ14" s="36">
        <f>MVTJANV25!AJ14+MVTFEV25!AJ14+MVTMARS25!AJ14+MVTAVRIL25!AJ14+MVTMAI25!AJ14+MVTJUIN25!AJ14+MVTJUIL25!AJ14+MVTAOUT25!AJ14+MVTSEPT25!AJ14+MVTOCT25!AJ14+MVTNOV25!AJ14+MVTDEC25!AJ14</f>
        <v>0</v>
      </c>
      <c r="AK14" s="36">
        <f>MVTJANV25!AK14+MVTFEV25!AK14+MVTMARS25!AK14+MVTAVRIL25!AK14+MVTMAI25!AK14+MVTJUIN25!AK14+MVTJUIL25!AK14+MVTAOUT25!AK14+MVTSEPT25!AK14+MVTOCT25!AK14+MVTNOV25!AK14+MVTDEC25!AK14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>
        <f>+MVTDEC24!C15</f>
        <v>0</v>
      </c>
      <c r="D15" s="36">
        <f>+MVTDEC24!D15</f>
        <v>0</v>
      </c>
      <c r="E15" s="36">
        <f>MVTJANV25!E15+MVTFEV25!E15+MVTMARS25!E15+MVTAVRIL25!E15+MVTMAI25!E15+MVTJUIN25!E15+MVTJUIL25!E15+MVTAOUT25!E15+MVTSEPT25!E15+MVTOCT25!E15+MVTNOV25!E15+MVTDEC25!E15</f>
        <v>0</v>
      </c>
      <c r="F15" s="36">
        <f>MVTJANV25!F15+MVTFEV25!F15+MVTMARS25!F15+MVTAVRIL25!F15+MVTMAI25!F15+MVTJUIN25!F15+MVTJUIL25!F15+MVTAOUT25!F15+MVTSEPT25!F15+MVTOCT25!F15+MVTNOV25!F15+MVTDEC25!F15</f>
        <v>7868253.9909234187</v>
      </c>
      <c r="G15" s="5">
        <f>MVTJANV25!G15+MVTFEV25!G15+MVTMARS25!G15+MVTAVRIL25!G15+MVTMAI25!G15+MVTJUIN25!G15+MVTJUIL25!G15+MVTAOUT25!G15+MVTSEPT25!G15+MVTOCT25!G15+MVTNOV25!G15+MVTDEC25!G15</f>
        <v>1180000</v>
      </c>
      <c r="H15" s="36">
        <f>MVTDEC24!H15+MVTJANV25!H15+MVTFEV25!H15+MVTMARS25!H15+MVTAVRIL25!H15+MVTMAI25!H15+MVTJUIN25!H15+MVTJUIL25!H15+MVTAOUT25!H15+MVTSEPT25!H15+MVTOCT25!H15+MVTNOV25!H15</f>
        <v>5255.3358519438016</v>
      </c>
      <c r="I15" s="184">
        <f t="shared" si="0"/>
        <v>7873509.3267753627</v>
      </c>
      <c r="J15" s="36">
        <f>MVTJANV25!J15+MVTFEV25!J15+MVTMARS25!J15+MVTAVRIL25!J15+MVTMAI25!J15+MVTJUIN25!J15+MVTJUIL25!J15+MVTAOUT25!J15+MVTSEPT25!J15+MVTOCT25!J15+MVTNOV25!J15+MVTDEC25!J15</f>
        <v>0</v>
      </c>
      <c r="K15" s="36">
        <f>MVTJANV25!K15+MVTFEV25!K15+MVTMARS25!K15+MVTAVRIL25!K15+MVTMAI25!K15+MVTJUIN25!K15+MVTJUIL25!K15+MVTAOUT25!K15+MVTSEPT25!K15+MVTOCT25!K15+MVTNOV25!K15+MVTDEC25!K15</f>
        <v>1099000</v>
      </c>
      <c r="L15" s="36">
        <f>MVTJANV25!L15+MVTFEV25!L15+MVTMARS25!L15+MVTAVRIL25!L15+MVTMAI25!L15+MVTJUIN25!L15+MVTJUIL25!L15+MVTAOUT25!L15+MVTSEPT25!L15+MVTOCT25!L15+MVTNOV25!L15+MVTDEC25!L15</f>
        <v>1027000</v>
      </c>
      <c r="M15" s="36">
        <f>MVTJANV25!M15+MVTFEV25!M15+MVTMARS25!M15+MVTAVRIL25!M15+MVTMAI25!M15+MVTJUIN25!M15+MVTJUIL25!M15+MVTAOUT25!M15+MVTSEPT25!M15+MVTOCT25!M15+MVTNOV25!M15+MVTDEC25!M15</f>
        <v>12000</v>
      </c>
      <c r="N15" s="36">
        <f>MVTJANV25!N15+MVTFEV25!N15+MVTMARS25!N15+MVTAVRIL25!N15+MVTMAI25!N15+MVTJUIN25!N15+MVTJUIL25!N15+MVTAOUT25!N15+MVTSEPT25!N15+MVTOCT25!N15+MVTNOV25!N15+MVTDEC25!N15</f>
        <v>12000</v>
      </c>
      <c r="O15" s="36">
        <f>MVTJANV25!O15+MVTFEV25!O15+MVTMARS25!O15+MVTAVRIL25!O15+MVTMAI25!O15+MVTJUIN25!O15+MVTJUIL25!O15+MVTAOUT25!O15+MVTSEPT25!O15+MVTOCT25!O15+MVTNOV25!O15+MVTDEC25!O15</f>
        <v>48000</v>
      </c>
      <c r="P15" s="36">
        <f>MVTJANV25!P15+MVTFEV25!P15+MVTMARS25!P15+MVTAVRIL25!P15+MVTMAI25!P15+MVTJUIN25!P15+MVTJUIL25!P15+MVTAOUT25!P15+MVTSEPT25!P15+MVTOCT25!P15+MVTNOV25!P15+MVTDEC25!P15</f>
        <v>0</v>
      </c>
      <c r="Q15" s="36">
        <f>MVTJANV25!Q15+MVTFEV25!Q15+MVTMARS25!Q15+MVTAVRIL25!Q15+MVTMAI25!Q15+MVTJUIN25!Q15+MVTJUIL25!Q15+MVTAOUT25!Q15+MVTSEPT25!Q15+MVTOCT25!Q15+MVTNOV25!Q15+MVTDEC25!Q15</f>
        <v>25000</v>
      </c>
      <c r="R15" s="36">
        <f>MVTJANV25!R15+MVTFEV25!R15+MVTMARS25!R15+MVTAVRIL25!R15+MVTMAI25!R15+MVTJUIN25!R15+MVTJUIL25!R15+MVTAOUT25!R15+MVTSEPT25!R15+MVTOCT25!R15+MVTNOV25!R15+MVTDEC25!R15</f>
        <v>120000</v>
      </c>
      <c r="S15" s="36">
        <f>MVTJANV25!S15+MVTFEV25!S15+MVTMARS25!S15+MVTAVRIL25!S15+MVTMAI25!S15+MVTJUIN25!S15+MVTJUIL25!S15+MVTAOUT25!S15+MVTSEPT25!S15+MVTOCT25!S15+MVTNOV25!S15+MVTDEC25!S15</f>
        <v>0</v>
      </c>
      <c r="T15" s="36">
        <f>MVTDEC24!T15+MVTJANV25!T15+MVTFEV25!T15+MVTMARS25!T15+MVTAVRIL25!T15+MVTMAI25!T15+MVTJUIN25!T15+MVTJUIL25!T15+MVTAOUT25!T15+MVTSEPT25!T15+MVTOCT25!T15+MVTNOV25!T15</f>
        <v>0</v>
      </c>
      <c r="U15" s="36">
        <f>MVTJANV25!U15+MVTFEV25!U15+MVTMARS25!U15+MVTAVRIL25!U15+MVTMAI25!U15+MVTJUIN25!U15+MVTJUIL25!U15+MVTAOUT25!U15+MVTSEPT25!U15+MVTOCT25!U15+MVTNOV25!U15+MVTDEC25!U15</f>
        <v>0</v>
      </c>
      <c r="V15" s="36">
        <f>MVTJANV25!V15+MVTFEV25!V15+MVTMARS25!V15+MVTAVRIL25!V15+MVTMAI25!V15+MVTJUIN25!V15+MVTJUIL25!V15+MVTAOUT25!V15+MVTSEPT25!V15+MVTOCT25!V15+MVTNOV25!V15+MVTDEC25!V15</f>
        <v>0</v>
      </c>
      <c r="W15" s="36">
        <f t="shared" si="1"/>
        <v>0</v>
      </c>
      <c r="X15" s="36"/>
      <c r="Y15" s="36">
        <f>MVTJANV25!Y15+MVTFEV25!Y15+MVTMARS25!Y15+MVTAVRIL25!Y15+MVTMAI25!Y15+MVTJUIN25!Y15+MVTJUIL25!Y15+MVTAOUT25!Y15+MVTSEPT25!Y15+MVTOCT25!Y15+MVTNOV25!Y15+MVTDEC25!Y15</f>
        <v>0</v>
      </c>
      <c r="Z15" s="36">
        <f>MVTJANV25!Z15+MVTFEV25!Z15+MVTMARS25!Z15+MVTAVRIL25!Z15+MVTMAI25!Z15+MVTJUIN25!Z15+MVTJUIL25!Z15+MVTAOUT25!Z15+MVTSEPT25!Z15+MVTOCT25!Z15+MVTNOV25!Z15+MVTDEC25!Z15</f>
        <v>0</v>
      </c>
      <c r="AA15" s="36">
        <f>MVTJANV25!AA15+MVTFEV25!AA15+MVTMARS25!AA15+MVTAVRIL25!AA15+MVTMAI25!AA15+MVTJUIN25!AA15+MVTJUIL25!AA15+MVTAOUT25!AA15+MVTSEPT25!AA15+MVTOCT25!AA15+MVTNOV25!AA15+MVTDEC25!AA15</f>
        <v>0</v>
      </c>
      <c r="AB15" s="36">
        <f>MVTJANV25!AB15+MVTFEV25!AB15+MVTMARS25!AB15+MVTAVRIL25!AB15+MVTMAI25!AB15+MVTJUIN25!AB15+MVTJUIL25!AB15+MVTAOUT25!AB15+MVTSEPT25!AB15+MVTOCT25!AB15+MVTNOV25!AB15+MVTDEC25!AB15</f>
        <v>0</v>
      </c>
      <c r="AC15" s="36">
        <f>MVTJANV25!AC15+MVTFEV25!AC15+MVTMARS25!AC15+MVTAVRIL25!AC15+MVTMAI25!AC15+MVTJUIN25!AC15+MVTJUIL25!AC15+MVTAOUT25!AC15+MVTSEPT25!AC15+MVTOCT25!AC15+MVTNOV25!AC15+MVTDEC25!AC15</f>
        <v>0</v>
      </c>
      <c r="AD15" s="36">
        <f>MVTJANV25!AD15+MVTFEV25!AD15+MVTMARS25!AD15+MVTAVRIL25!AD15+MVTMAI25!AD15+MVTJUIN25!AD15+MVTJUIL25!AD15+MVTAOUT25!AD15+MVTSEPT25!AD15+MVTOCT25!AD15+MVTNOV25!AD15+MVTDEC25!AD15</f>
        <v>0</v>
      </c>
      <c r="AE15" s="36">
        <f>MVTJANV25!AE15+MVTFEV25!AE15+MVTMARS25!AE15+MVTAVRIL25!AE15+MVTMAI25!AE15+MVTJUIN25!AE15+MVTJUIL25!AE15+MVTAOUT25!AE15+MVTSEPT25!AE15+MVTOCT25!AE15+MVTNOV25!AE15+MVTDEC25!AE15</f>
        <v>175000</v>
      </c>
      <c r="AF15" s="36">
        <f>MVTJANV25!AF15+MVTFEV25!AF15+MVTMARS25!AF15+MVTAVRIL25!AF15+MVTMAI25!AF15+MVTJUIN25!AF15+MVTJUIL25!AF15+MVTAOUT25!AF15+MVTSEPT25!AF15+MVTOCT25!AF15+MVTNOV25!AF15+MVTDEC25!AF15</f>
        <v>0</v>
      </c>
      <c r="AG15" s="36">
        <f>MVTJANV25!AG15+MVTFEV25!AG15+MVTMARS25!AG15+MVTAVRIL25!AG15+MVTMAI25!AG15+MVTJUIN25!AG15+MVTJUIL25!AG15+MVTAOUT25!AG15+MVTSEPT25!AG15+MVTOCT25!AG15+MVTNOV25!AG15+MVTDEC25!AG15</f>
        <v>0</v>
      </c>
      <c r="AH15" s="36">
        <f>MVTJANV25!AH15+MVTFEV25!AH15+MVTMARS25!AH15+MVTAVRIL25!AH15+MVTMAI25!AH15+MVTJUIN25!AH15+MVTJUIL25!AH15+MVTAOUT25!AH15+MVTSEPT25!AH15+MVTOCT25!AH15+MVTNOV25!AH15+MVTDEC25!AH15</f>
        <v>0</v>
      </c>
      <c r="AI15" s="36">
        <f>MVTJANV25!AI15+MVTFEV25!AI15+MVTMARS25!AI15+MVTAVRIL25!AI15+MVTMAI25!AI15+MVTJUIN25!AI15+MVTJUIL25!AI15+MVTAOUT25!AI15+MVTSEPT25!AI15+MVTOCT25!AI15+MVTNOV25!AI15+MVTDEC25!AI15</f>
        <v>0</v>
      </c>
      <c r="AJ15" s="36">
        <f>MVTJANV25!AJ15+MVTFEV25!AJ15+MVTMARS25!AJ15+MVTAVRIL25!AJ15+MVTMAI25!AJ15+MVTJUIN25!AJ15+MVTJUIL25!AJ15+MVTAOUT25!AJ15+MVTSEPT25!AJ15+MVTOCT25!AJ15+MVTNOV25!AJ15+MVTDEC25!AJ15</f>
        <v>0</v>
      </c>
      <c r="AK15" s="36">
        <f>MVTJANV25!AK15+MVTFEV25!AK15+MVTMARS25!AK15+MVTAVRIL25!AK15+MVTMAI25!AK15+MVTJUIN25!AK15+MVTJUIL25!AK15+MVTAOUT25!AK15+MVTSEPT25!AK15+MVTOCT25!AK15+MVTNOV25!AK15+MVTDEC25!AK15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>
        <f>+MVTDEC24!C16</f>
        <v>800000</v>
      </c>
      <c r="D16" s="36">
        <f>+MVTDEC24!D16</f>
        <v>7143</v>
      </c>
      <c r="E16" s="36">
        <f>MVTJANV25!E16+MVTFEV25!E16+MVTMARS25!E16+MVTAVRIL25!E16+MVTMAI25!E16+MVTJUIN25!E16+MVTJUIL25!E16+MVTAOUT25!E16+MVTSEPT25!E16+MVTOCT25!E16+MVTNOV25!E16+MVTDEC25!E16</f>
        <v>0</v>
      </c>
      <c r="F16" s="36">
        <f>MVTJANV25!F16+MVTFEV25!F16+MVTMARS25!F16+MVTAVRIL25!F16+MVTMAI25!F16+MVTJUIN25!F16+MVTJUIL25!F16+MVTAOUT25!F16+MVTSEPT25!F16+MVTOCT25!F16+MVTNOV25!F16+MVTDEC25!F16</f>
        <v>11848215.045892213</v>
      </c>
      <c r="G16" s="5">
        <f>MVTJANV25!G16+MVTFEV25!G16+MVTMARS25!G16+MVTAVRIL25!G16+MVTMAI25!G16+MVTJUIN25!G16+MVTJUIL25!G16+MVTAOUT25!G16+MVTSEPT25!G16+MVTOCT25!G16+MVTNOV25!G16+MVTDEC25!G16</f>
        <v>11403251.502973285</v>
      </c>
      <c r="H16" s="36">
        <f>MVTDEC24!H16+MVTJANV25!H16+MVTFEV25!H16+MVTMARS25!H16+MVTAVRIL25!H16+MVTMAI25!H16+MVTJUIN25!H16+MVTJUIL25!H16+MVTAOUT25!H16+MVTSEPT25!H16+MVTOCT25!H16+MVTNOV25!H16</f>
        <v>68007.586920388829</v>
      </c>
      <c r="I16" s="184">
        <f t="shared" si="0"/>
        <v>11916222.632812601</v>
      </c>
      <c r="J16" s="36">
        <f>MVTJANV25!J16+MVTFEV25!J16+MVTMARS25!J16+MVTAVRIL25!J16+MVTMAI25!J16+MVTJUIN25!J16+MVTJUIL25!J16+MVTAOUT25!J16+MVTSEPT25!J16+MVTOCT25!J16+MVTNOV25!J16+MVTDEC25!J16</f>
        <v>0</v>
      </c>
      <c r="K16" s="36">
        <f>MVTJANV25!K16+MVTFEV25!K16+MVTMARS25!K16+MVTAVRIL25!K16+MVTMAI25!K16+MVTJUIN25!K16+MVTJUIL25!K16+MVTAOUT25!K16+MVTSEPT25!K16+MVTOCT25!K16+MVTNOV25!K16+MVTDEC25!K16</f>
        <v>295000</v>
      </c>
      <c r="L16" s="36">
        <f>MVTJANV25!L16+MVTFEV25!L16+MVTMARS25!L16+MVTAVRIL25!L16+MVTMAI25!L16+MVTJUIN25!L16+MVTJUIL25!L16+MVTAOUT25!L16+MVTSEPT25!L16+MVTOCT25!L16+MVTNOV25!L16+MVTDEC25!L16</f>
        <v>249000</v>
      </c>
      <c r="M16" s="36">
        <f>MVTJANV25!M16+MVTFEV25!M16+MVTMARS25!M16+MVTAVRIL25!M16+MVTMAI25!M16+MVTJUIN25!M16+MVTJUIL25!M16+MVTAOUT25!M16+MVTSEPT25!M16+MVTOCT25!M16+MVTNOV25!M16+MVTDEC25!M16</f>
        <v>12000</v>
      </c>
      <c r="N16" s="36">
        <f>MVTJANV25!N16+MVTFEV25!N16+MVTMARS25!N16+MVTAVRIL25!N16+MVTMAI25!N16+MVTJUIN25!N16+MVTJUIL25!N16+MVTAOUT25!N16+MVTSEPT25!N16+MVTOCT25!N16+MVTNOV25!N16+MVTDEC25!N16</f>
        <v>12000</v>
      </c>
      <c r="O16" s="36">
        <f>MVTJANV25!O16+MVTFEV25!O16+MVTMARS25!O16+MVTAVRIL25!O16+MVTMAI25!O16+MVTJUIN25!O16+MVTJUIL25!O16+MVTAOUT25!O16+MVTSEPT25!O16+MVTOCT25!O16+MVTNOV25!O16+MVTDEC25!O16</f>
        <v>48000</v>
      </c>
      <c r="P16" s="36">
        <f>MVTJANV25!P16+MVTFEV25!P16+MVTMARS25!P16+MVTAVRIL25!P16+MVTMAI25!P16+MVTJUIN25!P16+MVTJUIL25!P16+MVTAOUT25!P16+MVTSEPT25!P16+MVTOCT25!P16+MVTNOV25!P16+MVTDEC25!P16</f>
        <v>0</v>
      </c>
      <c r="Q16" s="36">
        <f>MVTJANV25!Q16+MVTFEV25!Q16+MVTMARS25!Q16+MVTAVRIL25!Q16+MVTMAI25!Q16+MVTJUIN25!Q16+MVTJUIL25!Q16+MVTAOUT25!Q16+MVTSEPT25!Q16+MVTOCT25!Q16+MVTNOV25!Q16+MVTDEC25!Q16</f>
        <v>0</v>
      </c>
      <c r="R16" s="36">
        <f>MVTJANV25!R16+MVTFEV25!R16+MVTMARS25!R16+MVTAVRIL25!R16+MVTMAI25!R16+MVTJUIN25!R16+MVTJUIL25!R16+MVTAOUT25!R16+MVTSEPT25!R16+MVTOCT25!R16+MVTNOV25!R16+MVTDEC25!R16</f>
        <v>0</v>
      </c>
      <c r="S16" s="36">
        <f>MVTJANV25!S16+MVTFEV25!S16+MVTMARS25!S16+MVTAVRIL25!S16+MVTMAI25!S16+MVTJUIN25!S16+MVTJUIL25!S16+MVTAOUT25!S16+MVTSEPT25!S16+MVTOCT25!S16+MVTNOV25!S16+MVTDEC25!S16</f>
        <v>0</v>
      </c>
      <c r="T16" s="36">
        <f>MVTDEC24!T16+MVTJANV25!T16+MVTFEV25!T16+MVTMARS25!T16+MVTAVRIL25!T16+MVTMAI25!T16+MVTJUIN25!T16+MVTJUIL25!T16+MVTAOUT25!T16+MVTSEPT25!T16+MVTOCT25!T16+MVTNOV25!T16</f>
        <v>155000</v>
      </c>
      <c r="U16" s="36">
        <f>MVTJANV25!U16+MVTFEV25!U16+MVTMARS25!U16+MVTAVRIL25!U16+MVTMAI25!U16+MVTJUIN25!U16+MVTJUIL25!U16+MVTAOUT25!U16+MVTSEPT25!U16+MVTOCT25!U16+MVTNOV25!U16+MVTDEC25!U16</f>
        <v>0</v>
      </c>
      <c r="V16" s="36">
        <f>MVTJANV25!V16+MVTFEV25!V16+MVTMARS25!V16+MVTAVRIL25!V16+MVTMAI25!V16+MVTJUIN25!V16+MVTJUIL25!V16+MVTAOUT25!V16+MVTSEPT25!V16+MVTOCT25!V16+MVTNOV25!V16+MVTDEC25!V16</f>
        <v>1050000</v>
      </c>
      <c r="W16" s="36">
        <f>S16-V16+1050000</f>
        <v>0</v>
      </c>
      <c r="X16" s="36"/>
      <c r="Y16" s="36">
        <f>MVTJANV25!Y16+MVTFEV25!Y16+MVTMARS25!Y16+MVTAVRIL25!Y16+MVTMAI25!Y16+MVTJUIN25!Y16+MVTJUIL25!Y16+MVTAOUT25!Y16+MVTSEPT25!Y16+MVTOCT25!Y16+MVTNOV25!Y16+MVTDEC25!Y16</f>
        <v>0</v>
      </c>
      <c r="Z16" s="36">
        <f>MVTJANV25!Z16+MVTFEV25!Z16+MVTMARS25!Z16+MVTAVRIL25!Z16+MVTMAI25!Z16+MVTJUIN25!Z16+MVTJUIL25!Z16+MVTAOUT25!Z16+MVTSEPT25!Z16+MVTOCT25!Z16+MVTNOV25!Z16+MVTDEC25!Z16</f>
        <v>150000</v>
      </c>
      <c r="AA16" s="36">
        <f>MVTJANV25!AA16+MVTFEV25!AA16+MVTMARS25!AA16+MVTAVRIL25!AA16+MVTMAI25!AA16+MVTJUIN25!AA16+MVTJUIL25!AA16+MVTAOUT25!AA16+MVTSEPT25!AA16+MVTOCT25!AA16+MVTNOV25!AA16+MVTDEC25!AA16</f>
        <v>0</v>
      </c>
      <c r="AB16" s="36">
        <f>MVTJANV25!AB16+MVTFEV25!AB16+MVTMARS25!AB16+MVTAVRIL25!AB16+MVTMAI25!AB16+MVTJUIN25!AB16+MVTJUIL25!AB16+MVTAOUT25!AB16+MVTSEPT25!AB16+MVTOCT25!AB16+MVTNOV25!AB16+MVTDEC25!AB16</f>
        <v>0</v>
      </c>
      <c r="AC16" s="36">
        <f>MVTJANV25!AC16+MVTFEV25!AC16+MVTMARS25!AC16+MVTAVRIL25!AC16+MVTMAI25!AC16+MVTJUIN25!AC16+MVTJUIL25!AC16+MVTAOUT25!AC16+MVTSEPT25!AC16+MVTOCT25!AC16+MVTNOV25!AC16+MVTDEC25!AC16</f>
        <v>0</v>
      </c>
      <c r="AD16" s="36">
        <f>MVTJANV25!AD16+MVTFEV25!AD16+MVTMARS25!AD16+MVTAVRIL25!AD16+MVTMAI25!AD16+MVTJUIN25!AD16+MVTJUIL25!AD16+MVTAOUT25!AD16+MVTSEPT25!AD16+MVTOCT25!AD16+MVTNOV25!AD16+MVTDEC25!AD16</f>
        <v>0</v>
      </c>
      <c r="AE16" s="36">
        <f>MVTJANV25!AE16+MVTFEV25!AE16+MVTMARS25!AE16+MVTAVRIL25!AE16+MVTMAI25!AE16+MVTJUIN25!AE16+MVTJUIL25!AE16+MVTAOUT25!AE16+MVTSEPT25!AE16+MVTOCT25!AE16+MVTNOV25!AE16+MVTDEC25!AE16</f>
        <v>0</v>
      </c>
      <c r="AF16" s="36">
        <f>MVTJANV25!AF16+MVTFEV25!AF16+MVTMARS25!AF16+MVTAVRIL25!AF16+MVTMAI25!AF16+MVTJUIN25!AF16+MVTJUIL25!AF16+MVTAOUT25!AF16+MVTSEPT25!AF16+MVTOCT25!AF16+MVTNOV25!AF16+MVTDEC25!AF16</f>
        <v>0</v>
      </c>
      <c r="AG16" s="36">
        <f>MVTJANV25!AG16+MVTFEV25!AG16+MVTMARS25!AG16+MVTAVRIL25!AG16+MVTMAI25!AG16+MVTJUIN25!AG16+MVTJUIL25!AG16+MVTAOUT25!AG16+MVTSEPT25!AG16+MVTOCT25!AG16+MVTNOV25!AG16+MVTDEC25!AG16</f>
        <v>0</v>
      </c>
      <c r="AH16" s="36">
        <f>MVTJANV25!AH16+MVTFEV25!AH16+MVTMARS25!AH16+MVTAVRIL25!AH16+MVTMAI25!AH16+MVTJUIN25!AH16+MVTJUIL25!AH16+MVTAOUT25!AH16+MVTSEPT25!AH16+MVTOCT25!AH16+MVTNOV25!AH16+MVTDEC25!AH16</f>
        <v>0</v>
      </c>
      <c r="AI16" s="36">
        <f>MVTJANV25!AI16+MVTFEV25!AI16+MVTMARS25!AI16+MVTAVRIL25!AI16+MVTMAI25!AI16+MVTJUIN25!AI16+MVTJUIL25!AI16+MVTAOUT25!AI16+MVTSEPT25!AI16+MVTOCT25!AI16+MVTNOV25!AI16+MVTDEC25!AI16</f>
        <v>100000</v>
      </c>
      <c r="AJ16" s="36">
        <f>MVTJANV25!AJ16+MVTFEV25!AJ16+MVTMARS25!AJ16+MVTAVRIL25!AJ16+MVTMAI25!AJ16+MVTJUIN25!AJ16+MVTJUIL25!AJ16+MVTAOUT25!AJ16+MVTSEPT25!AJ16+MVTOCT25!AJ16+MVTNOV25!AJ16+MVTDEC25!AJ16</f>
        <v>150000</v>
      </c>
      <c r="AK16" s="36">
        <f>MVTJANV25!AK16+MVTFEV25!AK16+MVTMARS25!AK16+MVTAVRIL25!AK16+MVTMAI25!AK16+MVTJUIN25!AK16+MVTJUIL25!AK16+MVTAOUT25!AK16+MVTSEPT25!AK16+MVTOCT25!AK16+MVTNOV25!AK16+MVTDEC25!AK16</f>
        <v>0</v>
      </c>
    </row>
    <row r="17" spans="1:39" s="14" customFormat="1" x14ac:dyDescent="0.35">
      <c r="A17" s="12" t="s">
        <v>29</v>
      </c>
      <c r="B17" s="12" t="str">
        <f>VLOOKUP(A17,[24]LISTADHERENT!A$5:H$60,3,0)</f>
        <v>HOTCHO BENJAMIN</v>
      </c>
      <c r="C17" s="13">
        <f>+MVTDEC24!C17</f>
        <v>800000</v>
      </c>
      <c r="D17" s="36">
        <f>+MVTDEC24!D17</f>
        <v>6301</v>
      </c>
      <c r="E17" s="13">
        <f>MVTJANV25!E17+MVTFEV25!E17+MVTMARS25!E17+MVTAVRIL25!E17+MVTMAI25!E17+MVTJUIN25!E17+MVTJUIL25!E17+MVTAOUT25!E17+MVTSEPT25!E17+MVTOCT25!E17+MVTNOV25!E17+MVTDEC25!E17</f>
        <v>0</v>
      </c>
      <c r="F17" s="36">
        <f>MVTJANV25!F17+MVTFEV25!F17+MVTMARS25!F17+MVTAVRIL25!F17+MVTMAI25!F17+MVTJUIN25!F17+MVTJUIL25!F17+MVTAOUT25!F17+MVTSEPT25!F17+MVTOCT25!F17+MVTNOV25!F17+MVTDEC25!F17</f>
        <v>13889324.310177729</v>
      </c>
      <c r="G17" s="5">
        <f>MVTJANV25!G17+MVTFEV25!G17+MVTMARS25!G17+MVTAVRIL25!G17+MVTMAI25!G17+MVTJUIN25!G17+MVTJUIL25!G17+MVTAOUT25!G17+MVTSEPT25!G17+MVTOCT25!G17+MVTNOV25!G17+MVTDEC25!G17</f>
        <v>12941250.841868794</v>
      </c>
      <c r="H17" s="36">
        <f>MVTDEC24!H17+MVTJANV25!H17+MVTFEV25!H17+MVTMARS25!H17+MVTAVRIL25!H17+MVTMAI25!H17+MVTJUIN25!H17+MVTJUIL25!H17+MVTAOUT25!H17+MVTSEPT25!H17+MVTOCT25!H17+MVTNOV25!H17</f>
        <v>71729.525733071583</v>
      </c>
      <c r="I17" s="187">
        <f t="shared" si="0"/>
        <v>13961053.835910801</v>
      </c>
      <c r="J17" s="13">
        <f>MVTJANV25!J17+MVTFEV25!J17+MVTMARS25!J17+MVTAVRIL25!J17+MVTMAI25!J17+MVTJUIN25!J17+MVTJUIL25!J17+MVTAOUT25!J17+MVTSEPT25!J17+MVTOCT25!J17+MVTNOV25!J17+MVTDEC25!J17</f>
        <v>0</v>
      </c>
      <c r="K17" s="13">
        <f>MVTJANV25!K17+MVTFEV25!K17+MVTMARS25!K17+MVTAVRIL25!K17+MVTMAI25!K17+MVTJUIN25!K17+MVTJUIL25!K17+MVTAOUT25!K17+MVTSEPT25!K17+MVTOCT25!K17+MVTNOV25!K17+MVTDEC25!K17</f>
        <v>584500</v>
      </c>
      <c r="L17" s="36">
        <f>MVTJANV25!L17+MVTFEV25!L17+MVTMARS25!L17+MVTAVRIL25!L17+MVTMAI25!L17+MVTJUIN25!L17+MVTJUIL25!L17+MVTAOUT25!L17+MVTSEPT25!L17+MVTOCT25!L17+MVTNOV25!L17+MVTDEC25!L17</f>
        <v>512500</v>
      </c>
      <c r="M17" s="13">
        <f>MVTJANV25!M17+MVTFEV25!M17+MVTMARS25!M17+MVTAVRIL25!M17+MVTMAI25!M17+MVTJUIN25!M17+MVTJUIL25!M17+MVTAOUT25!M17+MVTSEPT25!M17+MVTOCT25!M17+MVTNOV25!M17+MVTDEC25!M17</f>
        <v>12000</v>
      </c>
      <c r="N17" s="13">
        <f>MVTJANV25!N17+MVTFEV25!N17+MVTMARS25!N17+MVTAVRIL25!N17+MVTMAI25!N17+MVTJUIN25!N17+MVTJUIL25!N17+MVTAOUT25!N17+MVTSEPT25!N17+MVTOCT25!N17+MVTNOV25!N17+MVTDEC25!N17</f>
        <v>12000</v>
      </c>
      <c r="O17" s="13">
        <f>MVTJANV25!O17+MVTFEV25!O17+MVTMARS25!O17+MVTAVRIL25!O17+MVTMAI25!O17+MVTJUIN25!O17+MVTJUIL25!O17+MVTAOUT25!O17+MVTSEPT25!O17+MVTOCT25!O17+MVTNOV25!O17+MVTDEC25!O17</f>
        <v>48000</v>
      </c>
      <c r="P17" s="13">
        <f>MVTJANV25!P17+MVTFEV25!P17+MVTMARS25!P17+MVTAVRIL25!P17+MVTMAI25!P17+MVTJUIN25!P17+MVTJUIL25!P17+MVTAOUT25!P17+MVTSEPT25!P17+MVTOCT25!P17+MVTNOV25!P17+MVTDEC25!P17</f>
        <v>0</v>
      </c>
      <c r="Q17" s="13">
        <f>MVTJANV25!Q17+MVTFEV25!Q17+MVTMARS25!Q17+MVTAVRIL25!Q17+MVTMAI25!Q17+MVTJUIN25!Q17+MVTJUIL25!Q17+MVTAOUT25!Q17+MVTSEPT25!Q17+MVTOCT25!Q17+MVTNOV25!Q17+MVTDEC25!Q17</f>
        <v>0</v>
      </c>
      <c r="R17" s="13">
        <f>MVTJANV25!R17+MVTFEV25!R17+MVTMARS25!R17+MVTAVRIL25!R17+MVTMAI25!R17+MVTJUIN25!R17+MVTJUIL25!R17+MVTAOUT25!R17+MVTSEPT25!R17+MVTOCT25!R17+MVTNOV25!R17+MVTDEC25!R17</f>
        <v>0</v>
      </c>
      <c r="S17" s="36">
        <f>MVTJANV25!S17+MVTFEV25!S17+MVTMARS25!S17+MVTAVRIL25!S17+MVTMAI25!S17+MVTJUIN25!S17+MVTJUIL25!S17+MVTAOUT25!S17+MVTSEPT25!S17+MVTOCT25!S17+MVTNOV25!S17+MVTDEC25!S17</f>
        <v>1700000</v>
      </c>
      <c r="T17" s="36">
        <f>MVTDEC24!T17+MVTJANV25!T17+MVTFEV25!T17+MVTMARS25!T17+MVTAVRIL25!T17+MVTMAI25!T17+MVTJUIN25!T17+MVTJUIL25!T17+MVTAOUT25!T17+MVTSEPT25!T17+MVTOCT25!T17+MVTNOV25!T17</f>
        <v>23000</v>
      </c>
      <c r="U17" s="13">
        <f>MVTJANV25!U17+MVTFEV25!U17+MVTMARS25!U17+MVTAVRIL25!U17+MVTMAI25!U17+MVTJUIN25!U17+MVTJUIL25!U17+MVTAOUT25!U17+MVTSEPT25!U17+MVTOCT25!U17+MVTNOV25!U17+MVTDEC25!U17</f>
        <v>0</v>
      </c>
      <c r="V17" s="13">
        <f>MVTJANV25!V17+MVTFEV25!V17+MVTMARS25!V17+MVTAVRIL25!V17+MVTMAI25!V17+MVTJUIN25!V17+MVTJUIL25!V17+MVTAOUT25!V17+MVTSEPT25!V17+MVTOCT25!V17+MVTNOV25!V17+MVTDEC25!V17</f>
        <v>1300000</v>
      </c>
      <c r="W17" s="13">
        <f t="shared" si="1"/>
        <v>400000</v>
      </c>
      <c r="X17" s="13"/>
      <c r="Y17" s="13">
        <f>MVTJANV25!Y17+MVTFEV25!Y17+MVTMARS25!Y17+MVTAVRIL25!Y17+MVTMAI25!Y17+MVTJUIN25!Y17+MVTJUIL25!Y17+MVTAOUT25!Y17+MVTSEPT25!Y17+MVTOCT25!Y17+MVTNOV25!Y17+MVTDEC25!Y17</f>
        <v>0</v>
      </c>
      <c r="Z17" s="13">
        <f>MVTJANV25!Z17+MVTFEV25!Z17+MVTMARS25!Z17+MVTAVRIL25!Z17+MVTMAI25!Z17+MVTJUIN25!Z17+MVTJUIL25!Z17+MVTAOUT25!Z17+MVTSEPT25!Z17+MVTOCT25!Z17+MVTNOV25!Z17+MVTDEC25!Z17</f>
        <v>0</v>
      </c>
      <c r="AA17" s="13">
        <f>MVTJANV25!AA17+MVTFEV25!AA17+MVTMARS25!AA17+MVTAVRIL25!AA17+MVTMAI25!AA17+MVTJUIN25!AA17+MVTJUIL25!AA17+MVTAOUT25!AA17+MVTSEPT25!AA17+MVTOCT25!AA17+MVTNOV25!AA17+MVTDEC25!AA17</f>
        <v>0</v>
      </c>
      <c r="AB17" s="13">
        <f>MVTJANV25!AB17+MVTFEV25!AB17+MVTMARS25!AB17+MVTAVRIL25!AB17+MVTMAI25!AB17+MVTJUIN25!AB17+MVTJUIL25!AB17+MVTAOUT25!AB17+MVTSEPT25!AB17+MVTOCT25!AB17+MVTNOV25!AB17+MVTDEC25!AB17</f>
        <v>0</v>
      </c>
      <c r="AC17" s="13">
        <f>MVTJANV25!AC17+MVTFEV25!AC17+MVTMARS25!AC17+MVTAVRIL25!AC17+MVTMAI25!AC17+MVTJUIN25!AC17+MVTJUIL25!AC17+MVTAOUT25!AC17+MVTSEPT25!AC17+MVTOCT25!AC17+MVTNOV25!AC17+MVTDEC25!AC17</f>
        <v>0</v>
      </c>
      <c r="AD17" s="13">
        <f>MVTJANV25!AD17+MVTFEV25!AD17+MVTMARS25!AD17+MVTAVRIL25!AD17+MVTMAI25!AD17+MVTJUIN25!AD17+MVTJUIL25!AD17+MVTAOUT25!AD17+MVTSEPT25!AD17+MVTOCT25!AD17+MVTNOV25!AD17+MVTDEC25!AD17</f>
        <v>0</v>
      </c>
      <c r="AE17" s="13">
        <f>MVTJANV25!AE17+MVTFEV25!AE17+MVTMARS25!AE17+MVTAVRIL25!AE17+MVTMAI25!AE17+MVTJUIN25!AE17+MVTJUIL25!AE17+MVTAOUT25!AE17+MVTSEPT25!AE17+MVTOCT25!AE17+MVTNOV25!AE17+MVTDEC25!AE17</f>
        <v>0</v>
      </c>
      <c r="AF17" s="13">
        <f>MVTJANV25!AF17+MVTFEV25!AF17+MVTMARS25!AF17+MVTAVRIL25!AF17+MVTMAI25!AF17+MVTJUIN25!AF17+MVTJUIL25!AF17+MVTAOUT25!AF17+MVTSEPT25!AF17+MVTOCT25!AF17+MVTNOV25!AF17+MVTDEC25!AF17</f>
        <v>0</v>
      </c>
      <c r="AG17" s="13">
        <f>MVTJANV25!AG17+MVTFEV25!AG17+MVTMARS25!AG17+MVTAVRIL25!AG17+MVTMAI25!AG17+MVTJUIN25!AG17+MVTJUIL25!AG17+MVTAOUT25!AG17+MVTSEPT25!AG17+MVTOCT25!AG17+MVTNOV25!AG17+MVTDEC25!AG17</f>
        <v>0</v>
      </c>
      <c r="AH17" s="13">
        <f>MVTJANV25!AH17+MVTFEV25!AH17+MVTMARS25!AH17+MVTAVRIL25!AH17+MVTMAI25!AH17+MVTJUIN25!AH17+MVTJUIL25!AH17+MVTAOUT25!AH17+MVTSEPT25!AH17+MVTOCT25!AH17+MVTNOV25!AH17+MVTDEC25!AH17</f>
        <v>0</v>
      </c>
      <c r="AI17" s="13">
        <f>MVTJANV25!AI17+MVTFEV25!AI17+MVTMARS25!AI17+MVTAVRIL25!AI17+MVTMAI25!AI17+MVTJUIN25!AI17+MVTJUIL25!AI17+MVTAOUT25!AI17+MVTSEPT25!AI17+MVTOCT25!AI17+MVTNOV25!AI17+MVTDEC25!AI17</f>
        <v>0</v>
      </c>
      <c r="AJ17" s="13">
        <f>MVTJANV25!AJ17+MVTFEV25!AJ17+MVTMARS25!AJ17+MVTAVRIL25!AJ17+MVTMAI25!AJ17+MVTJUIN25!AJ17+MVTJUIL25!AJ17+MVTAOUT25!AJ17+MVTSEPT25!AJ17+MVTOCT25!AJ17+MVTNOV25!AJ17+MVTDEC25!AJ17</f>
        <v>0</v>
      </c>
      <c r="AK17" s="13">
        <f>MVTJANV25!AK17+MVTFEV25!AK17+MVTMARS25!AK17+MVTAVRIL25!AK17+MVTMAI25!AK17+MVTJUIN25!AK17+MVTJUIL25!AK17+MVTAOUT25!AK17+MVTSEPT25!AK17+MVTOCT25!AK17+MVTNOV25!AK17+MVTDEC25!AK17</f>
        <v>0</v>
      </c>
      <c r="AM17" s="11"/>
    </row>
    <row r="18" spans="1:39" s="14" customFormat="1" x14ac:dyDescent="0.35">
      <c r="A18" s="12" t="s">
        <v>33</v>
      </c>
      <c r="B18" s="12" t="str">
        <f>VLOOKUP(A18,[24]LISTADHERENT!A$5:H$60,3,0)</f>
        <v>KOUAMOU MOISE</v>
      </c>
      <c r="C18" s="13">
        <f>+MVTDEC24!C18</f>
        <v>800000</v>
      </c>
      <c r="D18" s="36">
        <f>+MVTDEC24!D18</f>
        <v>6353</v>
      </c>
      <c r="E18" s="13">
        <f>MVTJANV25!E18+MVTFEV25!E18+MVTMARS25!E18+MVTAVRIL25!E18+MVTMAI25!E18+MVTJUIN25!E18+MVTJUIL25!E18+MVTAOUT25!E18+MVTSEPT25!E18+MVTOCT25!E18+MVTNOV25!E18+MVTDEC25!E18</f>
        <v>0</v>
      </c>
      <c r="F18" s="36">
        <f>MVTJANV25!F18+MVTFEV25!F18+MVTMARS25!F18+MVTAVRIL25!F18+MVTMAI25!F18+MVTJUIN25!F18+MVTJUIL25!F18+MVTAOUT25!F18+MVTSEPT25!F18+MVTOCT25!F18+MVTNOV25!F18+MVTDEC25!F18</f>
        <v>11851244.764737148</v>
      </c>
      <c r="G18" s="5">
        <f>MVTJANV25!G18+MVTFEV25!G18+MVTMARS25!G18+MVTAVRIL25!G18+MVTMAI25!G18+MVTJUIN25!G18+MVTJUIL25!G18+MVTAOUT25!G18+MVTSEPT25!G18+MVTOCT25!G18+MVTNOV25!G18+MVTDEC25!G18</f>
        <v>11409169.911845587</v>
      </c>
      <c r="H18" s="36">
        <f>MVTDEC24!H18+MVTJANV25!H18+MVTFEV25!H18+MVTMARS25!H18+MVTAVRIL25!H18+MVTMAI25!H18+MVTJUIN25!H18+MVTJUIL25!H18+MVTAOUT25!H18+MVTSEPT25!H18+MVTOCT25!H18+MVTNOV25!H18</f>
        <v>67985.947726602506</v>
      </c>
      <c r="I18" s="187">
        <f t="shared" si="0"/>
        <v>11919230.71246375</v>
      </c>
      <c r="J18" s="13">
        <f>MVTJANV25!J18+MVTFEV25!J18+MVTMARS25!J18+MVTAVRIL25!J18+MVTMAI25!J18+MVTJUIN25!J18+MVTJUIL25!J18+MVTAOUT25!J18+MVTSEPT25!J18+MVTOCT25!J18+MVTNOV25!J18+MVTDEC25!J18</f>
        <v>0</v>
      </c>
      <c r="K18" s="13">
        <f>MVTJANV25!K18+MVTFEV25!K18+MVTMARS25!K18+MVTAVRIL25!K18+MVTMAI25!K18+MVTJUIN25!K18+MVTJUIL25!K18+MVTAOUT25!K18+MVTSEPT25!K18+MVTOCT25!K18+MVTNOV25!K18+MVTDEC25!K18</f>
        <v>297000</v>
      </c>
      <c r="L18" s="36">
        <f>MVTJANV25!L18+MVTFEV25!L18+MVTMARS25!L18+MVTAVRIL25!L18+MVTMAI25!L18+MVTJUIN25!L18+MVTJUIL25!L18+MVTAOUT25!L18+MVTSEPT25!L18+MVTOCT25!L18+MVTNOV25!L18+MVTDEC25!L18</f>
        <v>225000</v>
      </c>
      <c r="M18" s="13">
        <f>MVTJANV25!M18+MVTFEV25!M18+MVTMARS25!M18+MVTAVRIL25!M18+MVTMAI25!M18+MVTJUIN25!M18+MVTJUIL25!M18+MVTAOUT25!M18+MVTSEPT25!M18+MVTOCT25!M18+MVTNOV25!M18+MVTDEC25!M18</f>
        <v>12000</v>
      </c>
      <c r="N18" s="13">
        <f>MVTJANV25!N18+MVTFEV25!N18+MVTMARS25!N18+MVTAVRIL25!N18+MVTMAI25!N18+MVTJUIN25!N18+MVTJUIL25!N18+MVTAOUT25!N18+MVTSEPT25!N18+MVTOCT25!N18+MVTNOV25!N18+MVTDEC25!N18</f>
        <v>12000</v>
      </c>
      <c r="O18" s="13">
        <f>MVTJANV25!O18+MVTFEV25!O18+MVTMARS25!O18+MVTAVRIL25!O18+MVTMAI25!O18+MVTJUIN25!O18+MVTJUIL25!O18+MVTAOUT25!O18+MVTSEPT25!O18+MVTOCT25!O18+MVTNOV25!O18+MVTDEC25!O18</f>
        <v>48000</v>
      </c>
      <c r="P18" s="13">
        <f>MVTJANV25!P18+MVTFEV25!P18+MVTMARS25!P18+MVTAVRIL25!P18+MVTMAI25!P18+MVTJUIN25!P18+MVTJUIL25!P18+MVTAOUT25!P18+MVTSEPT25!P18+MVTOCT25!P18+MVTNOV25!P18+MVTDEC25!P18</f>
        <v>3000</v>
      </c>
      <c r="Q18" s="13">
        <f>MVTJANV25!Q18+MVTFEV25!Q18+MVTMARS25!Q18+MVTAVRIL25!Q18+MVTMAI25!Q18+MVTJUIN25!Q18+MVTJUIL25!Q18+MVTAOUT25!Q18+MVTSEPT25!Q18+MVTOCT25!Q18+MVTNOV25!Q18+MVTDEC25!Q18</f>
        <v>0</v>
      </c>
      <c r="R18" s="13">
        <f>MVTJANV25!R18+MVTFEV25!R18+MVTMARS25!R18+MVTAVRIL25!R18+MVTMAI25!R18+MVTJUIN25!R18+MVTJUIL25!R18+MVTAOUT25!R18+MVTSEPT25!R18+MVTOCT25!R18+MVTNOV25!R18+MVTDEC25!R18</f>
        <v>0</v>
      </c>
      <c r="S18" s="36">
        <f>MVTJANV25!S18+MVTFEV25!S18+MVTMARS25!S18+MVTAVRIL25!S18+MVTMAI25!S18+MVTJUIN25!S18+MVTJUIL25!S18+MVTAOUT25!S18+MVTSEPT25!S18+MVTOCT25!S18+MVTNOV25!S18+MVTDEC25!S18</f>
        <v>1500000</v>
      </c>
      <c r="T18" s="36">
        <f>MVTDEC24!T18+MVTJANV25!T18+MVTFEV25!T18+MVTMARS25!T18+MVTAVRIL25!T18+MVTMAI25!T18+MVTJUIN25!T18+MVTJUIL25!T18+MVTAOUT25!T18+MVTSEPT25!T18+MVTOCT25!T18+MVTNOV25!T18</f>
        <v>71500</v>
      </c>
      <c r="U18" s="13">
        <f>MVTJANV25!U18+MVTFEV25!U18+MVTMARS25!U18+MVTAVRIL25!U18+MVTMAI25!U18+MVTJUIN25!U18+MVTJUIL25!U18+MVTAOUT25!U18+MVTSEPT25!U18+MVTOCT25!U18+MVTNOV25!U18+MVTDEC25!U18</f>
        <v>0</v>
      </c>
      <c r="V18" s="13">
        <f>MVTJANV25!V18+MVTFEV25!V18+MVTMARS25!V18+MVTAVRIL25!V18+MVTMAI25!V18+MVTJUIN25!V18+MVTJUIL25!V18+MVTAOUT25!V18+MVTSEPT25!V18+MVTOCT25!V18+MVTNOV25!V18+MVTDEC25!V18</f>
        <v>1346500</v>
      </c>
      <c r="W18" s="13">
        <f>178500-178500+525000</f>
        <v>525000</v>
      </c>
      <c r="X18" s="13"/>
      <c r="Y18" s="13">
        <f>MVTJANV25!Y18+MVTFEV25!Y18+MVTMARS25!Y18+MVTAVRIL25!Y18+MVTMAI25!Y18+MVTJUIN25!Y18+MVTJUIL25!Y18+MVTAOUT25!Y18+MVTSEPT25!Y18+MVTOCT25!Y18+MVTNOV25!Y18+MVTDEC25!Y18</f>
        <v>0</v>
      </c>
      <c r="Z18" s="13">
        <f>MVTJANV25!Z18+MVTFEV25!Z18+MVTMARS25!Z18+MVTAVRIL25!Z18+MVTMAI25!Z18+MVTJUIN25!Z18+MVTJUIL25!Z18+MVTAOUT25!Z18+MVTSEPT25!Z18+MVTOCT25!Z18+MVTNOV25!Z18+MVTDEC25!Z18</f>
        <v>0</v>
      </c>
      <c r="AA18" s="13">
        <f>MVTJANV25!AA18+MVTFEV25!AA18+MVTMARS25!AA18+MVTAVRIL25!AA18+MVTMAI25!AA18+MVTJUIN25!AA18+MVTJUIL25!AA18+MVTAOUT25!AA18+MVTSEPT25!AA18+MVTOCT25!AA18+MVTNOV25!AA18+MVTDEC25!AA18</f>
        <v>0</v>
      </c>
      <c r="AB18" s="13">
        <f>MVTJANV25!AB18+MVTFEV25!AB18+MVTMARS25!AB18+MVTAVRIL25!AB18+MVTMAI25!AB18+MVTJUIN25!AB18+MVTJUIL25!AB18+MVTAOUT25!AB18+MVTSEPT25!AB18+MVTOCT25!AB18+MVTNOV25!AB18+MVTDEC25!AB18</f>
        <v>0</v>
      </c>
      <c r="AC18" s="13">
        <f>MVTJANV25!AC18+MVTFEV25!AC18+MVTMARS25!AC18+MVTAVRIL25!AC18+MVTMAI25!AC18+MVTJUIN25!AC18+MVTJUIL25!AC18+MVTAOUT25!AC18+MVTSEPT25!AC18+MVTOCT25!AC18+MVTNOV25!AC18+MVTDEC25!AC18</f>
        <v>0</v>
      </c>
      <c r="AD18" s="13">
        <f>MVTJANV25!AD18+MVTFEV25!AD18+MVTMARS25!AD18+MVTAVRIL25!AD18+MVTMAI25!AD18+MVTJUIN25!AD18+MVTJUIL25!AD18+MVTAOUT25!AD18+MVTSEPT25!AD18+MVTOCT25!AD18+MVTNOV25!AD18+MVTDEC25!AD18</f>
        <v>0</v>
      </c>
      <c r="AE18" s="13">
        <f>MVTJANV25!AE18+MVTFEV25!AE18+MVTMARS25!AE18+MVTAVRIL25!AE18+MVTMAI25!AE18+MVTJUIN25!AE18+MVTJUIL25!AE18+MVTAOUT25!AE18+MVTSEPT25!AE18+MVTOCT25!AE18+MVTNOV25!AE18+MVTDEC25!AE18</f>
        <v>0</v>
      </c>
      <c r="AF18" s="13">
        <f>MVTJANV25!AF18+MVTFEV25!AF18+MVTMARS25!AF18+MVTAVRIL25!AF18+MVTMAI25!AF18+MVTJUIN25!AF18+MVTJUIL25!AF18+MVTAOUT25!AF18+MVTSEPT25!AF18+MVTOCT25!AF18+MVTNOV25!AF18+MVTDEC25!AF18</f>
        <v>0</v>
      </c>
      <c r="AG18" s="13">
        <f>MVTJANV25!AG18+MVTFEV25!AG18+MVTMARS25!AG18+MVTAVRIL25!AG18+MVTMAI25!AG18+MVTJUIN25!AG18+MVTJUIL25!AG18+MVTAOUT25!AG18+MVTSEPT25!AG18+MVTOCT25!AG18+MVTNOV25!AG18+MVTDEC25!AG18</f>
        <v>0</v>
      </c>
      <c r="AH18" s="13">
        <f>MVTJANV25!AH18+MVTFEV25!AH18+MVTMARS25!AH18+MVTAVRIL25!AH18+MVTMAI25!AH18+MVTJUIN25!AH18+MVTJUIL25!AH18+MVTAOUT25!AH18+MVTSEPT25!AH18+MVTOCT25!AH18+MVTNOV25!AH18+MVTDEC25!AH18</f>
        <v>0</v>
      </c>
      <c r="AI18" s="13">
        <f>MVTJANV25!AI18+MVTFEV25!AI18+MVTMARS25!AI18+MVTAVRIL25!AI18+MVTMAI25!AI18+MVTJUIN25!AI18+MVTJUIL25!AI18+MVTAOUT25!AI18+MVTSEPT25!AI18+MVTOCT25!AI18+MVTNOV25!AI18+MVTDEC25!AI18</f>
        <v>100000</v>
      </c>
      <c r="AJ18" s="13">
        <f>MVTJANV25!AJ18+MVTFEV25!AJ18+MVTMARS25!AJ18+MVTAVRIL25!AJ18+MVTMAI25!AJ18+MVTJUIN25!AJ18+MVTJUIL25!AJ18+MVTAOUT25!AJ18+MVTSEPT25!AJ18+MVTOCT25!AJ18+MVTNOV25!AJ18+MVTDEC25!AJ18</f>
        <v>0</v>
      </c>
      <c r="AK18" s="13">
        <f>MVTJANV25!AK18+MVTFEV25!AK18+MVTMARS25!AK18+MVTAVRIL25!AK18+MVTMAI25!AK18+MVTJUIN25!AK18+MVTJUIL25!AK18+MVTAOUT25!AK18+MVTSEPT25!AK18+MVTOCT25!AK18+MVTNOV25!AK18+MVTDEC25!AK18</f>
        <v>0</v>
      </c>
      <c r="AM18" s="11"/>
    </row>
    <row r="19" spans="1:39" ht="15.5" x14ac:dyDescent="0.35">
      <c r="A19" s="1" t="s">
        <v>35</v>
      </c>
      <c r="B19" s="1" t="str">
        <f>VLOOKUP(A19,[24]LISTADHERENT!A$5:H$60,3,0)</f>
        <v>KOUATCHO MESSACK</v>
      </c>
      <c r="C19" s="36">
        <f>+MVTDEC24!C19</f>
        <v>800000</v>
      </c>
      <c r="D19" s="36">
        <f>+MVTDEC24!D19</f>
        <v>9944</v>
      </c>
      <c r="E19" s="36">
        <f>MVTJANV25!E19+MVTFEV25!E19+MVTMARS25!E19+MVTAVRIL25!E19+MVTMAI25!E19+MVTJUIN25!E19+MVTJUIL25!E19+MVTAOUT25!E19+MVTSEPT25!E19+MVTOCT25!E19+MVTNOV25!E19+MVTDEC25!E19</f>
        <v>0</v>
      </c>
      <c r="F19" s="36">
        <f>MVTJANV25!F19+MVTFEV25!F19+MVTMARS25!F19+MVTAVRIL25!F19+MVTMAI25!F19+MVTJUIN25!F19+MVTJUIL25!F19+MVTAOUT25!F19+MVTSEPT25!F19+MVTOCT25!F19+MVTNOV25!F19+MVTDEC25!F19</f>
        <v>12601713.579090027</v>
      </c>
      <c r="G19" s="5">
        <f>MVTJANV25!G19+MVTFEV25!G19+MVTMARS25!G19+MVTAVRIL25!G19+MVTMAI25!G19+MVTJUIN25!G19+MVTJUIL25!G19+MVTAOUT25!G19+MVTSEPT25!G19+MVTOCT25!G19+MVTNOV25!G19+MVTDEC25!G19</f>
        <v>11975819.72939107</v>
      </c>
      <c r="H19" s="36">
        <f>MVTDEC24!H19+MVTJANV25!H19+MVTFEV25!H19+MVTMARS25!H19+MVTAVRIL25!H19+MVTMAI25!H19+MVTJUIN25!H19+MVTJUIL25!H19+MVTAOUT25!H19+MVTSEPT25!H19+MVTOCT25!H19+MVTNOV25!H19</f>
        <v>69419.781922600014</v>
      </c>
      <c r="I19" s="184">
        <f t="shared" si="0"/>
        <v>12671133.361012626</v>
      </c>
      <c r="J19" s="36">
        <f>MVTJANV25!J19+MVTFEV25!J19+MVTMARS25!J19+MVTAVRIL25!J19+MVTMAI25!J19+MVTJUIN25!J19+MVTJUIL25!J19+MVTAOUT25!J19+MVTSEPT25!J19+MVTOCT25!J19+MVTNOV25!J19+MVTDEC25!J19</f>
        <v>0</v>
      </c>
      <c r="K19" s="36">
        <f>MVTJANV25!K19+MVTFEV25!K19+MVTMARS25!K19+MVTAVRIL25!K19+MVTMAI25!K19+MVTJUIN25!K19+MVTJUIL25!K19+MVTAOUT25!K19+MVTSEPT25!K19+MVTOCT25!K19+MVTNOV25!K19+MVTDEC25!K19</f>
        <v>405500</v>
      </c>
      <c r="L19" s="36">
        <f>MVTJANV25!L19+MVTFEV25!L19+MVTMARS25!L19+MVTAVRIL25!L19+MVTMAI25!L19+MVTJUIN25!L19+MVTJUIL25!L19+MVTAOUT25!L19+MVTSEPT25!L19+MVTOCT25!L19+MVTNOV25!L19+MVTDEC25!L19</f>
        <v>333500</v>
      </c>
      <c r="M19" s="36">
        <f>MVTJANV25!M19+MVTFEV25!M19+MVTMARS25!M19+MVTAVRIL25!M19+MVTMAI25!M19+MVTJUIN25!M19+MVTJUIL25!M19+MVTAOUT25!M19+MVTSEPT25!M19+MVTOCT25!M19+MVTNOV25!M19+MVTDEC25!M19</f>
        <v>12000</v>
      </c>
      <c r="N19" s="36">
        <f>MVTJANV25!N19+MVTFEV25!N19+MVTMARS25!N19+MVTAVRIL25!N19+MVTMAI25!N19+MVTJUIN25!N19+MVTJUIL25!N19+MVTAOUT25!N19+MVTSEPT25!N19+MVTOCT25!N19+MVTNOV25!N19+MVTDEC25!N19</f>
        <v>12000</v>
      </c>
      <c r="O19" s="36">
        <f>MVTJANV25!O19+MVTFEV25!O19+MVTMARS25!O19+MVTAVRIL25!O19+MVTMAI25!O19+MVTJUIN25!O19+MVTJUIL25!O19+MVTAOUT25!O19+MVTSEPT25!O19+MVTOCT25!O19+MVTNOV25!O19+MVTDEC25!O19</f>
        <v>48000</v>
      </c>
      <c r="P19" s="36">
        <f>MVTJANV25!P19+MVTFEV25!P19+MVTMARS25!P19+MVTAVRIL25!P19+MVTMAI25!P19+MVTJUIN25!P19+MVTJUIL25!P19+MVTAOUT25!P19+MVTSEPT25!P19+MVTOCT25!P19+MVTNOV25!P19+MVTDEC25!P19</f>
        <v>3000</v>
      </c>
      <c r="Q19" s="36">
        <f>MVTJANV25!Q19+MVTFEV25!Q19+MVTMARS25!Q19+MVTAVRIL25!Q19+MVTMAI25!Q19+MVTJUIN25!Q19+MVTJUIL25!Q19+MVTAOUT25!Q19+MVTSEPT25!Q19+MVTOCT25!Q19+MVTNOV25!Q19+MVTDEC25!Q19</f>
        <v>0</v>
      </c>
      <c r="R19" s="36">
        <f>MVTJANV25!R19+MVTFEV25!R19+MVTMARS25!R19+MVTAVRIL25!R19+MVTMAI25!R19+MVTJUIN25!R19+MVTJUIL25!R19+MVTAOUT25!R19+MVTSEPT25!R19+MVTOCT25!R19+MVTNOV25!R19+MVTDEC25!R19</f>
        <v>0</v>
      </c>
      <c r="S19" s="36">
        <f>MVTJANV25!S19+MVTFEV25!S19+MVTMARS25!S19+MVTAVRIL25!S19+MVTMAI25!S19+MVTJUIN25!S19+MVTJUIL25!S19+MVTAOUT25!S19+MVTSEPT25!S19+MVTOCT25!S19+MVTNOV25!S19+MVTDEC25!S19</f>
        <v>1000000</v>
      </c>
      <c r="T19" s="36">
        <f>MVTDEC24!T19+MVTJANV25!T19+MVTFEV25!T19+MVTMARS25!T19+MVTAVRIL25!T19+MVTMAI25!T19+MVTJUIN25!T19+MVTJUIL25!T19+MVTAOUT25!T19+MVTSEPT25!T19+MVTOCT25!T19+MVTNOV25!T19</f>
        <v>120000</v>
      </c>
      <c r="U19" s="36">
        <f>MVTJANV25!U19+MVTFEV25!U19+MVTMARS25!U19+MVTAVRIL25!U19+MVTMAI25!U19+MVTJUIN25!U19+MVTJUIL25!U19+MVTAOUT25!U19+MVTSEPT25!U19+MVTOCT25!U19+MVTNOV25!U19+MVTDEC25!U19</f>
        <v>0</v>
      </c>
      <c r="V19" s="36">
        <f>MVTJANV25!V19+MVTFEV25!V19+MVTMARS25!V19+MVTAVRIL25!V19+MVTMAI25!V19+MVTJUIN25!V19+MVTJUIL25!V19+MVTAOUT25!V19+MVTSEPT25!V19+MVTOCT25!V19+MVTNOV25!V19+MVTDEC25!V19</f>
        <v>1000000</v>
      </c>
      <c r="W19" s="36">
        <f t="shared" si="1"/>
        <v>0</v>
      </c>
      <c r="X19" s="186">
        <v>46010</v>
      </c>
      <c r="Y19" s="36">
        <f>MVTJANV25!Y19+MVTFEV25!Y19+MVTMARS25!Y19+MVTAVRIL25!Y19+MVTMAI25!Y19+MVTJUIN25!Y19+MVTJUIL25!Y19+MVTAOUT25!Y19+MVTSEPT25!Y19+MVTOCT25!Y19+MVTNOV25!Y19+MVTDEC25!Y19</f>
        <v>0</v>
      </c>
      <c r="Z19" s="36">
        <f>MVTJANV25!Z19+MVTFEV25!Z19+MVTMARS25!Z19+MVTAVRIL25!Z19+MVTMAI25!Z19+MVTJUIN25!Z19+MVTJUIL25!Z19+MVTAOUT25!Z19+MVTSEPT25!Z19+MVTOCT25!Z19+MVTNOV25!Z19+MVTDEC25!Z19</f>
        <v>0</v>
      </c>
      <c r="AA19" s="36">
        <f>MVTJANV25!AA19+MVTFEV25!AA19+MVTMARS25!AA19+MVTAVRIL25!AA19+MVTMAI25!AA19+MVTJUIN25!AA19+MVTJUIL25!AA19+MVTAOUT25!AA19+MVTSEPT25!AA19+MVTOCT25!AA19+MVTNOV25!AA19+MVTDEC25!AA19</f>
        <v>0</v>
      </c>
      <c r="AB19" s="36">
        <f>MVTJANV25!AB19+MVTFEV25!AB19+MVTMARS25!AB19+MVTAVRIL25!AB19+MVTMAI25!AB19+MVTJUIN25!AB19+MVTJUIL25!AB19+MVTAOUT25!AB19+MVTSEPT25!AB19+MVTOCT25!AB19+MVTNOV25!AB19+MVTDEC25!AB19</f>
        <v>0</v>
      </c>
      <c r="AC19" s="36">
        <f>MVTJANV25!AC19+MVTFEV25!AC19+MVTMARS25!AC19+MVTAVRIL25!AC19+MVTMAI25!AC19+MVTJUIN25!AC19+MVTJUIL25!AC19+MVTAOUT25!AC19+MVTSEPT25!AC19+MVTOCT25!AC19+MVTNOV25!AC19+MVTDEC25!AC19</f>
        <v>0</v>
      </c>
      <c r="AD19" s="36">
        <f>MVTJANV25!AD19+MVTFEV25!AD19+MVTMARS25!AD19+MVTAVRIL25!AD19+MVTMAI25!AD19+MVTJUIN25!AD19+MVTJUIL25!AD19+MVTAOUT25!AD19+MVTSEPT25!AD19+MVTOCT25!AD19+MVTNOV25!AD19+MVTDEC25!AD19</f>
        <v>0</v>
      </c>
      <c r="AE19" s="36">
        <f>MVTJANV25!AE19+MVTFEV25!AE19+MVTMARS25!AE19+MVTAVRIL25!AE19+MVTMAI25!AE19+MVTJUIN25!AE19+MVTJUIL25!AE19+MVTAOUT25!AE19+MVTSEPT25!AE19+MVTOCT25!AE19+MVTNOV25!AE19+MVTDEC25!AE19</f>
        <v>0</v>
      </c>
      <c r="AF19" s="36">
        <f>MVTJANV25!AF19+MVTFEV25!AF19+MVTMARS25!AF19+MVTAVRIL25!AF19+MVTMAI25!AF19+MVTJUIN25!AF19+MVTJUIL25!AF19+MVTAOUT25!AF19+MVTSEPT25!AF19+MVTOCT25!AF19+MVTNOV25!AF19+MVTDEC25!AF19</f>
        <v>0</v>
      </c>
      <c r="AG19" s="36">
        <f>MVTJANV25!AG19+MVTFEV25!AG19+MVTMARS25!AG19+MVTAVRIL25!AG19+MVTMAI25!AG19+MVTJUIN25!AG19+MVTJUIL25!AG19+MVTAOUT25!AG19+MVTSEPT25!AG19+MVTOCT25!AG19+MVTNOV25!AG19+MVTDEC25!AG19</f>
        <v>0</v>
      </c>
      <c r="AH19" s="36">
        <f>MVTJANV25!AH19+MVTFEV25!AH19+MVTMARS25!AH19+MVTAVRIL25!AH19+MVTMAI25!AH19+MVTJUIN25!AH19+MVTJUIL25!AH19+MVTAOUT25!AH19+MVTSEPT25!AH19+MVTOCT25!AH19+MVTNOV25!AH19+MVTDEC25!AH19</f>
        <v>0</v>
      </c>
      <c r="AI19" s="36">
        <f>MVTJANV25!AI19+MVTFEV25!AI19+MVTMARS25!AI19+MVTAVRIL25!AI19+MVTMAI25!AI19+MVTJUIN25!AI19+MVTJUIL25!AI19+MVTAOUT25!AI19+MVTSEPT25!AI19+MVTOCT25!AI19+MVTNOV25!AI19+MVTDEC25!AI19</f>
        <v>0</v>
      </c>
      <c r="AJ19" s="36">
        <f>MVTJANV25!AJ19+MVTFEV25!AJ19+MVTMARS25!AJ19+MVTAVRIL25!AJ19+MVTMAI25!AJ19+MVTJUIN25!AJ19+MVTJUIL25!AJ19+MVTAOUT25!AJ19+MVTSEPT25!AJ19+MVTOCT25!AJ19+MVTNOV25!AJ19+MVTDEC25!AJ19</f>
        <v>0</v>
      </c>
      <c r="AK19" s="36">
        <f>MVTJANV25!AK19+MVTFEV25!AK19+MVTMARS25!AK19+MVTAVRIL25!AK19+MVTMAI25!AK19+MVTJUIN25!AK19+MVTJUIL25!AK19+MVTAOUT25!AK19+MVTSEPT25!AK19+MVTOCT25!AK19+MVTNOV25!AK19+MVTDEC25!AK19</f>
        <v>0</v>
      </c>
    </row>
    <row r="20" spans="1:39" ht="15.5" x14ac:dyDescent="0.35">
      <c r="A20" s="1" t="s">
        <v>36</v>
      </c>
      <c r="B20" s="1" t="str">
        <f>VLOOKUP(A20,[24]LISTADHERENT!A$5:H$50,3,0)</f>
        <v>LOWE JEAN</v>
      </c>
      <c r="C20" s="36">
        <f>+MVTDEC24!C20</f>
        <v>0</v>
      </c>
      <c r="D20" s="36">
        <f>+MVTDEC24!D20</f>
        <v>676217</v>
      </c>
      <c r="E20" s="36">
        <f>MVTJANV25!E20+MVTFEV25!E20+MVTMARS25!E20+MVTAVRIL25!E20+MVTMAI25!E20+MVTJUIN25!E20+MVTJUIL25!E20+MVTAOUT25!E20+MVTSEPT25!E20+MVTOCT25!E20+MVTNOV25!E20+MVTDEC25!E20</f>
        <v>0</v>
      </c>
      <c r="F20" s="36">
        <f>MVTJANV25!F20+MVTFEV25!F20+MVTMARS25!F20+MVTAVRIL25!F20+MVTMAI25!F20+MVTJUIN25!F20+MVTJUIL25!F20+MVTAOUT25!F20+MVTSEPT25!F20+MVTOCT25!F20+MVTNOV25!F20+MVTDEC25!F20</f>
        <v>3926217</v>
      </c>
      <c r="G20" s="5">
        <f>MVTJANV25!G20+MVTFEV25!G20+MVTMARS25!G20+MVTAVRIL25!G20+MVTMAI25!G20+MVTJUIN25!G20+MVTJUIL25!G20+MVTAOUT25!G20+MVTSEPT25!G20+MVTOCT25!G20+MVTNOV25!G20+MVTDEC25!G20</f>
        <v>0</v>
      </c>
      <c r="H20" s="36">
        <f>MVTDEC24!H20+MVTJANV25!H20+MVTFEV25!H20+MVTMARS25!H20+MVTAVRIL25!H20+MVTMAI25!H20+MVTJUIN25!H20+MVTJUIL25!H20+MVTAOUT25!H20+MVTSEPT25!H20+MVTOCT25!H20+MVTNOV25!H20</f>
        <v>0</v>
      </c>
      <c r="I20" s="184">
        <f t="shared" ref="I20" si="2">F20+H20</f>
        <v>3926217</v>
      </c>
      <c r="J20" s="36">
        <f>MVTJANV25!J20+MVTFEV25!J20+MVTMARS25!J20+MVTAVRIL25!J20+MVTMAI25!J20+MVTJUIN25!J20+MVTJUIL25!J20+MVTAOUT25!J20+MVTSEPT25!J20+MVTOCT25!J20+MVTNOV25!J20+MVTDEC25!J20</f>
        <v>0</v>
      </c>
      <c r="K20" s="36">
        <f>MVTJANV25!K20+MVTFEV25!K20+MVTMARS25!K20+MVTAVRIL25!K20+MVTMAI25!K20+MVTJUIN25!K20+MVTJUIL25!K20+MVTAOUT25!K20+MVTSEPT25!K20+MVTOCT25!K20+MVTNOV25!K20+MVTDEC25!K20</f>
        <v>0</v>
      </c>
      <c r="L20" s="36">
        <f>MVTJANV25!L20+MVTFEV25!L20+MVTMARS25!L20+MVTAVRIL25!L20+MVTMAI25!L20+MVTJUIN25!L20+MVTJUIL25!L20+MVTAOUT25!L20+MVTSEPT25!L20+MVTOCT25!L20+MVTNOV25!L20+MVTDEC25!L20</f>
        <v>500000</v>
      </c>
      <c r="M20" s="36">
        <f>MVTJANV25!M20+MVTFEV25!M20+MVTMARS25!M20+MVTAVRIL25!M20+MVTMAI25!M20+MVTJUIN25!M20+MVTJUIL25!M20+MVTAOUT25!M20+MVTSEPT25!M20+MVTOCT25!M20+MVTNOV25!M20+MVTDEC25!M20</f>
        <v>0</v>
      </c>
      <c r="N20" s="36">
        <f>MVTJANV25!N20+MVTFEV25!N20+MVTMARS25!N20+MVTAVRIL25!N20+MVTMAI25!N20+MVTJUIN25!N20+MVTJUIL25!N20+MVTAOUT25!N20+MVTSEPT25!N20+MVTOCT25!N20+MVTNOV25!N20+MVTDEC25!N20</f>
        <v>0</v>
      </c>
      <c r="O20" s="36">
        <f>MVTJANV25!O20+MVTFEV25!O20+MVTMARS25!O20+MVTAVRIL25!O20+MVTMAI25!O20+MVTJUIN25!O20+MVTJUIL25!O20+MVTAOUT25!O20+MVTSEPT25!O20+MVTOCT25!O20+MVTNOV25!O20+MVTDEC25!O20</f>
        <v>0</v>
      </c>
      <c r="P20" s="36">
        <f>MVTJANV25!P20+MVTFEV25!P20+MVTMARS25!P20+MVTAVRIL25!P20+MVTMAI25!P20+MVTJUIN25!P20+MVTJUIL25!P20+MVTAOUT25!P20+MVTSEPT25!P20+MVTOCT25!P20+MVTNOV25!P20+MVTDEC25!P20</f>
        <v>0</v>
      </c>
      <c r="Q20" s="36">
        <f>MVTJANV25!Q20+MVTFEV25!Q20+MVTMARS25!Q20+MVTAVRIL25!Q20+MVTMAI25!Q20+MVTJUIN25!Q20+MVTJUIL25!Q20+MVTAOUT25!Q20+MVTSEPT25!Q20+MVTOCT25!Q20+MVTNOV25!Q20+MVTDEC25!Q20</f>
        <v>0</v>
      </c>
      <c r="R20" s="36">
        <f>MVTJANV25!R20+MVTFEV25!R20+MVTMARS25!R20+MVTAVRIL25!R20+MVTMAI25!R20+MVTJUIN25!R20+MVTJUIL25!R20+MVTAOUT25!R20+MVTSEPT25!R20+MVTOCT25!R20+MVTNOV25!R20+MVTDEC25!R20</f>
        <v>0</v>
      </c>
      <c r="S20" s="36">
        <f>MVTJANV25!S20+MVTFEV25!S20+MVTMARS25!S20+MVTAVRIL25!S20+MVTMAI25!S20+MVTJUIN25!S20+MVTJUIL25!S20+MVTAOUT25!S20+MVTSEPT25!S20+MVTOCT25!S20+MVTNOV25!S20+MVTDEC25!S20</f>
        <v>0</v>
      </c>
      <c r="T20" s="36">
        <f>MVTDEC24!T20+MVTJANV25!T20+MVTFEV25!T20+MVTMARS25!T20+MVTAVRIL25!T20+MVTMAI25!T20+MVTJUIN25!T20+MVTJUIL25!T20+MVTAOUT25!T20+MVTSEPT25!T20+MVTOCT25!T20+MVTNOV25!T20</f>
        <v>0</v>
      </c>
      <c r="U20" s="36">
        <f>MVTJANV25!U20+MVTFEV25!U20+MVTMARS25!U20+MVTAVRIL25!U20+MVTMAI25!U20+MVTJUIN25!U20+MVTJUIL25!U20+MVTAOUT25!U20+MVTSEPT25!U20+MVTOCT25!U20+MVTNOV25!U20+MVTDEC25!U20</f>
        <v>0</v>
      </c>
      <c r="V20" s="36">
        <f>MVTJANV25!V20+MVTFEV25!V20+MVTMARS25!V20+MVTAVRIL25!V20+MVTMAI25!V20+MVTJUIN25!V20+MVTJUIL25!V20+MVTAOUT25!V20+MVTSEPT25!V20+MVTOCT25!V20+MVTNOV25!V20+MVTDEC25!V20</f>
        <v>0</v>
      </c>
      <c r="W20" s="36">
        <f t="shared" ref="W20" si="3">S20-V20</f>
        <v>0</v>
      </c>
      <c r="X20" s="186">
        <v>46011</v>
      </c>
      <c r="Y20" s="36">
        <f>MVTJANV25!Y20+MVTFEV25!Y20+MVTMARS25!Y20+MVTAVRIL25!Y20+MVTMAI25!Y20+MVTJUIN25!Y20+MVTJUIL25!Y20+MVTAOUT25!Y20+MVTSEPT25!Y20+MVTOCT25!Y20+MVTNOV25!Y20+MVTDEC25!Y20</f>
        <v>0</v>
      </c>
      <c r="Z20" s="36">
        <f>MVTJANV25!Z20+MVTFEV25!Z20+MVTMARS25!Z20+MVTAVRIL25!Z20+MVTMAI25!Z20+MVTJUIN25!Z20+MVTJUIL25!Z20+MVTAOUT25!Z20+MVTSEPT25!Z20+MVTOCT25!Z20+MVTNOV25!Z20+MVTDEC25!Z20</f>
        <v>0</v>
      </c>
      <c r="AA20" s="36">
        <f>MVTJANV25!AA20+MVTFEV25!AA20+MVTMARS25!AA20+MVTAVRIL25!AA20+MVTMAI25!AA20+MVTJUIN25!AA20+MVTJUIL25!AA20+MVTAOUT25!AA20+MVTSEPT25!AA20+MVTOCT25!AA20+MVTNOV25!AA20+MVTDEC25!AA20</f>
        <v>0</v>
      </c>
      <c r="AB20" s="36">
        <f>MVTJANV25!AB20+MVTFEV25!AB20+MVTMARS25!AB20+MVTAVRIL25!AB20+MVTMAI25!AB20+MVTJUIN25!AB20+MVTJUIL25!AB20+MVTAOUT25!AB20+MVTSEPT25!AB20+MVTOCT25!AB20+MVTNOV25!AB20+MVTDEC25!AB20</f>
        <v>0</v>
      </c>
      <c r="AC20" s="36">
        <f>MVTJANV25!AC20+MVTFEV25!AC20+MVTMARS25!AC20+MVTAVRIL25!AC20+MVTMAI25!AC20+MVTJUIN25!AC20+MVTJUIL25!AC20+MVTAOUT25!AC20+MVTSEPT25!AC20+MVTOCT25!AC20+MVTNOV25!AC20+MVTDEC25!AC20</f>
        <v>0</v>
      </c>
      <c r="AD20" s="36">
        <f>MVTJANV25!AD20+MVTFEV25!AD20+MVTMARS25!AD20+MVTAVRIL25!AD20+MVTMAI25!AD20+MVTJUIN25!AD20+MVTJUIL25!AD20+MVTAOUT25!AD20+MVTSEPT25!AD20+MVTOCT25!AD20+MVTNOV25!AD20+MVTDEC25!AD20</f>
        <v>0</v>
      </c>
      <c r="AE20" s="36">
        <f>MVTJANV25!AE20+MVTFEV25!AE20+MVTMARS25!AE20+MVTAVRIL25!AE20+MVTMAI25!AE20+MVTJUIN25!AE20+MVTJUIL25!AE20+MVTAOUT25!AE20+MVTSEPT25!AE20+MVTOCT25!AE20+MVTNOV25!AE20+MVTDEC25!AE20</f>
        <v>0</v>
      </c>
      <c r="AF20" s="36">
        <f>MVTJANV25!AF20+MVTFEV25!AF20+MVTMARS25!AF20+MVTAVRIL25!AF20+MVTMAI25!AF20+MVTJUIN25!AF20+MVTJUIL25!AF20+MVTAOUT25!AF20+MVTSEPT25!AF20+MVTOCT25!AF20+MVTNOV25!AF20+MVTDEC25!AF20</f>
        <v>0</v>
      </c>
      <c r="AG20" s="36">
        <f>MVTJANV25!AG20+MVTFEV25!AG20+MVTMARS25!AG20+MVTAVRIL25!AG20+MVTMAI25!AG20+MVTJUIN25!AG20+MVTJUIL25!AG20+MVTAOUT25!AG20+MVTSEPT25!AG20+MVTOCT25!AG20+MVTNOV25!AG20+MVTDEC25!AG20</f>
        <v>0</v>
      </c>
      <c r="AH20" s="36">
        <f>MVTJANV25!AH20+MVTFEV25!AH20+MVTMARS25!AH20+MVTAVRIL25!AH20+MVTMAI25!AH20+MVTJUIN25!AH20+MVTJUIL25!AH20+MVTAOUT25!AH20+MVTSEPT25!AH20+MVTOCT25!AH20+MVTNOV25!AH20+MVTDEC25!AH20</f>
        <v>0</v>
      </c>
      <c r="AI20" s="36">
        <f>MVTJANV25!AI20+MVTFEV25!AI20+MVTMARS25!AI20+MVTAVRIL25!AI20+MVTMAI25!AI20+MVTJUIN25!AI20+MVTJUIL25!AI20+MVTAOUT25!AI20+MVTSEPT25!AI20+MVTOCT25!AI20+MVTNOV25!AI20+MVTDEC25!AI20</f>
        <v>0</v>
      </c>
      <c r="AJ20" s="36">
        <f>MVTJANV25!AJ20+MVTFEV25!AJ20+MVTMARS25!AJ20+MVTAVRIL25!AJ20+MVTMAI25!AJ20+MVTJUIN25!AJ20+MVTJUIL25!AJ20+MVTAOUT25!AJ20+MVTSEPT25!AJ20+MVTOCT25!AJ20+MVTNOV25!AJ20+MVTDEC25!AJ20</f>
        <v>0</v>
      </c>
      <c r="AK20" s="36">
        <f>MVTJANV25!AK20+MVTFEV25!AK20+MVTMARS25!AK20+MVTAVRIL25!AK20+MVTMAI25!AK20+MVTJUIN25!AK20+MVTJUIL25!AK20+MVTAOUT25!AK20+MVTSEPT25!AK20+MVTOCT25!AK20+MVTNOV25!AK20+MVTDEC25!AK20</f>
        <v>0</v>
      </c>
    </row>
    <row r="21" spans="1:39" s="14" customFormat="1" x14ac:dyDescent="0.35">
      <c r="A21" s="12" t="s">
        <v>329</v>
      </c>
      <c r="B21" s="12" t="str">
        <f>VLOOKUP(A21,[24]LISTADHERENT!A$5:H$60,3,0)</f>
        <v>MASSEUNGOUE DAGOBERT</v>
      </c>
      <c r="C21" s="13">
        <f>+MVTDEC24!C21</f>
        <v>0</v>
      </c>
      <c r="D21" s="36">
        <f>+MVTDEC24!D21</f>
        <v>198625</v>
      </c>
      <c r="E21" s="13">
        <f>MVTJANV25!E21+MVTFEV25!E21+MVTMARS25!E21+MVTAVRIL25!E21+MVTMAI25!E21+MVTJUIN25!E21+MVTJUIL25!E21+MVTAOUT25!E21+MVTSEPT25!E21+MVTOCT25!E21+MVTNOV25!E21+MVTDEC25!E21</f>
        <v>0</v>
      </c>
      <c r="F21" s="36">
        <f>MVTJANV25!F21+MVTFEV25!F21+MVTMARS25!F21+MVTAVRIL25!F21+MVTMAI25!F21+MVTJUIN25!F21+MVTJUIL25!F21+MVTAOUT25!F21+MVTSEPT25!F21+MVTOCT25!F21+MVTNOV25!F21+MVTDEC25!F21</f>
        <v>13722374.33381452</v>
      </c>
      <c r="G21" s="5">
        <f>MVTJANV25!G21+MVTFEV25!G21+MVTMARS25!G21+MVTAVRIL25!G21+MVTMAI25!G21+MVTJUIN25!G21+MVTJUIL25!G21+MVTAOUT25!G21+MVTSEPT25!G21+MVTOCT25!G21+MVTNOV25!G21+MVTDEC25!G21</f>
        <v>13273110.220728267</v>
      </c>
      <c r="H21" s="36">
        <f>MVTDEC24!H21+MVTJANV25!H21+MVTFEV25!H21+MVTMARS25!H21+MVTAVRIL25!H21+MVTMAI25!H21+MVTJUIN25!H21+MVTJUIL25!H21+MVTAOUT25!H21+MVTSEPT25!H21+MVTOCT25!H21+MVTNOV25!H21</f>
        <v>34069.06612705579</v>
      </c>
      <c r="I21" s="187">
        <f t="shared" si="0"/>
        <v>13756443.399941577</v>
      </c>
      <c r="J21" s="13">
        <f>MVTJANV25!J21+MVTFEV25!J21+MVTMARS25!J21+MVTAVRIL25!J21+MVTMAI25!J21+MVTJUIN25!J21+MVTJUIL25!J21+MVTAOUT25!J21+MVTSEPT25!J21+MVTOCT25!J21+MVTNOV25!J21+MVTDEC25!J21</f>
        <v>0</v>
      </c>
      <c r="K21" s="13">
        <f>MVTJANV25!K21+MVTFEV25!K21+MVTMARS25!K21+MVTAVRIL25!K21+MVTMAI25!K21+MVTJUIN25!K21+MVTJUIL25!K21+MVTAOUT25!K21+MVTSEPT25!K21+MVTOCT25!K21+MVTNOV25!K21+MVTDEC25!K21</f>
        <v>900000</v>
      </c>
      <c r="L21" s="36">
        <f>MVTJANV25!L21+MVTFEV25!L21+MVTMARS25!L21+MVTAVRIL25!L21+MVTMAI25!L21+MVTJUIN25!L21+MVTJUIL25!L21+MVTAOUT25!L21+MVTSEPT25!L21+MVTOCT25!L21+MVTNOV25!L21+MVTDEC25!L21</f>
        <v>1026625</v>
      </c>
      <c r="M21" s="13">
        <f>MVTJANV25!M21+MVTFEV25!M21+MVTMARS25!M21+MVTAVRIL25!M21+MVTMAI25!M21+MVTJUIN25!M21+MVTJUIL25!M21+MVTAOUT25!M21+MVTSEPT25!M21+MVTOCT25!M21+MVTNOV25!M21+MVTDEC25!M21</f>
        <v>12000</v>
      </c>
      <c r="N21" s="13">
        <f>MVTJANV25!N21+MVTFEV25!N21+MVTMARS25!N21+MVTAVRIL25!N21+MVTMAI25!N21+MVTJUIN25!N21+MVTJUIL25!N21+MVTAOUT25!N21+MVTSEPT25!N21+MVTOCT25!N21+MVTNOV25!N21+MVTDEC25!N21</f>
        <v>12000</v>
      </c>
      <c r="O21" s="13">
        <f>MVTJANV25!O21+MVTFEV25!O21+MVTMARS25!O21+MVTAVRIL25!O21+MVTMAI25!O21+MVTJUIN25!O21+MVTJUIL25!O21+MVTAOUT25!O21+MVTSEPT25!O21+MVTOCT25!O21+MVTNOV25!O21+MVTDEC25!O21</f>
        <v>48000</v>
      </c>
      <c r="P21" s="13">
        <f>MVTJANV25!P21+MVTFEV25!P21+MVTMARS25!P21+MVTAVRIL25!P21+MVTMAI25!P21+MVTJUIN25!P21+MVTJUIL25!P21+MVTAOUT25!P21+MVTSEPT25!P21+MVTOCT25!P21+MVTNOV25!P21+MVTDEC25!P21</f>
        <v>0</v>
      </c>
      <c r="Q21" s="13">
        <f>MVTJANV25!Q21+MVTFEV25!Q21+MVTMARS25!Q21+MVTAVRIL25!Q21+MVTMAI25!Q21+MVTJUIN25!Q21+MVTJUIL25!Q21+MVTAOUT25!Q21+MVTSEPT25!Q21+MVTOCT25!Q21+MVTNOV25!Q21+MVTDEC25!Q21</f>
        <v>0</v>
      </c>
      <c r="R21" s="13">
        <f>MVTJANV25!R21+MVTFEV25!R21+MVTMARS25!R21+MVTAVRIL25!R21+MVTMAI25!R21+MVTJUIN25!R21+MVTJUIL25!R21+MVTAOUT25!R21+MVTSEPT25!R21+MVTOCT25!R21+MVTNOV25!R21+MVTDEC25!R21</f>
        <v>0</v>
      </c>
      <c r="S21" s="36">
        <f>MVTJANV25!S21+MVTFEV25!S21+MVTMARS25!S21+MVTAVRIL25!S21+MVTMAI25!S21+MVTJUIN25!S21+MVTJUIL25!S21+MVTAOUT25!S21+MVTSEPT25!S21+MVTOCT25!S21+MVTNOV25!S21+MVTDEC25!S21</f>
        <v>300000</v>
      </c>
      <c r="T21" s="36">
        <f>MVTDEC24!T21+MVTJANV25!T21+MVTFEV25!T21+MVTMARS25!T21+MVTAVRIL25!T21+MVTMAI25!T21+MVTJUIN25!T21+MVTJUIL25!T21+MVTAOUT25!T21+MVTSEPT25!T21+MVTOCT25!T21+MVTNOV25!T21</f>
        <v>9000</v>
      </c>
      <c r="U21" s="13">
        <f>MVTJANV25!U21+MVTFEV25!U21+MVTMARS25!U21+MVTAVRIL25!U21+MVTMAI25!U21+MVTJUIN25!U21+MVTJUIL25!U21+MVTAOUT25!U21+MVTSEPT25!U21+MVTOCT25!U21+MVTNOV25!U21+MVTDEC25!U21</f>
        <v>0</v>
      </c>
      <c r="V21" s="13">
        <f>MVTJANV25!V21+MVTFEV25!V21+MVTMARS25!V21+MVTAVRIL25!V21+MVTMAI25!V21+MVTJUIN25!V21+MVTJUIL25!V21+MVTAOUT25!V21+MVTSEPT25!V21+MVTOCT25!V21+MVTNOV25!V21+MVTDEC25!V21</f>
        <v>300000</v>
      </c>
      <c r="W21" s="13">
        <f t="shared" si="1"/>
        <v>0</v>
      </c>
      <c r="X21" s="13"/>
      <c r="Y21" s="13">
        <f>MVTJANV25!Y21+MVTFEV25!Y21+MVTMARS25!Y21+MVTAVRIL25!Y21+MVTMAI25!Y21+MVTJUIN25!Y21+MVTJUIL25!Y21+MVTAOUT25!Y21+MVTSEPT25!Y21+MVTOCT25!Y21+MVTNOV25!Y21+MVTDEC25!Y21</f>
        <v>0</v>
      </c>
      <c r="Z21" s="13">
        <f>MVTJANV25!Z21+MVTFEV25!Z21+MVTMARS25!Z21+MVTAVRIL25!Z21+MVTMAI25!Z21+MVTJUIN25!Z21+MVTJUIL25!Z21+MVTAOUT25!Z21+MVTSEPT25!Z21+MVTOCT25!Z21+MVTNOV25!Z21+MVTDEC25!Z21</f>
        <v>0</v>
      </c>
      <c r="AA21" s="13">
        <f>MVTJANV25!AA21+MVTFEV25!AA21+MVTMARS25!AA21+MVTAVRIL25!AA21+MVTMAI25!AA21+MVTJUIN25!AA21+MVTJUIL25!AA21+MVTAOUT25!AA21+MVTSEPT25!AA21+MVTOCT25!AA21+MVTNOV25!AA21+MVTDEC25!AA21</f>
        <v>0</v>
      </c>
      <c r="AB21" s="13">
        <f>MVTJANV25!AB21+MVTFEV25!AB21+MVTMARS25!AB21+MVTAVRIL25!AB21+MVTMAI25!AB21+MVTJUIN25!AB21+MVTJUIL25!AB21+MVTAOUT25!AB21+MVTSEPT25!AB21+MVTOCT25!AB21+MVTNOV25!AB21+MVTDEC25!AB21</f>
        <v>0</v>
      </c>
      <c r="AC21" s="13">
        <f>MVTJANV25!AC21+MVTFEV25!AC21+MVTMARS25!AC21+MVTAVRIL25!AC21+MVTMAI25!AC21+MVTJUIN25!AC21+MVTJUIL25!AC21+MVTAOUT25!AC21+MVTSEPT25!AC21+MVTOCT25!AC21+MVTNOV25!AC21+MVTDEC25!AC21</f>
        <v>0</v>
      </c>
      <c r="AD21" s="13">
        <f>MVTJANV25!AD21+MVTFEV25!AD21+MVTMARS25!AD21+MVTAVRIL25!AD21+MVTMAI25!AD21+MVTJUIN25!AD21+MVTJUIL25!AD21+MVTAOUT25!AD21+MVTSEPT25!AD21+MVTOCT25!AD21+MVTNOV25!AD21+MVTDEC25!AD21</f>
        <v>0</v>
      </c>
      <c r="AE21" s="13">
        <f>MVTJANV25!AE21+MVTFEV25!AE21+MVTMARS25!AE21+MVTAVRIL25!AE21+MVTMAI25!AE21+MVTJUIN25!AE21+MVTJUIL25!AE21+MVTAOUT25!AE21+MVTSEPT25!AE21+MVTOCT25!AE21+MVTNOV25!AE21+MVTDEC25!AE21</f>
        <v>0</v>
      </c>
      <c r="AF21" s="13">
        <f>MVTJANV25!AF21+MVTFEV25!AF21+MVTMARS25!AF21+MVTAVRIL25!AF21+MVTMAI25!AF21+MVTJUIN25!AF21+MVTJUIL25!AF21+MVTAOUT25!AF21+MVTSEPT25!AF21+MVTOCT25!AF21+MVTNOV25!AF21+MVTDEC25!AF21</f>
        <v>0</v>
      </c>
      <c r="AG21" s="13">
        <f>MVTJANV25!AG21+MVTFEV25!AG21+MVTMARS25!AG21+MVTAVRIL25!AG21+MVTMAI25!AG21+MVTJUIN25!AG21+MVTJUIL25!AG21+MVTAOUT25!AG21+MVTSEPT25!AG21+MVTOCT25!AG21+MVTNOV25!AG21+MVTDEC25!AG21</f>
        <v>0</v>
      </c>
      <c r="AH21" s="13">
        <f>MVTJANV25!AH21+MVTFEV25!AH21+MVTMARS25!AH21+MVTAVRIL25!AH21+MVTMAI25!AH21+MVTJUIN25!AH21+MVTJUIL25!AH21+MVTAOUT25!AH21+MVTSEPT25!AH21+MVTOCT25!AH21+MVTNOV25!AH21+MVTDEC25!AH21</f>
        <v>0</v>
      </c>
      <c r="AI21" s="13">
        <f>MVTJANV25!AI21+MVTFEV25!AI21+MVTMARS25!AI21+MVTAVRIL25!AI21+MVTMAI25!AI21+MVTJUIN25!AI21+MVTJUIL25!AI21+MVTAOUT25!AI21+MVTSEPT25!AI21+MVTOCT25!AI21+MVTNOV25!AI21+MVTDEC25!AI21</f>
        <v>0</v>
      </c>
      <c r="AJ21" s="13">
        <f>MVTJANV25!AJ21+MVTFEV25!AJ21+MVTMARS25!AJ21+MVTAVRIL25!AJ21+MVTMAI25!AJ21+MVTJUIN25!AJ21+MVTJUIL25!AJ21+MVTAOUT25!AJ21+MVTSEPT25!AJ21+MVTOCT25!AJ21+MVTNOV25!AJ21+MVTDEC25!AJ21</f>
        <v>0</v>
      </c>
      <c r="AK21" s="13">
        <f>MVTJANV25!AK21+MVTFEV25!AK21+MVTMARS25!AK21+MVTAVRIL25!AK21+MVTMAI25!AK21+MVTJUIN25!AK21+MVTJUIL25!AK21+MVTAOUT25!AK21+MVTSEPT25!AK21+MVTOCT25!AK21+MVTNOV25!AK21+MVTDEC25!AK21</f>
        <v>0</v>
      </c>
      <c r="AM21" s="11"/>
    </row>
    <row r="22" spans="1:39" ht="15.5" x14ac:dyDescent="0.35">
      <c r="A22" s="1" t="s">
        <v>75</v>
      </c>
      <c r="B22" s="1" t="str">
        <f>VLOOKUP(A22,[24]LISTADHERENT!A$5:H$60,3,0)</f>
        <v>MBOGNING TUGMA GUY</v>
      </c>
      <c r="C22" s="36">
        <f>+MVTDEC24!C22</f>
        <v>800000</v>
      </c>
      <c r="D22" s="36">
        <f>+MVTDEC24!D22</f>
        <v>8501</v>
      </c>
      <c r="E22" s="36">
        <f>MVTJANV25!E22+MVTFEV25!E22+MVTMARS25!E22+MVTAVRIL25!E22+MVTMAI25!E22+MVTJUIN25!E22+MVTJUIL25!E22+MVTAOUT25!E22+MVTSEPT25!E22+MVTOCT25!E22+MVTNOV25!E22+MVTDEC25!E22</f>
        <v>0</v>
      </c>
      <c r="F22" s="36">
        <f>MVTJANV25!F22+MVTFEV25!F22+MVTMARS25!F22+MVTAVRIL25!F22+MVTMAI25!F22+MVTJUIN25!F22+MVTJUIL25!F22+MVTAOUT25!F22+MVTSEPT25!F22+MVTOCT25!F22+MVTNOV25!F22+MVTDEC25!F22</f>
        <v>11901155.119929681</v>
      </c>
      <c r="G22" s="5">
        <f>MVTJANV25!G22+MVTFEV25!G22+MVTMARS25!G22+MVTAVRIL25!G22+MVTMAI25!G22+MVTJUIN25!G22+MVTJUIL25!G22+MVTAOUT25!G22+MVTSEPT25!G22+MVTOCT25!G22+MVTNOV25!G22+MVTDEC25!G22</f>
        <v>11442600.795213612</v>
      </c>
      <c r="H22" s="36">
        <f>MVTDEC24!H22+MVTJANV25!H22+MVTFEV25!H22+MVTMARS25!H22+MVTAVRIL25!H22+MVTMAI25!H22+MVTJUIN25!H22+MVTJUIL25!H22+MVTAOUT25!H22+MVTSEPT25!H22+MVTOCT25!H22+MVTNOV25!H22</f>
        <v>68173.077041563185</v>
      </c>
      <c r="I22" s="184">
        <f t="shared" si="0"/>
        <v>11969328.196971243</v>
      </c>
      <c r="J22" s="36">
        <f>MVTJANV25!J22+MVTFEV25!J22+MVTMARS25!J22+MVTAVRIL25!J22+MVTMAI25!J22+MVTJUIN25!J22+MVTJUIL25!J22+MVTAOUT25!J22+MVTSEPT25!J22+MVTOCT25!J22+MVTNOV25!J22+MVTDEC25!J22</f>
        <v>0</v>
      </c>
      <c r="K22" s="36">
        <f>MVTJANV25!K22+MVTFEV25!K22+MVTMARS25!K22+MVTAVRIL25!K22+MVTMAI25!K22+MVTJUIN25!K22+MVTJUIL25!K22+MVTAOUT25!K22+MVTSEPT25!K22+MVTOCT25!K22+MVTNOV25!K22+MVTDEC25!K22</f>
        <v>304900</v>
      </c>
      <c r="L22" s="36">
        <f>MVTJANV25!L22+MVTFEV25!L22+MVTMARS25!L22+MVTAVRIL25!L22+MVTMAI25!L22+MVTJUIN25!L22+MVTJUIL25!L22+MVTAOUT25!L22+MVTSEPT25!L22+MVTOCT25!L22+MVTNOV25!L22+MVTDEC25!L22</f>
        <v>232900</v>
      </c>
      <c r="M22" s="36">
        <f>MVTJANV25!M22+MVTFEV25!M22+MVTMARS25!M22+MVTAVRIL25!M22+MVTMAI25!M22+MVTJUIN25!M22+MVTJUIL25!M22+MVTAOUT25!M22+MVTSEPT25!M22+MVTOCT25!M22+MVTNOV25!M22+MVTDEC25!M22</f>
        <v>12000</v>
      </c>
      <c r="N22" s="36">
        <f>MVTJANV25!N22+MVTFEV25!N22+MVTMARS25!N22+MVTAVRIL25!N22+MVTMAI25!N22+MVTJUIN25!N22+MVTJUIL25!N22+MVTAOUT25!N22+MVTSEPT25!N22+MVTOCT25!N22+MVTNOV25!N22+MVTDEC25!N22</f>
        <v>12000</v>
      </c>
      <c r="O22" s="36">
        <f>MVTJANV25!O22+MVTFEV25!O22+MVTMARS25!O22+MVTAVRIL25!O22+MVTMAI25!O22+MVTJUIN25!O22+MVTJUIL25!O22+MVTAOUT25!O22+MVTSEPT25!O22+MVTOCT25!O22+MVTNOV25!O22+MVTDEC25!O22</f>
        <v>48000</v>
      </c>
      <c r="P22" s="36">
        <f>MVTJANV25!P22+MVTFEV25!P22+MVTMARS25!P22+MVTAVRIL25!P22+MVTMAI25!P22+MVTJUIN25!P22+MVTJUIL25!P22+MVTAOUT25!P22+MVTSEPT25!P22+MVTOCT25!P22+MVTNOV25!P22+MVTDEC25!P22</f>
        <v>6000</v>
      </c>
      <c r="Q22" s="36">
        <f>MVTJANV25!Q22+MVTFEV25!Q22+MVTMARS25!Q22+MVTAVRIL25!Q22+MVTMAI25!Q22+MVTJUIN25!Q22+MVTJUIL25!Q22+MVTAOUT25!Q22+MVTSEPT25!Q22+MVTOCT25!Q22+MVTNOV25!Q22+MVTDEC25!Q22</f>
        <v>0</v>
      </c>
      <c r="R22" s="36">
        <f>MVTJANV25!R22+MVTFEV25!R22+MVTMARS25!R22+MVTAVRIL25!R22+MVTMAI25!R22+MVTJUIN25!R22+MVTJUIL25!R22+MVTAOUT25!R22+MVTSEPT25!R22+MVTOCT25!R22+MVTNOV25!R22+MVTDEC25!R22</f>
        <v>0</v>
      </c>
      <c r="S22" s="36">
        <f>MVTJANV25!S22+MVTFEV25!S22+MVTMARS25!S22+MVTAVRIL25!S22+MVTMAI25!S22+MVTJUIN25!S22+MVTJUIL25!S22+MVTAOUT25!S22+MVTSEPT25!S22+MVTOCT25!S22+MVTNOV25!S22+MVTDEC25!S22</f>
        <v>4000000</v>
      </c>
      <c r="T22" s="36">
        <f>MVTDEC24!T22+MVTJANV25!T22+MVTFEV25!T22+MVTMARS25!T22+MVTAVRIL25!T22+MVTMAI25!T22+MVTJUIN25!T22+MVTJUIL25!T22+MVTAOUT25!T22+MVTSEPT25!T22+MVTOCT25!T22+MVTNOV25!T22</f>
        <v>120000</v>
      </c>
      <c r="U22" s="36">
        <f>MVTJANV25!U22+MVTFEV25!U22+MVTMARS25!U22+MVTAVRIL25!U22+MVTMAI25!U22+MVTJUIN25!U22+MVTJUIL25!U22+MVTAOUT25!U22+MVTSEPT25!U22+MVTOCT25!U22+MVTNOV25!U22+MVTDEC25!U22</f>
        <v>0</v>
      </c>
      <c r="V22" s="36">
        <f>MVTJANV25!V22+MVTFEV25!V22+MVTMARS25!V22+MVTAVRIL25!V22+MVTMAI25!V22+MVTJUIN25!V22+MVTJUIL25!V22+MVTAOUT25!V22+MVTSEPT25!V22+MVTOCT25!V22+MVTNOV25!V22+MVTDEC25!V22</f>
        <v>4000000</v>
      </c>
      <c r="W22" s="36">
        <f t="shared" si="1"/>
        <v>0</v>
      </c>
      <c r="X22" s="186">
        <v>45827</v>
      </c>
      <c r="Y22" s="36">
        <f>MVTJANV25!Y22+MVTFEV25!Y22+MVTMARS25!Y22+MVTAVRIL25!Y22+MVTMAI25!Y22+MVTJUIN25!Y22+MVTJUIL25!Y22+MVTAOUT25!Y22+MVTSEPT25!Y22+MVTOCT25!Y22+MVTNOV25!Y22+MVTDEC25!Y22</f>
        <v>0</v>
      </c>
      <c r="Z22" s="36">
        <f>MVTJANV25!Z22+MVTFEV25!Z22+MVTMARS25!Z22+MVTAVRIL25!Z22+MVTMAI25!Z22+MVTJUIN25!Z22+MVTJUIL25!Z22+MVTAOUT25!Z22+MVTSEPT25!Z22+MVTOCT25!Z22+MVTNOV25!Z22+MVTDEC25!Z22</f>
        <v>0</v>
      </c>
      <c r="AA22" s="36">
        <f>MVTJANV25!AA22+MVTFEV25!AA22+MVTMARS25!AA22+MVTAVRIL25!AA22+MVTMAI25!AA22+MVTJUIN25!AA22+MVTJUIL25!AA22+MVTAOUT25!AA22+MVTSEPT25!AA22+MVTOCT25!AA22+MVTNOV25!AA22+MVTDEC25!AA22</f>
        <v>0</v>
      </c>
      <c r="AB22" s="36">
        <f>MVTJANV25!AB22+MVTFEV25!AB22+MVTMARS25!AB22+MVTAVRIL25!AB22+MVTMAI25!AB22+MVTJUIN25!AB22+MVTJUIL25!AB22+MVTAOUT25!AB22+MVTSEPT25!AB22+MVTOCT25!AB22+MVTNOV25!AB22+MVTDEC25!AB22</f>
        <v>0</v>
      </c>
      <c r="AC22" s="36">
        <f>MVTJANV25!AC22+MVTFEV25!AC22+MVTMARS25!AC22+MVTAVRIL25!AC22+MVTMAI25!AC22+MVTJUIN25!AC22+MVTJUIL25!AC22+MVTAOUT25!AC22+MVTSEPT25!AC22+MVTOCT25!AC22+MVTNOV25!AC22+MVTDEC25!AC22</f>
        <v>0</v>
      </c>
      <c r="AD22" s="36">
        <f>MVTJANV25!AD22+MVTFEV25!AD22+MVTMARS25!AD22+MVTAVRIL25!AD22+MVTMAI25!AD22+MVTJUIN25!AD22+MVTJUIL25!AD22+MVTAOUT25!AD22+MVTSEPT25!AD22+MVTOCT25!AD22+MVTNOV25!AD22+MVTDEC25!AD22</f>
        <v>0</v>
      </c>
      <c r="AE22" s="36">
        <f>MVTJANV25!AE22+MVTFEV25!AE22+MVTMARS25!AE22+MVTAVRIL25!AE22+MVTMAI25!AE22+MVTJUIN25!AE22+MVTJUIL25!AE22+MVTAOUT25!AE22+MVTSEPT25!AE22+MVTOCT25!AE22+MVTNOV25!AE22+MVTDEC25!AE22</f>
        <v>0</v>
      </c>
      <c r="AF22" s="36">
        <f>MVTJANV25!AF22+MVTFEV25!AF22+MVTMARS25!AF22+MVTAVRIL25!AF22+MVTMAI25!AF22+MVTJUIN25!AF22+MVTJUIL25!AF22+MVTAOUT25!AF22+MVTSEPT25!AF22+MVTOCT25!AF22+MVTNOV25!AF22+MVTDEC25!AF22</f>
        <v>0</v>
      </c>
      <c r="AG22" s="36">
        <f>MVTJANV25!AG22+MVTFEV25!AG22+MVTMARS25!AG22+MVTAVRIL25!AG22+MVTMAI25!AG22+MVTJUIN25!AG22+MVTJUIL25!AG22+MVTAOUT25!AG22+MVTSEPT25!AG22+MVTOCT25!AG22+MVTNOV25!AG22+MVTDEC25!AG22</f>
        <v>0</v>
      </c>
      <c r="AH22" s="36">
        <f>MVTJANV25!AH22+MVTFEV25!AH22+MVTMARS25!AH22+MVTAVRIL25!AH22+MVTMAI25!AH22+MVTJUIN25!AH22+MVTJUIL25!AH22+MVTAOUT25!AH22+MVTSEPT25!AH22+MVTOCT25!AH22+MVTNOV25!AH22+MVTDEC25!AH22</f>
        <v>0</v>
      </c>
      <c r="AI22" s="36">
        <f>MVTJANV25!AI22+MVTFEV25!AI22+MVTMARS25!AI22+MVTAVRIL25!AI22+MVTMAI25!AI22+MVTJUIN25!AI22+MVTJUIL25!AI22+MVTAOUT25!AI22+MVTSEPT25!AI22+MVTOCT25!AI22+MVTNOV25!AI22+MVTDEC25!AI22</f>
        <v>0</v>
      </c>
      <c r="AJ22" s="36">
        <f>MVTJANV25!AJ22+MVTFEV25!AJ22+MVTMARS25!AJ22+MVTAVRIL25!AJ22+MVTMAI25!AJ22+MVTJUIN25!AJ22+MVTJUIL25!AJ22+MVTAOUT25!AJ22+MVTSEPT25!AJ22+MVTOCT25!AJ22+MVTNOV25!AJ22+MVTDEC25!AJ22</f>
        <v>0</v>
      </c>
      <c r="AK22" s="36">
        <f>MVTJANV25!AK22+MVTFEV25!AK22+MVTMARS25!AK22+MVTAVRIL25!AK22+MVTMAI25!AK22+MVTJUIN25!AK22+MVTJUIL25!AK22+MVTAOUT25!AK22+MVTSEPT25!AK22+MVTOCT25!AK22+MVTNOV25!AK22+MVTDEC25!AK22</f>
        <v>0</v>
      </c>
    </row>
    <row r="23" spans="1:39" x14ac:dyDescent="0.35">
      <c r="A23" s="1" t="s">
        <v>50</v>
      </c>
      <c r="B23" s="1" t="str">
        <f>VLOOKUP(A23,[24]LISTADHERENT!A$5:H$60,3,0)</f>
        <v>NANGUEN MARTIN</v>
      </c>
      <c r="C23" s="36">
        <f>+MVTDEC24!C23</f>
        <v>800000</v>
      </c>
      <c r="D23" s="36">
        <f>+MVTDEC24!D23</f>
        <v>7819</v>
      </c>
      <c r="E23" s="36">
        <f>MVTJANV25!E23+MVTFEV25!E23+MVTMARS25!E23+MVTAVRIL25!E23+MVTMAI25!E23+MVTJUIN25!E23+MVTJUIL25!E23+MVTAOUT25!E23+MVTSEPT25!E23+MVTOCT25!E23+MVTNOV25!E23+MVTDEC25!E23</f>
        <v>0</v>
      </c>
      <c r="F23" s="36">
        <f>MVTJANV25!F23+MVTFEV25!F23+MVTMARS25!F23+MVTAVRIL25!F23+MVTMAI25!F23+MVTJUIN25!F23+MVTJUIL25!F23+MVTAOUT25!F23+MVTSEPT25!F23+MVTOCT25!F23+MVTNOV25!F23+MVTDEC25!F23</f>
        <v>11876082.178108374</v>
      </c>
      <c r="G23" s="5">
        <f>MVTJANV25!G23+MVTFEV25!G23+MVTMARS25!G23+MVTAVRIL25!G23+MVTMAI25!G23+MVTJUIN25!G23+MVTJUIL25!G23+MVTAOUT25!G23+MVTSEPT25!G23+MVTOCT25!G23+MVTNOV25!G23+MVTDEC25!G23</f>
        <v>11430964.556963107</v>
      </c>
      <c r="H23" s="36">
        <f>MVTDEC24!H23+MVTJANV25!H23+MVTFEV25!H23+MVTMARS25!H23+MVTAVRIL25!H23+MVTMAI25!H23+MVTJUIN25!H23+MVTJUIL25!H23+MVTAOUT25!H23+MVTSEPT25!H23+MVTOCT25!H23+MVTNOV25!H23</f>
        <v>68105.833695305773</v>
      </c>
      <c r="I23" s="184">
        <f t="shared" si="0"/>
        <v>11944188.011803679</v>
      </c>
      <c r="J23" s="36">
        <f>MVTJANV25!J23+MVTFEV25!J23+MVTMARS25!J23+MVTAVRIL25!J23+MVTMAI25!J23+MVTJUIN25!J23+MVTJUIL25!J23+MVTAOUT25!J23+MVTSEPT25!J23+MVTOCT25!J23+MVTNOV25!J23+MVTDEC25!J23</f>
        <v>0</v>
      </c>
      <c r="K23" s="36">
        <f>MVTJANV25!K23+MVTFEV25!K23+MVTMARS25!K23+MVTAVRIL25!K23+MVTMAI25!K23+MVTJUIN25!K23+MVTJUIL25!K23+MVTAOUT25!K23+MVTSEPT25!K23+MVTOCT25!K23+MVTNOV25!K23+MVTDEC25!K23</f>
        <v>300000</v>
      </c>
      <c r="L23" s="36">
        <f>MVTJANV25!L23+MVTFEV25!L23+MVTMARS25!L23+MVTAVRIL25!L23+MVTMAI25!L23+MVTJUIN25!L23+MVTJUIL25!L23+MVTAOUT25!L23+MVTSEPT25!L23+MVTOCT25!L23+MVTNOV25!L23+MVTDEC25!L23</f>
        <v>228000</v>
      </c>
      <c r="M23" s="36">
        <f>MVTJANV25!M23+MVTFEV25!M23+MVTMARS25!M23+MVTAVRIL25!M23+MVTMAI25!M23+MVTJUIN25!M23+MVTJUIL25!M23+MVTAOUT25!M23+MVTSEPT25!M23+MVTOCT25!M23+MVTNOV25!M23+MVTDEC25!M23</f>
        <v>12000</v>
      </c>
      <c r="N23" s="36">
        <f>MVTJANV25!N23+MVTFEV25!N23+MVTMARS25!N23+MVTAVRIL25!N23+MVTMAI25!N23+MVTJUIN25!N23+MVTJUIL25!N23+MVTAOUT25!N23+MVTSEPT25!N23+MVTOCT25!N23+MVTNOV25!N23+MVTDEC25!N23</f>
        <v>12000</v>
      </c>
      <c r="O23" s="36">
        <f>MVTJANV25!O23+MVTFEV25!O23+MVTMARS25!O23+MVTAVRIL25!O23+MVTMAI25!O23+MVTJUIN25!O23+MVTJUIL25!O23+MVTAOUT25!O23+MVTSEPT25!O23+MVTOCT25!O23+MVTNOV25!O23+MVTDEC25!O23</f>
        <v>48000</v>
      </c>
      <c r="P23" s="36">
        <f>MVTJANV25!P23+MVTFEV25!P23+MVTMARS25!P23+MVTAVRIL25!P23+MVTMAI25!P23+MVTJUIN25!P23+MVTJUIL25!P23+MVTAOUT25!P23+MVTSEPT25!P23+MVTOCT25!P23+MVTNOV25!P23+MVTDEC25!P23</f>
        <v>3000</v>
      </c>
      <c r="Q23" s="36">
        <f>MVTJANV25!Q23+MVTFEV25!Q23+MVTMARS25!Q23+MVTAVRIL25!Q23+MVTMAI25!Q23+MVTJUIN25!Q23+MVTJUIL25!Q23+MVTAOUT25!Q23+MVTSEPT25!Q23+MVTOCT25!Q23+MVTNOV25!Q23+MVTDEC25!Q23</f>
        <v>0</v>
      </c>
      <c r="R23" s="36">
        <f>MVTJANV25!R23+MVTFEV25!R23+MVTMARS25!R23+MVTAVRIL25!R23+MVTMAI25!R23+MVTJUIN25!R23+MVTJUIL25!R23+MVTAOUT25!R23+MVTSEPT25!R23+MVTOCT25!R23+MVTNOV25!R23+MVTDEC25!R23</f>
        <v>0</v>
      </c>
      <c r="S23" s="36">
        <f>MVTJANV25!S23+MVTFEV25!S23+MVTMARS25!S23+MVTAVRIL25!S23+MVTMAI25!S23+MVTJUIN25!S23+MVTJUIL25!S23+MVTAOUT25!S23+MVTSEPT25!S23+MVTOCT25!S23+MVTNOV25!S23+MVTDEC25!S23</f>
        <v>0</v>
      </c>
      <c r="T23" s="36">
        <f>MVTDEC24!T23+MVTJANV25!T23+MVTFEV25!T23+MVTMARS25!T23+MVTAVRIL25!T23+MVTMAI25!T23+MVTJUIN25!T23+MVTJUIL25!T23+MVTAOUT25!T23+MVTSEPT25!T23+MVTOCT25!T23+MVTNOV25!T23</f>
        <v>0</v>
      </c>
      <c r="U23" s="36">
        <f>MVTJANV25!U23+MVTFEV25!U23+MVTMARS25!U23+MVTAVRIL25!U23+MVTMAI25!U23+MVTJUIN25!U23+MVTJUIL25!U23+MVTAOUT25!U23+MVTSEPT25!U23+MVTOCT25!U23+MVTNOV25!U23+MVTDEC25!U23</f>
        <v>0</v>
      </c>
      <c r="V23" s="36">
        <f>MVTJANV25!V23+MVTFEV25!V23+MVTMARS25!V23+MVTAVRIL25!V23+MVTMAI25!V23+MVTJUIN25!V23+MVTJUIL25!V23+MVTAOUT25!V23+MVTSEPT25!V23+MVTOCT25!V23+MVTNOV25!V23+MVTDEC25!V23</f>
        <v>0</v>
      </c>
      <c r="W23" s="36">
        <f t="shared" si="1"/>
        <v>0</v>
      </c>
      <c r="X23" s="36"/>
      <c r="Y23" s="36">
        <f>MVTJANV25!Y23+MVTFEV25!Y23+MVTMARS25!Y23+MVTAVRIL25!Y23+MVTMAI25!Y23+MVTJUIN25!Y23+MVTJUIL25!Y23+MVTAOUT25!Y23+MVTSEPT25!Y23+MVTOCT25!Y23+MVTNOV25!Y23+MVTDEC25!Y23</f>
        <v>0</v>
      </c>
      <c r="Z23" s="36">
        <f>MVTJANV25!Z23+MVTFEV25!Z23+MVTMARS25!Z23+MVTAVRIL25!Z23+MVTMAI25!Z23+MVTJUIN25!Z23+MVTJUIL25!Z23+MVTAOUT25!Z23+MVTSEPT25!Z23+MVTOCT25!Z23+MVTNOV25!Z23+MVTDEC25!Z23</f>
        <v>0</v>
      </c>
      <c r="AA23" s="36">
        <f>MVTJANV25!AA23+MVTFEV25!AA23+MVTMARS25!AA23+MVTAVRIL25!AA23+MVTMAI25!AA23+MVTJUIN25!AA23+MVTJUIL25!AA23+MVTAOUT25!AA23+MVTSEPT25!AA23+MVTOCT25!AA23+MVTNOV25!AA23+MVTDEC25!AA23</f>
        <v>0</v>
      </c>
      <c r="AB23" s="36">
        <f>MVTJANV25!AB23+MVTFEV25!AB23+MVTMARS25!AB23+MVTAVRIL25!AB23+MVTMAI25!AB23+MVTJUIN25!AB23+MVTJUIL25!AB23+MVTAOUT25!AB23+MVTSEPT25!AB23+MVTOCT25!AB23+MVTNOV25!AB23+MVTDEC25!AB23</f>
        <v>0</v>
      </c>
      <c r="AC23" s="36">
        <f>MVTJANV25!AC23+MVTFEV25!AC23+MVTMARS25!AC23+MVTAVRIL25!AC23+MVTMAI25!AC23+MVTJUIN25!AC23+MVTJUIL25!AC23+MVTAOUT25!AC23+MVTSEPT25!AC23+MVTOCT25!AC23+MVTNOV25!AC23+MVTDEC25!AC23</f>
        <v>0</v>
      </c>
      <c r="AD23" s="36">
        <f>MVTJANV25!AD23+MVTFEV25!AD23+MVTMARS25!AD23+MVTAVRIL25!AD23+MVTMAI25!AD23+MVTJUIN25!AD23+MVTJUIL25!AD23+MVTAOUT25!AD23+MVTSEPT25!AD23+MVTOCT25!AD23+MVTNOV25!AD23+MVTDEC25!AD23</f>
        <v>0</v>
      </c>
      <c r="AE23" s="36">
        <f>MVTJANV25!AE23+MVTFEV25!AE23+MVTMARS25!AE23+MVTAVRIL25!AE23+MVTMAI25!AE23+MVTJUIN25!AE23+MVTJUIL25!AE23+MVTAOUT25!AE23+MVTSEPT25!AE23+MVTOCT25!AE23+MVTNOV25!AE23+MVTDEC25!AE23</f>
        <v>0</v>
      </c>
      <c r="AF23" s="36">
        <f>MVTJANV25!AF23+MVTFEV25!AF23+MVTMARS25!AF23+MVTAVRIL25!AF23+MVTMAI25!AF23+MVTJUIN25!AF23+MVTJUIL25!AF23+MVTAOUT25!AF23+MVTSEPT25!AF23+MVTOCT25!AF23+MVTNOV25!AF23+MVTDEC25!AF23</f>
        <v>0</v>
      </c>
      <c r="AG23" s="36">
        <f>MVTJANV25!AG23+MVTFEV25!AG23+MVTMARS25!AG23+MVTAVRIL25!AG23+MVTMAI25!AG23+MVTJUIN25!AG23+MVTJUIL25!AG23+MVTAOUT25!AG23+MVTSEPT25!AG23+MVTOCT25!AG23+MVTNOV25!AG23+MVTDEC25!AG23</f>
        <v>0</v>
      </c>
      <c r="AH23" s="36">
        <f>MVTJANV25!AH23+MVTFEV25!AH23+MVTMARS25!AH23+MVTAVRIL25!AH23+MVTMAI25!AH23+MVTJUIN25!AH23+MVTJUIL25!AH23+MVTAOUT25!AH23+MVTSEPT25!AH23+MVTOCT25!AH23+MVTNOV25!AH23+MVTDEC25!AH23</f>
        <v>0</v>
      </c>
      <c r="AI23" s="36">
        <f>MVTJANV25!AI23+MVTFEV25!AI23+MVTMARS25!AI23+MVTAVRIL25!AI23+MVTMAI25!AI23+MVTJUIN25!AI23+MVTJUIL25!AI23+MVTAOUT25!AI23+MVTSEPT25!AI23+MVTOCT25!AI23+MVTNOV25!AI23+MVTDEC25!AI23</f>
        <v>100000</v>
      </c>
      <c r="AJ23" s="36">
        <f>MVTJANV25!AJ23+MVTFEV25!AJ23+MVTMARS25!AJ23+MVTAVRIL25!AJ23+MVTMAI25!AJ23+MVTJUIN25!AJ23+MVTJUIL25!AJ23+MVTAOUT25!AJ23+MVTSEPT25!AJ23+MVTOCT25!AJ23+MVTNOV25!AJ23+MVTDEC25!AJ23</f>
        <v>0</v>
      </c>
      <c r="AK23" s="36">
        <f>MVTJANV25!AK23+MVTFEV25!AK23+MVTMARS25!AK23+MVTAVRIL25!AK23+MVTMAI25!AK23+MVTJUIN25!AK23+MVTJUIL25!AK23+MVTAOUT25!AK23+MVTSEPT25!AK23+MVTOCT25!AK23+MVTNOV25!AK23+MVTDEC25!AK23</f>
        <v>0</v>
      </c>
    </row>
    <row r="24" spans="1:39" x14ac:dyDescent="0.35">
      <c r="A24" s="1" t="s">
        <v>37</v>
      </c>
      <c r="B24" s="1" t="str">
        <f>VLOOKUP(A24,[24]LISTADHERENT!A$5:H$60,3,0)</f>
        <v>NANKAM APPOLINAIRE</v>
      </c>
      <c r="C24" s="36">
        <f>+MVTDEC24!C24</f>
        <v>800000</v>
      </c>
      <c r="D24" s="36">
        <f>+MVTDEC24!D24</f>
        <v>249258</v>
      </c>
      <c r="E24" s="36">
        <f>MVTJANV25!E24+MVTFEV25!E24+MVTMARS25!E24+MVTAVRIL25!E24+MVTMAI25!E24+MVTJUIN25!E24+MVTJUIL25!E24+MVTAOUT25!E24+MVTSEPT25!E24+MVTOCT25!E24+MVTNOV25!E24+MVTDEC25!E24</f>
        <v>1200000</v>
      </c>
      <c r="F24" s="36">
        <f>MVTJANV25!F24+MVTFEV25!F24+MVTMARS25!F24+MVTAVRIL25!F24+MVTMAI25!F24+MVTJUIN25!F24+MVTJUIL25!F24+MVTAOUT25!F24+MVTSEPT25!F24+MVTOCT25!F24+MVTNOV25!F24+MVTDEC25!F24</f>
        <v>12312654.222364482</v>
      </c>
      <c r="G24" s="5">
        <f>MVTJANV25!G24+MVTFEV25!G24+MVTMARS25!G24+MVTAVRIL25!G24+MVTMAI25!G24+MVTJUIN25!G24+MVTJUIL25!G24+MVTAOUT25!G24+MVTSEPT25!G24+MVTOCT25!G24+MVTNOV25!G24+MVTDEC25!G24</f>
        <v>11868959.630012579</v>
      </c>
      <c r="H24" s="36">
        <f>MVTDEC24!H24+MVTJANV25!H24+MVTFEV25!H24+MVTMARS25!H24+MVTAVRIL25!H24+MVTMAI25!H24+MVTJUIN25!H24+MVTJUIL25!H24+MVTAOUT25!H24+MVTSEPT25!H24+MVTOCT25!H24+MVTNOV25!H24</f>
        <v>80837.303523370079</v>
      </c>
      <c r="I24" s="184">
        <f t="shared" si="0"/>
        <v>12393491.525887853</v>
      </c>
      <c r="J24" s="36">
        <f>MVTJANV25!J24+MVTFEV25!J24+MVTMARS25!J24+MVTAVRIL25!J24+MVTMAI25!J24+MVTJUIN25!J24+MVTJUIL25!J24+MVTAOUT25!J24+MVTSEPT25!J24+MVTOCT25!J24+MVTNOV25!J24+MVTDEC25!J24</f>
        <v>0</v>
      </c>
      <c r="K24" s="36">
        <f>MVTJANV25!K24+MVTFEV25!K24+MVTMARS25!K24+MVTAVRIL25!K24+MVTMAI25!K24+MVTJUIN25!K24+MVTJUIL25!K24+MVTAOUT25!K24+MVTSEPT25!K24+MVTOCT25!K24+MVTNOV25!K24+MVTDEC25!K24</f>
        <v>1192500</v>
      </c>
      <c r="L24" s="36">
        <f>MVTJANV25!L24+MVTFEV25!L24+MVTMARS25!L24+MVTAVRIL25!L24+MVTMAI25!L24+MVTJUIN25!L24+MVTJUIL25!L24+MVTAOUT25!L24+MVTSEPT25!L24+MVTOCT25!L24+MVTNOV25!L24+MVTDEC25!L24-600000</f>
        <v>686500</v>
      </c>
      <c r="M24" s="36">
        <f>MVTJANV25!M24+MVTFEV25!M24+MVTMARS25!M24+MVTAVRIL25!M24+MVTMAI25!M24+MVTJUIN25!M24+MVTJUIL25!M24+MVTAOUT25!M24+MVTSEPT25!M24+MVTOCT25!M24+MVTNOV25!M24+MVTDEC25!M24</f>
        <v>12000</v>
      </c>
      <c r="N24" s="36">
        <f>MVTJANV25!N24+MVTFEV25!N24+MVTMARS25!N24+MVTAVRIL25!N24+MVTMAI25!N24+MVTJUIN25!N24+MVTJUIL25!N24+MVTAOUT25!N24+MVTSEPT25!N24+MVTOCT25!N24+MVTNOV25!N24+MVTDEC25!N24</f>
        <v>12000</v>
      </c>
      <c r="O24" s="36">
        <f>MVTJANV25!O24+MVTFEV25!O24+MVTMARS25!O24+MVTAVRIL25!O24+MVTMAI25!O24+MVTJUIN25!O24+MVTJUIL25!O24+MVTAOUT25!O24+MVTSEPT25!O24+MVTOCT25!O24+MVTNOV25!O24+MVTDEC25!O24</f>
        <v>48000</v>
      </c>
      <c r="P24" s="36">
        <f>MVTJANV25!P24+MVTFEV25!P24+MVTMARS25!P24+MVTAVRIL25!P24+MVTMAI25!P24+MVTJUIN25!P24+MVTJUIL25!P24+MVTAOUT25!P24+MVTSEPT25!P24+MVTOCT25!P24+MVTNOV25!P24+MVTDEC25!P24</f>
        <v>0</v>
      </c>
      <c r="Q24" s="36">
        <f>MVTJANV25!Q24+MVTFEV25!Q24+MVTMARS25!Q24+MVTAVRIL25!Q24+MVTMAI25!Q24+MVTJUIN25!Q24+MVTJUIL25!Q24+MVTAOUT25!Q24+MVTSEPT25!Q24+MVTOCT25!Q24+MVTNOV25!Q24+MVTDEC25!Q24</f>
        <v>0</v>
      </c>
      <c r="R24" s="36">
        <f>MVTJANV25!R24+MVTFEV25!R24+MVTMARS25!R24+MVTAVRIL25!R24+MVTMAI25!R24+MVTJUIN25!R24+MVTJUIL25!R24+MVTAOUT25!R24+MVTSEPT25!R24+MVTOCT25!R24+MVTNOV25!R24+MVTDEC25!R24</f>
        <v>0</v>
      </c>
      <c r="S24" s="36">
        <f>MVTJANV25!S24+MVTFEV25!S24+MVTMARS25!S24+MVTAVRIL25!S24+MVTMAI25!S24+MVTJUIN25!S24+MVTJUIL25!S24+MVTAOUT25!S24+MVTSEPT25!S24+MVTOCT25!S24+MVTNOV25!S24+MVTDEC25!S24</f>
        <v>900000</v>
      </c>
      <c r="T24" s="36">
        <f>MVTDEC24!T24+MVTJANV25!T24+MVTFEV25!T24+MVTMARS25!T24+MVTAVRIL25!T24+MVTMAI25!T24+MVTJUIN25!T24+MVTJUIL25!T24+MVTAOUT25!T24+MVTSEPT25!T24+MVTOCT25!T24+MVTNOV25!T24</f>
        <v>108000</v>
      </c>
      <c r="U24" s="36">
        <f>MVTJANV25!U24+MVTFEV25!U24+MVTMARS25!U24+MVTAVRIL25!U24+MVTMAI25!U24+MVTJUIN25!U24+MVTJUIL25!U24+MVTAOUT25!U24+MVTSEPT25!U24+MVTOCT25!U24+MVTNOV25!U24+MVTDEC25!U24</f>
        <v>0</v>
      </c>
      <c r="V24" s="36">
        <f>MVTJANV25!V24+MVTFEV25!V24+MVTMARS25!V24+MVTAVRIL25!V24+MVTMAI25!V24+MVTJUIN25!V24+MVTJUIL25!V24+MVTAOUT25!V24+MVTSEPT25!V24+MVTOCT25!V24+MVTNOV25!V24+MVTDEC25!V24</f>
        <v>900000</v>
      </c>
      <c r="W24" s="36">
        <f t="shared" si="1"/>
        <v>0</v>
      </c>
      <c r="X24" s="36"/>
      <c r="Y24" s="36">
        <f>MVTJANV25!Y24+MVTFEV25!Y24+MVTMARS25!Y24+MVTAVRIL25!Y24+MVTMAI25!Y24+MVTJUIN25!Y24+MVTJUIL25!Y24+MVTAOUT25!Y24+MVTSEPT25!Y24+MVTOCT25!Y24+MVTNOV25!Y24+MVTDEC25!Y24</f>
        <v>0</v>
      </c>
      <c r="Z24" s="36">
        <f>MVTJANV25!Z24+MVTFEV25!Z24+MVTMARS25!Z24+MVTAVRIL25!Z24+MVTMAI25!Z24+MVTJUIN25!Z24+MVTJUIL25!Z24+MVTAOUT25!Z24+MVTSEPT25!Z24+MVTOCT25!Z24+MVTNOV25!Z24+MVTDEC25!Z24</f>
        <v>0</v>
      </c>
      <c r="AA24" s="36">
        <f>MVTJANV25!AA24+MVTFEV25!AA24+MVTMARS25!AA24+MVTAVRIL25!AA24+MVTMAI25!AA24+MVTJUIN25!AA24+MVTJUIL25!AA24+MVTAOUT25!AA24+MVTSEPT25!AA24+MVTOCT25!AA24+MVTNOV25!AA24+MVTDEC25!AA24</f>
        <v>0</v>
      </c>
      <c r="AB24" s="36">
        <f>MVTJANV25!AB24+MVTFEV25!AB24+MVTMARS25!AB24+MVTAVRIL25!AB24+MVTMAI25!AB24+MVTJUIN25!AB24+MVTJUIL25!AB24+MVTAOUT25!AB24+MVTSEPT25!AB24+MVTOCT25!AB24+MVTNOV25!AB24+MVTDEC25!AB24</f>
        <v>0</v>
      </c>
      <c r="AC24" s="36">
        <f>MVTJANV25!AC24+MVTFEV25!AC24+MVTMARS25!AC24+MVTAVRIL25!AC24+MVTMAI25!AC24+MVTJUIN25!AC24+MVTJUIL25!AC24+MVTAOUT25!AC24+MVTSEPT25!AC24+MVTOCT25!AC24+MVTNOV25!AC24+MVTDEC25!AC24</f>
        <v>0</v>
      </c>
      <c r="AD24" s="36">
        <f>MVTJANV25!AD24+MVTFEV25!AD24+MVTMARS25!AD24+MVTAVRIL25!AD24+MVTMAI25!AD24+MVTJUIN25!AD24+MVTJUIL25!AD24+MVTAOUT25!AD24+MVTSEPT25!AD24+MVTOCT25!AD24+MVTNOV25!AD24+MVTDEC25!AD24</f>
        <v>0</v>
      </c>
      <c r="AE24" s="36">
        <f>MVTJANV25!AE24+MVTFEV25!AE24+MVTMARS25!AE24+MVTAVRIL25!AE24+MVTMAI25!AE24+MVTJUIN25!AE24+MVTJUIL25!AE24+MVTAOUT25!AE24+MVTSEPT25!AE24+MVTOCT25!AE24+MVTNOV25!AE24+MVTDEC25!AE24</f>
        <v>0</v>
      </c>
      <c r="AF24" s="36">
        <f>MVTJANV25!AF24+MVTFEV25!AF24+MVTMARS25!AF24+MVTAVRIL25!AF24+MVTMAI25!AF24+MVTJUIN25!AF24+MVTJUIL25!AF24+MVTAOUT25!AF24+MVTSEPT25!AF24+MVTOCT25!AF24+MVTNOV25!AF24+MVTDEC25!AF24</f>
        <v>0</v>
      </c>
      <c r="AG24" s="36">
        <f>MVTJANV25!AG24+MVTFEV25!AG24+MVTMARS25!AG24+MVTAVRIL25!AG24+MVTMAI25!AG24+MVTJUIN25!AG24+MVTJUIL25!AG24+MVTAOUT25!AG24+MVTSEPT25!AG24+MVTOCT25!AG24+MVTNOV25!AG24+MVTDEC25!AG24</f>
        <v>0</v>
      </c>
      <c r="AH24" s="36">
        <f>MVTJANV25!AH24+MVTFEV25!AH24+MVTMARS25!AH24+MVTAVRIL25!AH24+MVTMAI25!AH24+MVTJUIN25!AH24+MVTJUIL25!AH24+MVTAOUT25!AH24+MVTSEPT25!AH24+MVTOCT25!AH24+MVTNOV25!AH24+MVTDEC25!AH24</f>
        <v>0</v>
      </c>
      <c r="AI24" s="36">
        <f>MVTJANV25!AI24+MVTFEV25!AI24+MVTMARS25!AI24+MVTAVRIL25!AI24+MVTMAI25!AI24+MVTJUIN25!AI24+MVTJUIL25!AI24+MVTAOUT25!AI24+MVTSEPT25!AI24+MVTOCT25!AI24+MVTNOV25!AI24+MVTDEC25!AI24</f>
        <v>0</v>
      </c>
      <c r="AJ24" s="36">
        <f>MVTJANV25!AJ24+MVTFEV25!AJ24+MVTMARS25!AJ24+MVTAVRIL25!AJ24+MVTMAI25!AJ24+MVTJUIN25!AJ24+MVTJUIL25!AJ24+MVTAOUT25!AJ24+MVTSEPT25!AJ24+MVTOCT25!AJ24+MVTNOV25!AJ24+MVTDEC25!AJ24</f>
        <v>0</v>
      </c>
      <c r="AK24" s="36">
        <f>MVTJANV25!AK24+MVTFEV25!AK24+MVTMARS25!AK24+MVTAVRIL25!AK24+MVTMAI25!AK24+MVTJUIN25!AK24+MVTJUIL25!AK24+MVTAOUT25!AK24+MVTSEPT25!AK24+MVTOCT25!AK24+MVTNOV25!AK24+MVTDEC25!AK24</f>
        <v>0</v>
      </c>
    </row>
    <row r="25" spans="1:39" x14ac:dyDescent="0.35">
      <c r="A25" s="1" t="s">
        <v>38</v>
      </c>
      <c r="B25" s="1" t="str">
        <f>VLOOKUP(A25,[24]LISTADHERENT!A$5:H$60,3,0)</f>
        <v>NDJOMO ETIENNE</v>
      </c>
      <c r="C25" s="36">
        <f>+MVTDEC24!C25</f>
        <v>800000</v>
      </c>
      <c r="D25" s="36">
        <f>+MVTDEC24!D25</f>
        <v>256158</v>
      </c>
      <c r="E25" s="36">
        <f>MVTJANV25!E25+MVTFEV25!E25+MVTMARS25!E25+MVTAVRIL25!E25+MVTMAI25!E25+MVTJUIN25!E25+MVTJUIL25!E25+MVTAOUT25!E25+MVTSEPT25!E25+MVTOCT25!E25+MVTNOV25!E25+MVTDEC25!E25</f>
        <v>0</v>
      </c>
      <c r="F25" s="36">
        <f>MVTJANV25!F25+MVTFEV25!F25+MVTMARS25!F25+MVTAVRIL25!F25+MVTMAI25!F25+MVTJUIN25!F25+MVTJUIL25!F25+MVTAOUT25!F25+MVTSEPT25!F25+MVTOCT25!F25+MVTNOV25!F25+MVTDEC25!F25</f>
        <v>15854539.155338185</v>
      </c>
      <c r="G25" s="5">
        <f>MVTJANV25!G25+MVTFEV25!G25+MVTMARS25!G25+MVTAVRIL25!G25+MVTMAI25!G25+MVTJUIN25!G25+MVTJUIL25!G25+MVTAOUT25!G25+MVTSEPT25!G25+MVTOCT25!G25+MVTNOV25!G25+MVTDEC25!G25</f>
        <v>15180251.922014583</v>
      </c>
      <c r="H25" s="36">
        <f>MVTDEC24!H25+MVTJANV25!H25+MVTFEV25!H25+MVTMARS25!H25+MVTAVRIL25!H25+MVTMAI25!H25+MVTJUIN25!H25+MVTJUIL25!H25+MVTAOUT25!H25+MVTSEPT25!H25+MVTOCT25!H25+MVTNOV25!H25</f>
        <v>89546.251867716855</v>
      </c>
      <c r="I25" s="184">
        <f t="shared" si="0"/>
        <v>15944085.407205902</v>
      </c>
      <c r="J25" s="36">
        <f>MVTJANV25!J25+MVTFEV25!J25+MVTMARS25!J25+MVTAVRIL25!J25+MVTMAI25!J25+MVTJUIN25!J25+MVTJUIL25!J25+MVTAOUT25!J25+MVTSEPT25!J25+MVTOCT25!J25+MVTNOV25!J25+MVTDEC25!J25</f>
        <v>0</v>
      </c>
      <c r="K25" s="36">
        <f>MVTJANV25!K25+MVTFEV25!K25+MVTMARS25!K25+MVTAVRIL25!K25+MVTMAI25!K25+MVTJUIN25!K25+MVTJUIL25!K25+MVTAOUT25!K25+MVTSEPT25!K25+MVTOCT25!K25+MVTNOV25!K25+MVTDEC25!K25</f>
        <v>420000</v>
      </c>
      <c r="L25" s="36">
        <f>MVTJANV25!L25+MVTFEV25!L25+MVTMARS25!L25+MVTAVRIL25!L25+MVTMAI25!L25+MVTJUIN25!L25+MVTJUIL25!L25+MVTAOUT25!L25+MVTSEPT25!L25+MVTOCT25!L25+MVTNOV25!L25+MVTDEC25!L25</f>
        <v>348000</v>
      </c>
      <c r="M25" s="36">
        <f>MVTJANV25!M25+MVTFEV25!M25+MVTMARS25!M25+MVTAVRIL25!M25+MVTMAI25!M25+MVTJUIN25!M25+MVTJUIL25!M25+MVTAOUT25!M25+MVTSEPT25!M25+MVTOCT25!M25+MVTNOV25!M25+MVTDEC25!M25</f>
        <v>12000</v>
      </c>
      <c r="N25" s="36">
        <f>MVTJANV25!N25+MVTFEV25!N25+MVTMARS25!N25+MVTAVRIL25!N25+MVTMAI25!N25+MVTJUIN25!N25+MVTJUIL25!N25+MVTAOUT25!N25+MVTSEPT25!N25+MVTOCT25!N25+MVTNOV25!N25+MVTDEC25!N25</f>
        <v>12000</v>
      </c>
      <c r="O25" s="36">
        <f>MVTJANV25!O25+MVTFEV25!O25+MVTMARS25!O25+MVTAVRIL25!O25+MVTMAI25!O25+MVTJUIN25!O25+MVTJUIL25!O25+MVTAOUT25!O25+MVTSEPT25!O25+MVTOCT25!O25+MVTNOV25!O25+MVTDEC25!O25</f>
        <v>48000</v>
      </c>
      <c r="P25" s="36">
        <f>MVTJANV25!P25+MVTFEV25!P25+MVTMARS25!P25+MVTAVRIL25!P25+MVTMAI25!P25+MVTJUIN25!P25+MVTJUIL25!P25+MVTAOUT25!P25+MVTSEPT25!P25+MVTOCT25!P25+MVTNOV25!P25+MVTDEC25!P25</f>
        <v>0</v>
      </c>
      <c r="Q25" s="36">
        <f>MVTJANV25!Q25+MVTFEV25!Q25+MVTMARS25!Q25+MVTAVRIL25!Q25+MVTMAI25!Q25+MVTJUIN25!Q25+MVTJUIL25!Q25+MVTAOUT25!Q25+MVTSEPT25!Q25+MVTOCT25!Q25+MVTNOV25!Q25+MVTDEC25!Q25</f>
        <v>0</v>
      </c>
      <c r="R25" s="36">
        <f>MVTJANV25!R25+MVTFEV25!R25+MVTMARS25!R25+MVTAVRIL25!R25+MVTMAI25!R25+MVTJUIN25!R25+MVTJUIL25!R25+MVTAOUT25!R25+MVTSEPT25!R25+MVTOCT25!R25+MVTNOV25!R25+MVTDEC25!R25</f>
        <v>0</v>
      </c>
      <c r="S25" s="36">
        <f>MVTJANV25!S25+MVTFEV25!S25+MVTMARS25!S25+MVTAVRIL25!S25+MVTMAI25!S25+MVTJUIN25!S25+MVTJUIL25!S25+MVTAOUT25!S25+MVTSEPT25!S25+MVTOCT25!S25+MVTNOV25!S25+MVTDEC25!S25</f>
        <v>1000000</v>
      </c>
      <c r="T25" s="36">
        <f>MVTDEC24!T25+MVTJANV25!T25+MVTFEV25!T25+MVTMARS25!T25+MVTAVRIL25!T25+MVTMAI25!T25+MVTJUIN25!T25+MVTJUIL25!T25+MVTAOUT25!T25+MVTSEPT25!T25+MVTOCT25!T25+MVTNOV25!T25</f>
        <v>60000</v>
      </c>
      <c r="U25" s="36">
        <f>MVTJANV25!U25+MVTFEV25!U25+MVTMARS25!U25+MVTAVRIL25!U25+MVTMAI25!U25+MVTJUIN25!U25+MVTJUIL25!U25+MVTAOUT25!U25+MVTSEPT25!U25+MVTOCT25!U25+MVTNOV25!U25+MVTDEC25!U25</f>
        <v>0</v>
      </c>
      <c r="V25" s="36">
        <f>MVTJANV25!V25+MVTFEV25!V25+MVTMARS25!V25+MVTAVRIL25!V25+MVTMAI25!V25+MVTJUIN25!V25+MVTJUIL25!V25+MVTAOUT25!V25+MVTSEPT25!V25+MVTOCT25!V25+MVTNOV25!V25+MVTDEC25!V25</f>
        <v>1000000</v>
      </c>
      <c r="W25" s="36">
        <f t="shared" si="1"/>
        <v>0</v>
      </c>
      <c r="X25" s="36"/>
      <c r="Y25" s="36">
        <f>MVTJANV25!Y25+MVTFEV25!Y25+MVTMARS25!Y25+MVTAVRIL25!Y25+MVTMAI25!Y25+MVTJUIN25!Y25+MVTJUIL25!Y25+MVTAOUT25!Y25+MVTSEPT25!Y25+MVTOCT25!Y25+MVTNOV25!Y25+MVTDEC25!Y25</f>
        <v>0</v>
      </c>
      <c r="Z25" s="36">
        <f>MVTJANV25!Z25+MVTFEV25!Z25+MVTMARS25!Z25+MVTAVRIL25!Z25+MVTMAI25!Z25+MVTJUIN25!Z25+MVTJUIL25!Z25+MVTAOUT25!Z25+MVTSEPT25!Z25+MVTOCT25!Z25+MVTNOV25!Z25+MVTDEC25!Z25</f>
        <v>0</v>
      </c>
      <c r="AA25" s="36">
        <f>MVTJANV25!AA25+MVTFEV25!AA25+MVTMARS25!AA25+MVTAVRIL25!AA25+MVTMAI25!AA25+MVTJUIN25!AA25+MVTJUIL25!AA25+MVTAOUT25!AA25+MVTSEPT25!AA25+MVTOCT25!AA25+MVTNOV25!AA25+MVTDEC25!AA25</f>
        <v>0</v>
      </c>
      <c r="AB25" s="36">
        <f>MVTJANV25!AB25+MVTFEV25!AB25+MVTMARS25!AB25+MVTAVRIL25!AB25+MVTMAI25!AB25+MVTJUIN25!AB25+MVTJUIL25!AB25+MVTAOUT25!AB25+MVTSEPT25!AB25+MVTOCT25!AB25+MVTNOV25!AB25+MVTDEC25!AB25</f>
        <v>0</v>
      </c>
      <c r="AC25" s="36">
        <f>MVTJANV25!AC25+MVTFEV25!AC25+MVTMARS25!AC25+MVTAVRIL25!AC25+MVTMAI25!AC25+MVTJUIN25!AC25+MVTJUIL25!AC25+MVTAOUT25!AC25+MVTSEPT25!AC25+MVTOCT25!AC25+MVTNOV25!AC25+MVTDEC25!AC25</f>
        <v>0</v>
      </c>
      <c r="AD25" s="36">
        <f>MVTJANV25!AD25+MVTFEV25!AD25+MVTMARS25!AD25+MVTAVRIL25!AD25+MVTMAI25!AD25+MVTJUIN25!AD25+MVTJUIL25!AD25+MVTAOUT25!AD25+MVTSEPT25!AD25+MVTOCT25!AD25+MVTNOV25!AD25+MVTDEC25!AD25</f>
        <v>0</v>
      </c>
      <c r="AE25" s="36">
        <f>MVTJANV25!AE25+MVTFEV25!AE25+MVTMARS25!AE25+MVTAVRIL25!AE25+MVTMAI25!AE25+MVTJUIN25!AE25+MVTJUIL25!AE25+MVTAOUT25!AE25+MVTSEPT25!AE25+MVTOCT25!AE25+MVTNOV25!AE25+MVTDEC25!AE25</f>
        <v>0</v>
      </c>
      <c r="AF25" s="36">
        <f>MVTJANV25!AF25+MVTFEV25!AF25+MVTMARS25!AF25+MVTAVRIL25!AF25+MVTMAI25!AF25+MVTJUIN25!AF25+MVTJUIL25!AF25+MVTAOUT25!AF25+MVTSEPT25!AF25+MVTOCT25!AF25+MVTNOV25!AF25+MVTDEC25!AF25</f>
        <v>0</v>
      </c>
      <c r="AG25" s="36">
        <f>MVTJANV25!AG25+MVTFEV25!AG25+MVTMARS25!AG25+MVTAVRIL25!AG25+MVTMAI25!AG25+MVTJUIN25!AG25+MVTJUIL25!AG25+MVTAOUT25!AG25+MVTSEPT25!AG25+MVTOCT25!AG25+MVTNOV25!AG25+MVTDEC25!AG25</f>
        <v>0</v>
      </c>
      <c r="AH25" s="36">
        <f>MVTJANV25!AH25+MVTFEV25!AH25+MVTMARS25!AH25+MVTAVRIL25!AH25+MVTMAI25!AH25+MVTJUIN25!AH25+MVTJUIL25!AH25+MVTAOUT25!AH25+MVTSEPT25!AH25+MVTOCT25!AH25+MVTNOV25!AH25+MVTDEC25!AH25</f>
        <v>0</v>
      </c>
      <c r="AI25" s="36">
        <f>MVTJANV25!AI25+MVTFEV25!AI25+MVTMARS25!AI25+MVTAVRIL25!AI25+MVTMAI25!AI25+MVTJUIN25!AI25+MVTJUIL25!AI25+MVTAOUT25!AI25+MVTSEPT25!AI25+MVTOCT25!AI25+MVTNOV25!AI25+MVTDEC25!AI25</f>
        <v>0</v>
      </c>
      <c r="AJ25" s="36">
        <f>MVTJANV25!AJ25+MVTFEV25!AJ25+MVTMARS25!AJ25+MVTAVRIL25!AJ25+MVTMAI25!AJ25+MVTJUIN25!AJ25+MVTJUIL25!AJ25+MVTAOUT25!AJ25+MVTSEPT25!AJ25+MVTOCT25!AJ25+MVTNOV25!AJ25+MVTDEC25!AJ25</f>
        <v>0</v>
      </c>
      <c r="AK25" s="36">
        <f>MVTJANV25!AK25+MVTFEV25!AK25+MVTMARS25!AK25+MVTAVRIL25!AK25+MVTMAI25!AK25+MVTJUIN25!AK25+MVTJUIL25!AK25+MVTAOUT25!AK25+MVTSEPT25!AK25+MVTOCT25!AK25+MVTNOV25!AK25+MVTDEC25!AK25</f>
        <v>0</v>
      </c>
    </row>
    <row r="26" spans="1:39" ht="15.5" x14ac:dyDescent="0.35">
      <c r="A26" s="1" t="s">
        <v>39</v>
      </c>
      <c r="B26" s="1" t="str">
        <f>VLOOKUP(A26,[24]LISTADHERENT!A$5:H$60,3,0)</f>
        <v>NGONDIEP CLAUDE</v>
      </c>
      <c r="C26" s="36">
        <f>+MVTDEC24!C26</f>
        <v>800000</v>
      </c>
      <c r="D26" s="36">
        <f>+MVTDEC24!D26</f>
        <v>353356</v>
      </c>
      <c r="E26" s="36">
        <f>MVTJANV25!E26+MVTFEV25!E26+MVTMARS25!E26+MVTAVRIL25!E26+MVTMAI25!E26+MVTJUIN25!E26+MVTJUIL25!E26+MVTAOUT25!E26+MVTSEPT25!E26+MVTOCT25!E26+MVTNOV25!E26+MVTDEC25!E26</f>
        <v>0</v>
      </c>
      <c r="F26" s="36">
        <f>MVTJANV25!F26+MVTFEV25!F26+MVTMARS25!F26+MVTAVRIL25!F26+MVTMAI25!F26+MVTJUIN25!F26+MVTJUIL25!F26+MVTAOUT25!F26+MVTSEPT25!F26+MVTOCT25!F26+MVTNOV25!F26+MVTDEC25!F26</f>
        <v>17485181.547197714</v>
      </c>
      <c r="G26" s="5">
        <f>MVTJANV25!G26+MVTFEV25!G26+MVTMARS25!G26+MVTAVRIL25!G26+MVTMAI25!G26+MVTJUIN25!G26+MVTJUIL25!G26+MVTAOUT25!G26+MVTSEPT25!G26+MVTOCT25!G26+MVTNOV25!G26+MVTDEC25!G26</f>
        <v>16708111.313416768</v>
      </c>
      <c r="H26" s="36">
        <f>MVTDEC24!H26+MVTJANV25!H26+MVTFEV25!H26+MVTMARS25!H26+MVTAVRIL25!H26+MVTMAI25!H26+MVTJUIN25!H26+MVTJUIL25!H26+MVTAOUT25!H26+MVTSEPT25!H26+MVTOCT25!H26+MVTNOV25!H26</f>
        <v>98057.703130658949</v>
      </c>
      <c r="I26" s="184">
        <f t="shared" si="0"/>
        <v>17583239.250328373</v>
      </c>
      <c r="J26" s="36">
        <f>MVTJANV25!J26+MVTFEV25!J26+MVTMARS25!J26+MVTAVRIL25!J26+MVTMAI25!J26+MVTJUIN25!J26+MVTJUIL25!J26+MVTAOUT25!J26+MVTSEPT25!J26+MVTOCT25!J26+MVTNOV25!J26+MVTDEC25!J26</f>
        <v>0</v>
      </c>
      <c r="K26" s="36">
        <f>MVTJANV25!K26+MVTFEV25!K26+MVTMARS25!K26+MVTAVRIL25!K26+MVTMAI25!K26+MVTJUIN25!K26+MVTJUIL25!K26+MVTAOUT25!K26+MVTSEPT25!K26+MVTOCT25!K26+MVTNOV25!K26+MVTDEC25!K26</f>
        <v>479000</v>
      </c>
      <c r="L26" s="36">
        <f>MVTJANV25!L26+MVTFEV25!L26+MVTMARS25!L26+MVTAVRIL25!L26+MVTMAI25!L26+MVTJUIN25!L26+MVTJUIL25!L26+MVTAOUT25!L26+MVTSEPT25!L26+MVTOCT25!L26+MVTNOV25!L26+MVTDEC25!L26</f>
        <v>407000</v>
      </c>
      <c r="M26" s="36">
        <f>MVTJANV25!M26+MVTFEV25!M26+MVTMARS25!M26+MVTAVRIL25!M26+MVTMAI25!M26+MVTJUIN25!M26+MVTJUIL25!M26+MVTAOUT25!M26+MVTSEPT25!M26+MVTOCT25!M26+MVTNOV25!M26+MVTDEC25!M26</f>
        <v>12000</v>
      </c>
      <c r="N26" s="36">
        <f>MVTJANV25!N26+MVTFEV25!N26+MVTMARS25!N26+MVTAVRIL25!N26+MVTMAI25!N26+MVTJUIN25!N26+MVTJUIL25!N26+MVTAOUT25!N26+MVTSEPT25!N26+MVTOCT25!N26+MVTNOV25!N26+MVTDEC25!N26</f>
        <v>12000</v>
      </c>
      <c r="O26" s="36">
        <f>MVTJANV25!O26+MVTFEV25!O26+MVTMARS25!O26+MVTAVRIL25!O26+MVTMAI25!O26+MVTJUIN25!O26+MVTJUIL25!O26+MVTAOUT25!O26+MVTSEPT25!O26+MVTOCT25!O26+MVTNOV25!O26+MVTDEC25!O26</f>
        <v>48000</v>
      </c>
      <c r="P26" s="36">
        <f>MVTJANV25!P26+MVTFEV25!P26+MVTMARS25!P26+MVTAVRIL25!P26+MVTMAI25!P26+MVTJUIN25!P26+MVTJUIL25!P26+MVTAOUT25!P26+MVTSEPT25!P26+MVTOCT25!P26+MVTNOV25!P26+MVTDEC25!P26</f>
        <v>3000</v>
      </c>
      <c r="Q26" s="36">
        <f>MVTJANV25!Q26+MVTFEV25!Q26+MVTMARS25!Q26+MVTAVRIL25!Q26+MVTMAI25!Q26+MVTJUIN25!Q26+MVTJUIL25!Q26+MVTAOUT25!Q26+MVTSEPT25!Q26+MVTOCT25!Q26+MVTNOV25!Q26+MVTDEC25!Q26</f>
        <v>0</v>
      </c>
      <c r="R26" s="36">
        <f>MVTJANV25!R26+MVTFEV25!R26+MVTMARS25!R26+MVTAVRIL25!R26+MVTMAI25!R26+MVTJUIN25!R26+MVTJUIL25!R26+MVTAOUT25!R26+MVTSEPT25!R26+MVTOCT25!R26+MVTNOV25!R26+MVTDEC25!R26</f>
        <v>0</v>
      </c>
      <c r="S26" s="36">
        <f>MVTJANV25!S26+MVTFEV25!S26+MVTMARS25!S26+MVTAVRIL25!S26+MVTMAI25!S26+MVTJUIN25!S26+MVTJUIL25!S26+MVTAOUT25!S26+MVTSEPT25!S26+MVTOCT25!S26+MVTNOV25!S26+MVTDEC25!S26</f>
        <v>2000000</v>
      </c>
      <c r="T26" s="36">
        <f>MVTDEC24!T26+MVTJANV25!T26+MVTFEV25!T26+MVTMARS25!T26+MVTAVRIL25!T26+MVTMAI25!T26+MVTJUIN25!T26+MVTJUIL25!T26+MVTAOUT25!T26+MVTSEPT25!T26+MVTOCT25!T26+MVTNOV25!T26</f>
        <v>110000</v>
      </c>
      <c r="U26" s="36">
        <f>MVTJANV25!U26+MVTFEV25!U26+MVTMARS25!U26+MVTAVRIL25!U26+MVTMAI25!U26+MVTJUIN25!U26+MVTJUIL25!U26+MVTAOUT25!U26+MVTSEPT25!U26+MVTOCT25!U26+MVTNOV25!U26+MVTDEC25!U26</f>
        <v>0</v>
      </c>
      <c r="V26" s="36">
        <f>MVTJANV25!V26+MVTFEV25!V26+MVTMARS25!V26+MVTAVRIL25!V26+MVTMAI25!V26+MVTJUIN25!V26+MVTJUIL25!V26+MVTAOUT25!V26+MVTSEPT25!V26+MVTOCT25!V26+MVTNOV25!V26+MVTDEC25!V26</f>
        <v>1000000</v>
      </c>
      <c r="W26" s="36">
        <f t="shared" si="1"/>
        <v>1000000</v>
      </c>
      <c r="X26" s="186">
        <v>46010</v>
      </c>
      <c r="Y26" s="36">
        <f>MVTJANV25!Y26+MVTFEV25!Y26+MVTMARS25!Y26+MVTAVRIL25!Y26+MVTMAI25!Y26+MVTJUIN25!Y26+MVTJUIL25!Y26+MVTAOUT25!Y26+MVTSEPT25!Y26+MVTOCT25!Y26+MVTNOV25!Y26+MVTDEC25!Y26</f>
        <v>0</v>
      </c>
      <c r="Z26" s="36">
        <f>MVTJANV25!Z26+MVTFEV25!Z26+MVTMARS25!Z26+MVTAVRIL25!Z26+MVTMAI25!Z26+MVTJUIN25!Z26+MVTJUIL25!Z26+MVTAOUT25!Z26+MVTSEPT25!Z26+MVTOCT25!Z26+MVTNOV25!Z26+MVTDEC25!Z26</f>
        <v>0</v>
      </c>
      <c r="AA26" s="36">
        <f>MVTJANV25!AA26+MVTFEV25!AA26+MVTMARS25!AA26+MVTAVRIL25!AA26+MVTMAI25!AA26+MVTJUIN25!AA26+MVTJUIL25!AA26+MVTAOUT25!AA26+MVTSEPT25!AA26+MVTOCT25!AA26+MVTNOV25!AA26+MVTDEC25!AA26</f>
        <v>0</v>
      </c>
      <c r="AB26" s="36">
        <f>MVTJANV25!AB26+MVTFEV25!AB26+MVTMARS25!AB26+MVTAVRIL25!AB26+MVTMAI25!AB26+MVTJUIN25!AB26+MVTJUIL25!AB26+MVTAOUT25!AB26+MVTSEPT25!AB26+MVTOCT25!AB26+MVTNOV25!AB26+MVTDEC25!AB26</f>
        <v>0</v>
      </c>
      <c r="AC26" s="36">
        <f>MVTJANV25!AC26+MVTFEV25!AC26+MVTMARS25!AC26+MVTAVRIL25!AC26+MVTMAI25!AC26+MVTJUIN25!AC26+MVTJUIL25!AC26+MVTAOUT25!AC26+MVTSEPT25!AC26+MVTOCT25!AC26+MVTNOV25!AC26+MVTDEC25!AC26</f>
        <v>0</v>
      </c>
      <c r="AD26" s="36">
        <f>MVTJANV25!AD26+MVTFEV25!AD26+MVTMARS25!AD26+MVTAVRIL25!AD26+MVTMAI25!AD26+MVTJUIN25!AD26+MVTJUIL25!AD26+MVTAOUT25!AD26+MVTSEPT25!AD26+MVTOCT25!AD26+MVTNOV25!AD26+MVTDEC25!AD26</f>
        <v>0</v>
      </c>
      <c r="AE26" s="36">
        <f>MVTJANV25!AE26+MVTFEV25!AE26+MVTMARS25!AE26+MVTAVRIL25!AE26+MVTMAI25!AE26+MVTJUIN25!AE26+MVTJUIL25!AE26+MVTAOUT25!AE26+MVTSEPT25!AE26+MVTOCT25!AE26+MVTNOV25!AE26+MVTDEC25!AE26</f>
        <v>0</v>
      </c>
      <c r="AF26" s="36">
        <f>MVTJANV25!AF26+MVTFEV25!AF26+MVTMARS25!AF26+MVTAVRIL25!AF26+MVTMAI25!AF26+MVTJUIN25!AF26+MVTJUIL25!AF26+MVTAOUT25!AF26+MVTSEPT25!AF26+MVTOCT25!AF26+MVTNOV25!AF26+MVTDEC25!AF26</f>
        <v>0</v>
      </c>
      <c r="AG26" s="36">
        <f>MVTJANV25!AG26+MVTFEV25!AG26+MVTMARS25!AG26+MVTAVRIL25!AG26+MVTMAI25!AG26+MVTJUIN25!AG26+MVTJUIL25!AG26+MVTAOUT25!AG26+MVTSEPT25!AG26+MVTOCT25!AG26+MVTNOV25!AG26+MVTDEC25!AG26</f>
        <v>0</v>
      </c>
      <c r="AH26" s="36">
        <f>MVTJANV25!AH26+MVTFEV25!AH26+MVTMARS25!AH26+MVTAVRIL25!AH26+MVTMAI25!AH26+MVTJUIN25!AH26+MVTJUIL25!AH26+MVTAOUT25!AH26+MVTSEPT25!AH26+MVTOCT25!AH26+MVTNOV25!AH26+MVTDEC25!AH26</f>
        <v>0</v>
      </c>
      <c r="AI26" s="36">
        <f>MVTJANV25!AI26+MVTFEV25!AI26+MVTMARS25!AI26+MVTAVRIL25!AI26+MVTMAI25!AI26+MVTJUIN25!AI26+MVTJUIL25!AI26+MVTAOUT25!AI26+MVTSEPT25!AI26+MVTOCT25!AI26+MVTNOV25!AI26+MVTDEC25!AI26</f>
        <v>0</v>
      </c>
      <c r="AJ26" s="36">
        <f>MVTJANV25!AJ26+MVTFEV25!AJ26+MVTMARS25!AJ26+MVTAVRIL25!AJ26+MVTMAI25!AJ26+MVTJUIN25!AJ26+MVTJUIL25!AJ26+MVTAOUT25!AJ26+MVTSEPT25!AJ26+MVTOCT25!AJ26+MVTNOV25!AJ26+MVTDEC25!AJ26</f>
        <v>0</v>
      </c>
      <c r="AK26" s="36">
        <f>MVTJANV25!AK26+MVTFEV25!AK26+MVTMARS25!AK26+MVTAVRIL25!AK26+MVTMAI25!AK26+MVTJUIN25!AK26+MVTJUIL25!AK26+MVTAOUT25!AK26+MVTSEPT25!AK26+MVTOCT25!AK26+MVTNOV25!AK26+MVTDEC25!AK26</f>
        <v>0</v>
      </c>
    </row>
    <row r="27" spans="1:39" x14ac:dyDescent="0.35">
      <c r="A27" s="1" t="s">
        <v>41</v>
      </c>
      <c r="B27" s="1" t="str">
        <f>VLOOKUP(A27,[24]LISTADHERENT!A$5:H$60,3,0)</f>
        <v>NGUIEMEGNI MATHIEU BLAISE</v>
      </c>
      <c r="C27" s="36">
        <f>+MVTDEC24!C27</f>
        <v>800000</v>
      </c>
      <c r="D27" s="36">
        <f>+MVTDEC24!D27</f>
        <v>9175</v>
      </c>
      <c r="E27" s="36">
        <f>MVTJANV25!E27+MVTFEV25!E27+MVTMARS25!E27+MVTAVRIL25!E27+MVTMAI25!E27+MVTJUIN25!E27+MVTJUIL25!E27+MVTAOUT25!E27+MVTSEPT25!E27+MVTOCT25!E27+MVTNOV25!E27+MVTDEC25!E27</f>
        <v>0</v>
      </c>
      <c r="F27" s="36">
        <f>MVTJANV25!F27+MVTFEV25!F27+MVTMARS25!F27+MVTAVRIL25!F27+MVTMAI25!F27+MVTJUIN25!F27+MVTJUIL25!F27+MVTAOUT25!F27+MVTSEPT25!F27+MVTOCT25!F27+MVTNOV25!F27+MVTDEC25!F27</f>
        <v>11777217.295034882</v>
      </c>
      <c r="G27" s="5">
        <f>MVTJANV25!G27+MVTFEV25!G27+MVTMARS25!G27+MVTAVRIL25!G27+MVTMAI25!G27+MVTJUIN25!G27+MVTJUIL25!G27+MVTAOUT25!G27+MVTSEPT25!G27+MVTOCT25!G27+MVTNOV25!G27+MVTDEC25!G27</f>
        <v>11365905.590272957</v>
      </c>
      <c r="H27" s="36">
        <f>MVTDEC24!H27+MVTJANV25!H27+MVTFEV25!H27+MVTMARS25!H27+MVTAVRIL25!H27+MVTMAI25!H27+MVTJUIN25!H27+MVTJUIL25!H27+MVTAOUT25!H27+MVTSEPT25!H27+MVTOCT25!H27+MVTNOV25!H27</f>
        <v>68010.818954558388</v>
      </c>
      <c r="I27" s="184">
        <f t="shared" si="0"/>
        <v>11845228.113989441</v>
      </c>
      <c r="J27" s="36">
        <f>MVTJANV25!J27+MVTFEV25!J27+MVTMARS25!J27+MVTAVRIL25!J27+MVTMAI25!J27+MVTJUIN25!J27+MVTJUIL25!J27+MVTAOUT25!J27+MVTSEPT25!J27+MVTOCT25!J27+MVTNOV25!J27+MVTDEC25!J27</f>
        <v>0</v>
      </c>
      <c r="K27" s="36">
        <f>MVTJANV25!K27+MVTFEV25!K27+MVTMARS25!K27+MVTAVRIL25!K27+MVTMAI25!K27+MVTJUIN25!K27+MVTJUIL25!K27+MVTAOUT25!K27+MVTSEPT25!K27+MVTOCT25!K27+MVTNOV25!K27+MVTDEC25!K27</f>
        <v>287000</v>
      </c>
      <c r="L27" s="36">
        <f>MVTJANV25!L27+MVTFEV25!L27+MVTMARS25!L27+MVTAVRIL25!L27+MVTMAI25!L27+MVTJUIN25!L27+MVTJUIL25!L27+MVTAOUT25!L27+MVTSEPT25!L27+MVTOCT25!L27+MVTNOV25!L27+MVTDEC25!L27</f>
        <v>215000</v>
      </c>
      <c r="M27" s="36">
        <f>MVTJANV25!M27+MVTFEV25!M27+MVTMARS25!M27+MVTAVRIL25!M27+MVTMAI25!M27+MVTJUIN25!M27+MVTJUIL25!M27+MVTAOUT25!M27+MVTSEPT25!M27+MVTOCT25!M27+MVTNOV25!M27+MVTDEC25!M27</f>
        <v>12000</v>
      </c>
      <c r="N27" s="36">
        <f>MVTJANV25!N27+MVTFEV25!N27+MVTMARS25!N27+MVTAVRIL25!N27+MVTMAI25!N27+MVTJUIN25!N27+MVTJUIL25!N27+MVTAOUT25!N27+MVTSEPT25!N27+MVTOCT25!N27+MVTNOV25!N27+MVTDEC25!N27</f>
        <v>12000</v>
      </c>
      <c r="O27" s="36">
        <f>MVTJANV25!O27+MVTFEV25!O27+MVTMARS25!O27+MVTAVRIL25!O27+MVTMAI25!O27+MVTJUIN25!O27+MVTJUIL25!O27+MVTAOUT25!O27+MVTSEPT25!O27+MVTOCT25!O27+MVTNOV25!O27+MVTDEC25!O27</f>
        <v>48000</v>
      </c>
      <c r="P27" s="36">
        <f>MVTJANV25!P27+MVTFEV25!P27+MVTMARS25!P27+MVTAVRIL25!P27+MVTMAI25!P27+MVTJUIN25!P27+MVTJUIL25!P27+MVTAOUT25!P27+MVTSEPT25!P27+MVTOCT25!P27+MVTNOV25!P27+MVTDEC25!P27</f>
        <v>0</v>
      </c>
      <c r="Q27" s="36">
        <f>MVTJANV25!Q27+MVTFEV25!Q27+MVTMARS25!Q27+MVTAVRIL25!Q27+MVTMAI25!Q27+MVTJUIN25!Q27+MVTJUIL25!Q27+MVTAOUT25!Q27+MVTSEPT25!Q27+MVTOCT25!Q27+MVTNOV25!Q27+MVTDEC25!Q27</f>
        <v>0</v>
      </c>
      <c r="R27" s="36">
        <f>MVTJANV25!R27+MVTFEV25!R27+MVTMARS25!R27+MVTAVRIL25!R27+MVTMAI25!R27+MVTJUIN25!R27+MVTJUIL25!R27+MVTAOUT25!R27+MVTSEPT25!R27+MVTOCT25!R27+MVTNOV25!R27+MVTDEC25!R27</f>
        <v>0</v>
      </c>
      <c r="S27" s="36">
        <f>MVTJANV25!S27+MVTFEV25!S27+MVTMARS25!S27+MVTAVRIL25!S27+MVTMAI25!S27+MVTJUIN25!S27+MVTJUIL25!S27+MVTAOUT25!S27+MVTSEPT25!S27+MVTOCT25!S27+MVTNOV25!S27+MVTDEC25!S27</f>
        <v>1000000</v>
      </c>
      <c r="T27" s="36">
        <f>MVTDEC24!T27+MVTJANV25!T27+MVTFEV25!T27+MVTMARS25!T27+MVTAVRIL25!T27+MVTMAI25!T27+MVTJUIN25!T27+MVTJUIL25!T27+MVTAOUT25!T27+MVTSEPT25!T27+MVTOCT25!T27+MVTNOV25!T27</f>
        <v>120000</v>
      </c>
      <c r="U27" s="36">
        <f>MVTJANV25!U27+MVTFEV25!U27+MVTMARS25!U27+MVTAVRIL25!U27+MVTMAI25!U27+MVTJUIN25!U27+MVTJUIL25!U27+MVTAOUT25!U27+MVTSEPT25!U27+MVTOCT25!U27+MVTNOV25!U27+MVTDEC25!U27</f>
        <v>0</v>
      </c>
      <c r="V27" s="36">
        <f>MVTJANV25!V27+MVTFEV25!V27+MVTMARS25!V27+MVTAVRIL25!V27+MVTMAI25!V27+MVTJUIN25!V27+MVTJUIL25!V27+MVTAOUT25!V27+MVTSEPT25!V27+MVTOCT25!V27+MVTNOV25!V27+MVTDEC25!V27</f>
        <v>0</v>
      </c>
      <c r="W27" s="36">
        <f t="shared" si="1"/>
        <v>1000000</v>
      </c>
      <c r="X27" s="36"/>
      <c r="Y27" s="36">
        <f>MVTJANV25!Y27+MVTFEV25!Y27+MVTMARS25!Y27+MVTAVRIL25!Y27+MVTMAI25!Y27+MVTJUIN25!Y27+MVTJUIL25!Y27+MVTAOUT25!Y27+MVTSEPT25!Y27+MVTOCT25!Y27+MVTNOV25!Y27+MVTDEC25!Y27</f>
        <v>0</v>
      </c>
      <c r="Z27" s="36">
        <f>MVTJANV25!Z27+MVTFEV25!Z27+MVTMARS25!Z27+MVTAVRIL25!Z27+MVTMAI25!Z27+MVTJUIN25!Z27+MVTJUIL25!Z27+MVTAOUT25!Z27+MVTSEPT25!Z27+MVTOCT25!Z27+MVTNOV25!Z27+MVTDEC25!Z27</f>
        <v>0</v>
      </c>
      <c r="AA27" s="36">
        <f>MVTJANV25!AA27+MVTFEV25!AA27+MVTMARS25!AA27+MVTAVRIL25!AA27+MVTMAI25!AA27+MVTJUIN25!AA27+MVTJUIL25!AA27+MVTAOUT25!AA27+MVTSEPT25!AA27+MVTOCT25!AA27+MVTNOV25!AA27+MVTDEC25!AA27</f>
        <v>0</v>
      </c>
      <c r="AB27" s="36">
        <f>MVTJANV25!AB27+MVTFEV25!AB27+MVTMARS25!AB27+MVTAVRIL25!AB27+MVTMAI25!AB27+MVTJUIN25!AB27+MVTJUIL25!AB27+MVTAOUT25!AB27+MVTSEPT25!AB27+MVTOCT25!AB27+MVTNOV25!AB27+MVTDEC25!AB27</f>
        <v>0</v>
      </c>
      <c r="AC27" s="36">
        <f>MVTJANV25!AC27+MVTFEV25!AC27+MVTMARS25!AC27+MVTAVRIL25!AC27+MVTMAI25!AC27+MVTJUIN25!AC27+MVTJUIL25!AC27+MVTAOUT25!AC27+MVTSEPT25!AC27+MVTOCT25!AC27+MVTNOV25!AC27+MVTDEC25!AC27</f>
        <v>0</v>
      </c>
      <c r="AD27" s="36">
        <f>MVTJANV25!AD27+MVTFEV25!AD27+MVTMARS25!AD27+MVTAVRIL25!AD27+MVTMAI25!AD27+MVTJUIN25!AD27+MVTJUIL25!AD27+MVTAOUT25!AD27+MVTSEPT25!AD27+MVTOCT25!AD27+MVTNOV25!AD27+MVTDEC25!AD27</f>
        <v>0</v>
      </c>
      <c r="AE27" s="36">
        <f>MVTJANV25!AE27+MVTFEV25!AE27+MVTMARS25!AE27+MVTAVRIL25!AE27+MVTMAI25!AE27+MVTJUIN25!AE27+MVTJUIL25!AE27+MVTAOUT25!AE27+MVTSEPT25!AE27+MVTOCT25!AE27+MVTNOV25!AE27+MVTDEC25!AE27</f>
        <v>0</v>
      </c>
      <c r="AF27" s="36">
        <f>MVTJANV25!AF27+MVTFEV25!AF27+MVTMARS25!AF27+MVTAVRIL25!AF27+MVTMAI25!AF27+MVTJUIN25!AF27+MVTJUIL25!AF27+MVTAOUT25!AF27+MVTSEPT25!AF27+MVTOCT25!AF27+MVTNOV25!AF27+MVTDEC25!AF27</f>
        <v>0</v>
      </c>
      <c r="AG27" s="36">
        <f>MVTJANV25!AG27+MVTFEV25!AG27+MVTMARS25!AG27+MVTAVRIL25!AG27+MVTMAI25!AG27+MVTJUIN25!AG27+MVTJUIL25!AG27+MVTAOUT25!AG27+MVTSEPT25!AG27+MVTOCT25!AG27+MVTNOV25!AG27+MVTDEC25!AG27</f>
        <v>0</v>
      </c>
      <c r="AH27" s="36">
        <f>MVTJANV25!AH27+MVTFEV25!AH27+MVTMARS25!AH27+MVTAVRIL25!AH27+MVTMAI25!AH27+MVTJUIN25!AH27+MVTJUIL25!AH27+MVTAOUT25!AH27+MVTSEPT25!AH27+MVTOCT25!AH27+MVTNOV25!AH27+MVTDEC25!AH27</f>
        <v>0</v>
      </c>
      <c r="AI27" s="36">
        <f>MVTJANV25!AI27+MVTFEV25!AI27+MVTMARS25!AI27+MVTAVRIL25!AI27+MVTMAI25!AI27+MVTJUIN25!AI27+MVTJUIL25!AI27+MVTAOUT25!AI27+MVTSEPT25!AI27+MVTOCT25!AI27+MVTNOV25!AI27+MVTDEC25!AI27</f>
        <v>100000</v>
      </c>
      <c r="AJ27" s="36">
        <f>MVTJANV25!AJ27+MVTFEV25!AJ27+MVTMARS25!AJ27+MVTAVRIL25!AJ27+MVTMAI25!AJ27+MVTJUIN25!AJ27+MVTJUIL25!AJ27+MVTAOUT25!AJ27+MVTSEPT25!AJ27+MVTOCT25!AJ27+MVTNOV25!AJ27+MVTDEC25!AJ27</f>
        <v>0</v>
      </c>
      <c r="AK27" s="36">
        <f>MVTJANV25!AK27+MVTFEV25!AK27+MVTMARS25!AK27+MVTAVRIL25!AK27+MVTMAI25!AK27+MVTJUIN25!AK27+MVTJUIL25!AK27+MVTAOUT25!AK27+MVTSEPT25!AK27+MVTOCT25!AK27+MVTNOV25!AK27+MVTDEC25!AK27</f>
        <v>0</v>
      </c>
    </row>
    <row r="28" spans="1:39" x14ac:dyDescent="0.35">
      <c r="A28" s="1" t="s">
        <v>43</v>
      </c>
      <c r="B28" s="1" t="str">
        <f>VLOOKUP(A28,[24]LISTADHERENT!A$5:H$60,3,0)</f>
        <v>NKAMGANG JUSTIN DEJOLIE</v>
      </c>
      <c r="C28" s="36">
        <f>+MVTDEC24!C28</f>
        <v>800000</v>
      </c>
      <c r="D28" s="36">
        <f>+MVTDEC24!D28</f>
        <v>10531</v>
      </c>
      <c r="E28" s="36">
        <f>MVTJANV25!E28+MVTFEV25!E28+MVTMARS25!E28+MVTAVRIL25!E28+MVTMAI25!E28+MVTJUIN25!E28+MVTJUIL25!E28+MVTAOUT25!E28+MVTSEPT25!E28+MVTOCT25!E28+MVTNOV25!E28+MVTDEC25!E28</f>
        <v>0</v>
      </c>
      <c r="F28" s="36">
        <f>MVTJANV25!F28+MVTFEV25!F28+MVTMARS25!F28+MVTAVRIL25!F28+MVTMAI25!F28+MVTJUIN25!F28+MVTJUIL25!F28+MVTAOUT25!F28+MVTSEPT25!F28+MVTOCT25!F28+MVTNOV25!F28+MVTDEC25!F28</f>
        <v>11998350.283325614</v>
      </c>
      <c r="G28" s="5">
        <f>MVTJANV25!G28+MVTFEV25!G28+MVTMARS25!G28+MVTAVRIL25!G28+MVTMAI25!G28+MVTJUIN25!G28+MVTJUIL25!G28+MVTAOUT25!G28+MVTSEPT25!G28+MVTOCT25!G28+MVTNOV25!G28+MVTDEC25!G28</f>
        <v>11553935.893347273</v>
      </c>
      <c r="H28" s="36">
        <f>MVTDEC24!H28+MVTJANV25!H28+MVTFEV25!H28+MVTMARS25!H28+MVTAVRIL25!H28+MVTMAI25!H28+MVTJUIN25!H28+MVTJUIL25!H28+MVTAOUT25!H28+MVTSEPT25!H28+MVTOCT25!H28+MVTNOV25!H28</f>
        <v>68521.197389150781</v>
      </c>
      <c r="I28" s="184">
        <f t="shared" si="0"/>
        <v>12066871.480714764</v>
      </c>
      <c r="J28" s="36">
        <f>MVTJANV25!J28+MVTFEV25!J28+MVTMARS25!J28+MVTAVRIL25!J28+MVTMAI25!J28+MVTJUIN25!J28+MVTJUIL25!J28+MVTAOUT25!J28+MVTSEPT25!J28+MVTOCT25!J28+MVTNOV25!J28+MVTDEC25!J28</f>
        <v>0</v>
      </c>
      <c r="K28" s="36">
        <f>MVTJANV25!K28+MVTFEV25!K28+MVTMARS25!K28+MVTAVRIL25!K28+MVTMAI25!K28+MVTJUIN25!K28+MVTJUIL25!K28+MVTAOUT25!K28+MVTSEPT25!K28+MVTOCT25!K28+MVTNOV25!K28+MVTDEC25!K28</f>
        <v>307000</v>
      </c>
      <c r="L28" s="36">
        <f>MVTJANV25!L28+MVTFEV25!L28+MVTMARS25!L28+MVTAVRIL25!L28+MVTMAI25!L28+MVTJUIN25!L28+MVTJUIL25!L28+MVTAOUT25!L28+MVTSEPT25!L28+MVTOCT25!L28+MVTNOV25!L28+MVTDEC25!L28</f>
        <v>235000</v>
      </c>
      <c r="M28" s="36">
        <f>MVTJANV25!M28+MVTFEV25!M28+MVTMARS25!M28+MVTAVRIL25!M28+MVTMAI25!M28+MVTJUIN25!M28+MVTJUIL25!M28+MVTAOUT25!M28+MVTSEPT25!M28+MVTOCT25!M28+MVTNOV25!M28+MVTDEC25!M28</f>
        <v>12000</v>
      </c>
      <c r="N28" s="36">
        <f>MVTJANV25!N28+MVTFEV25!N28+MVTMARS25!N28+MVTAVRIL25!N28+MVTMAI25!N28+MVTJUIN25!N28+MVTJUIL25!N28+MVTAOUT25!N28+MVTSEPT25!N28+MVTOCT25!N28+MVTNOV25!N28+MVTDEC25!N28</f>
        <v>12000</v>
      </c>
      <c r="O28" s="36">
        <f>MVTJANV25!O28+MVTFEV25!O28+MVTMARS25!O28+MVTAVRIL25!O28+MVTMAI25!O28+MVTJUIN25!O28+MVTJUIL25!O28+MVTAOUT25!O28+MVTSEPT25!O28+MVTOCT25!O28+MVTNOV25!O28+MVTDEC25!O28</f>
        <v>48000</v>
      </c>
      <c r="P28" s="36">
        <f>MVTJANV25!P28+MVTFEV25!P28+MVTMARS25!P28+MVTAVRIL25!P28+MVTMAI25!P28+MVTJUIN25!P28+MVTJUIL25!P28+MVTAOUT25!P28+MVTSEPT25!P28+MVTOCT25!P28+MVTNOV25!P28+MVTDEC25!P28</f>
        <v>3000</v>
      </c>
      <c r="Q28" s="36">
        <f>MVTJANV25!Q28+MVTFEV25!Q28+MVTMARS25!Q28+MVTAVRIL25!Q28+MVTMAI25!Q28+MVTJUIN25!Q28+MVTJUIL25!Q28+MVTAOUT25!Q28+MVTSEPT25!Q28+MVTOCT25!Q28+MVTNOV25!Q28+MVTDEC25!Q28</f>
        <v>0</v>
      </c>
      <c r="R28" s="36">
        <f>MVTJANV25!R28+MVTFEV25!R28+MVTMARS25!R28+MVTAVRIL25!R28+MVTMAI25!R28+MVTJUIN25!R28+MVTJUIL25!R28+MVTAOUT25!R28+MVTSEPT25!R28+MVTOCT25!R28+MVTNOV25!R28+MVTDEC25!R28</f>
        <v>0</v>
      </c>
      <c r="S28" s="36">
        <f>MVTJANV25!S28+MVTFEV25!S28+MVTMARS25!S28+MVTAVRIL25!S28+MVTMAI25!S28+MVTJUIN25!S28+MVTJUIL25!S28+MVTAOUT25!S28+MVTSEPT25!S28+MVTOCT25!S28+MVTNOV25!S28+MVTDEC25!S28</f>
        <v>4000000</v>
      </c>
      <c r="T28" s="36">
        <f>MVTDEC24!T28+MVTJANV25!T28+MVTFEV25!T28+MVTMARS25!T28+MVTAVRIL25!T28+MVTMAI25!T28+MVTJUIN25!T28+MVTJUIL25!T28+MVTAOUT25!T28+MVTSEPT25!T28+MVTOCT25!T28+MVTNOV25!T28</f>
        <v>120000</v>
      </c>
      <c r="U28" s="36">
        <f>MVTJANV25!U28+MVTFEV25!U28+MVTMARS25!U28+MVTAVRIL25!U28+MVTMAI25!U28+MVTJUIN25!U28+MVTJUIL25!U28+MVTAOUT25!U28+MVTSEPT25!U28+MVTOCT25!U28+MVTNOV25!U28+MVTDEC25!U28</f>
        <v>0</v>
      </c>
      <c r="V28" s="36">
        <f>MVTJANV25!V28+MVTFEV25!V28+MVTMARS25!V28+MVTAVRIL25!V28+MVTMAI25!V28+MVTJUIN25!V28+MVTJUIL25!V28+MVTAOUT25!V28+MVTSEPT25!V28+MVTOCT25!V28+MVTNOV25!V28+MVTDEC25!V28</f>
        <v>4000000</v>
      </c>
      <c r="W28" s="36">
        <f t="shared" si="1"/>
        <v>0</v>
      </c>
      <c r="X28" s="36">
        <v>46010</v>
      </c>
      <c r="Y28" s="36">
        <f>MVTJANV25!Y28+MVTFEV25!Y28+MVTMARS25!Y28+MVTAVRIL25!Y28+MVTMAI25!Y28+MVTJUIN25!Y28+MVTJUIL25!Y28+MVTAOUT25!Y28+MVTSEPT25!Y28+MVTOCT25!Y28+MVTNOV25!Y28+MVTDEC25!Y28</f>
        <v>0</v>
      </c>
      <c r="Z28" s="36">
        <f>MVTJANV25!Z28+MVTFEV25!Z28+MVTMARS25!Z28+MVTAVRIL25!Z28+MVTMAI25!Z28+MVTJUIN25!Z28+MVTJUIL25!Z28+MVTAOUT25!Z28+MVTSEPT25!Z28+MVTOCT25!Z28+MVTNOV25!Z28+MVTDEC25!Z28</f>
        <v>0</v>
      </c>
      <c r="AA28" s="36">
        <f>MVTJANV25!AA28+MVTFEV25!AA28+MVTMARS25!AA28+MVTAVRIL25!AA28+MVTMAI25!AA28+MVTJUIN25!AA28+MVTJUIL25!AA28+MVTAOUT25!AA28+MVTSEPT25!AA28+MVTOCT25!AA28+MVTNOV25!AA28+MVTDEC25!AA28</f>
        <v>0</v>
      </c>
      <c r="AB28" s="36">
        <f>MVTJANV25!AB28+MVTFEV25!AB28+MVTMARS25!AB28+MVTAVRIL25!AB28+MVTMAI25!AB28+MVTJUIN25!AB28+MVTJUIL25!AB28+MVTAOUT25!AB28+MVTSEPT25!AB28+MVTOCT25!AB28+MVTNOV25!AB28+MVTDEC25!AB28</f>
        <v>0</v>
      </c>
      <c r="AC28" s="36">
        <f>MVTJANV25!AC28+MVTFEV25!AC28+MVTMARS25!AC28+MVTAVRIL25!AC28+MVTMAI25!AC28+MVTJUIN25!AC28+MVTJUIL25!AC28+MVTAOUT25!AC28+MVTSEPT25!AC28+MVTOCT25!AC28+MVTNOV25!AC28+MVTDEC25!AC28</f>
        <v>0</v>
      </c>
      <c r="AD28" s="36">
        <f>MVTJANV25!AD28+MVTFEV25!AD28+MVTMARS25!AD28+MVTAVRIL25!AD28+MVTMAI25!AD28+MVTJUIN25!AD28+MVTJUIL25!AD28+MVTAOUT25!AD28+MVTSEPT25!AD28+MVTOCT25!AD28+MVTNOV25!AD28+MVTDEC25!AD28</f>
        <v>0</v>
      </c>
      <c r="AE28" s="36">
        <f>MVTJANV25!AE28+MVTFEV25!AE28+MVTMARS25!AE28+MVTAVRIL25!AE28+MVTMAI25!AE28+MVTJUIN25!AE28+MVTJUIL25!AE28+MVTAOUT25!AE28+MVTSEPT25!AE28+MVTOCT25!AE28+MVTNOV25!AE28+MVTDEC25!AE28</f>
        <v>0</v>
      </c>
      <c r="AF28" s="36">
        <f>MVTJANV25!AF28+MVTFEV25!AF28+MVTMARS25!AF28+MVTAVRIL25!AF28+MVTMAI25!AF28+MVTJUIN25!AF28+MVTJUIL25!AF28+MVTAOUT25!AF28+MVTSEPT25!AF28+MVTOCT25!AF28+MVTNOV25!AF28+MVTDEC25!AF28</f>
        <v>0</v>
      </c>
      <c r="AG28" s="36">
        <f>MVTJANV25!AG28+MVTFEV25!AG28+MVTMARS25!AG28+MVTAVRIL25!AG28+MVTMAI25!AG28+MVTJUIN25!AG28+MVTJUIL25!AG28+MVTAOUT25!AG28+MVTSEPT25!AG28+MVTOCT25!AG28+MVTNOV25!AG28+MVTDEC25!AG28</f>
        <v>0</v>
      </c>
      <c r="AH28" s="36">
        <f>MVTJANV25!AH28+MVTFEV25!AH28+MVTMARS25!AH28+MVTAVRIL25!AH28+MVTMAI25!AH28+MVTJUIN25!AH28+MVTJUIL25!AH28+MVTAOUT25!AH28+MVTSEPT25!AH28+MVTOCT25!AH28+MVTNOV25!AH28+MVTDEC25!AH28</f>
        <v>0</v>
      </c>
      <c r="AI28" s="36">
        <f>MVTJANV25!AI28+MVTFEV25!AI28+MVTMARS25!AI28+MVTAVRIL25!AI28+MVTMAI25!AI28+MVTJUIN25!AI28+MVTJUIL25!AI28+MVTAOUT25!AI28+MVTSEPT25!AI28+MVTOCT25!AI28+MVTNOV25!AI28+MVTDEC25!AI28</f>
        <v>0</v>
      </c>
      <c r="AJ28" s="36">
        <f>MVTJANV25!AJ28+MVTFEV25!AJ28+MVTMARS25!AJ28+MVTAVRIL25!AJ28+MVTMAI25!AJ28+MVTJUIN25!AJ28+MVTJUIL25!AJ28+MVTAOUT25!AJ28+MVTSEPT25!AJ28+MVTOCT25!AJ28+MVTNOV25!AJ28+MVTDEC25!AJ28</f>
        <v>0</v>
      </c>
      <c r="AK28" s="36">
        <f>MVTJANV25!AK28+MVTFEV25!AK28+MVTMARS25!AK28+MVTAVRIL25!AK28+MVTMAI25!AK28+MVTJUIN25!AK28+MVTJUIL25!AK28+MVTAOUT25!AK28+MVTSEPT25!AK28+MVTOCT25!AK28+MVTNOV25!AK28+MVTDEC25!AK28</f>
        <v>0</v>
      </c>
    </row>
    <row r="29" spans="1:39" s="14" customFormat="1" ht="15.5" x14ac:dyDescent="0.35">
      <c r="A29" s="12" t="s">
        <v>172</v>
      </c>
      <c r="B29" s="12" t="str">
        <f>VLOOKUP(A29,[24]LISTADHERENT!A$5:H$60,3,0)</f>
        <v>NOUBE ETIENNE</v>
      </c>
      <c r="C29" s="13">
        <f>+MVTDEC24!C29</f>
        <v>800000</v>
      </c>
      <c r="D29" s="13">
        <f>+MVTDEC24!D29</f>
        <v>-17159</v>
      </c>
      <c r="E29" s="13">
        <f>MVTJANV25!E29+MVTFEV25!E29+MVTMARS25!E29+MVTAVRIL25!E29+MVTMAI25!E29+MVTJUIN25!E29+MVTJUIL25!E29+MVTAOUT25!E29+MVTSEPT25!E29+MVTOCT25!E29+MVTNOV25!E29+MVTDEC25!E29</f>
        <v>0</v>
      </c>
      <c r="F29" s="36">
        <f>MVTJANV25!F29+MVTFEV25!F29+MVTMARS25!F29+MVTAVRIL25!F29+MVTMAI25!F29+MVTJUIN25!F29+MVTJUIL25!F29+MVTAOUT25!F29+MVTSEPT25!F29+MVTOCT25!F29+MVTNOV25!F29+MVTDEC25!F29</f>
        <v>11555134.471217105</v>
      </c>
      <c r="G29" s="5">
        <f>MVTJANV25!G29+MVTFEV25!G29+MVTMARS25!G29+MVTAVRIL25!G29+MVTMAI25!G29+MVTJUIN25!G29+MVTJUIL25!G29+MVTAOUT25!G29+MVTSEPT25!G29+MVTOCT25!G29+MVTNOV25!G29+MVTDEC25!G29</f>
        <v>11110737.649906244</v>
      </c>
      <c r="H29" s="36">
        <f>MVTDEC24!H29+MVTJANV25!H29+MVTFEV25!H29+MVTMARS25!H29+MVTAVRIL25!H29+MVTMAI25!H29+MVTJUIN25!H29+MVTJUIL25!H29+MVTAOUT25!H29+MVTSEPT25!H29+MVTOCT25!H29+MVTNOV25!H29</f>
        <v>66071.086872458516</v>
      </c>
      <c r="I29" s="187">
        <f t="shared" si="0"/>
        <v>11621205.558089564</v>
      </c>
      <c r="J29" s="13">
        <f>MVTJANV25!J29+MVTFEV25!J29+MVTMARS25!J29+MVTAVRIL25!J29+MVTMAI25!J29+MVTJUIN25!J29+MVTJUIL25!J29+MVTAOUT25!J29+MVTSEPT25!J29+MVTOCT25!J29+MVTNOV25!J29+MVTDEC25!J29</f>
        <v>0</v>
      </c>
      <c r="K29" s="13">
        <f>MVTJANV25!K29+MVTFEV25!K29+MVTMARS25!K29+MVTAVRIL25!K29+MVTMAI25!K29+MVTJUIN25!K29+MVTJUIL25!K29+MVTAOUT25!K29+MVTSEPT25!K29+MVTOCT25!K29+MVTNOV25!K29+MVTDEC25!K29</f>
        <v>300000</v>
      </c>
      <c r="L29" s="36">
        <f>MVTJANV25!L29+MVTFEV25!L29+MVTMARS25!L29+MVTAVRIL25!L29+MVTMAI25!L29+MVTJUIN25!L29+MVTJUIL25!L29+MVTAOUT25!L29+MVTSEPT25!L29+MVTOCT25!L29+MVTNOV25!L29+MVTDEC25!L29</f>
        <v>228000</v>
      </c>
      <c r="M29" s="13">
        <f>MVTJANV25!M29+MVTFEV25!M29+MVTMARS25!M29+MVTAVRIL25!M29+MVTMAI25!M29+MVTJUIN25!M29+MVTJUIL25!M29+MVTAOUT25!M29+MVTSEPT25!M29+MVTOCT25!M29+MVTNOV25!M29+MVTDEC25!M29</f>
        <v>12000</v>
      </c>
      <c r="N29" s="13">
        <f>MVTJANV25!N29+MVTFEV25!N29+MVTMARS25!N29+MVTAVRIL25!N29+MVTMAI25!N29+MVTJUIN25!N29+MVTJUIL25!N29+MVTAOUT25!N29+MVTSEPT25!N29+MVTOCT25!N29+MVTNOV25!N29+MVTDEC25!N29</f>
        <v>12000</v>
      </c>
      <c r="O29" s="13">
        <f>MVTJANV25!O29+MVTFEV25!O29+MVTMARS25!O29+MVTAVRIL25!O29+MVTMAI25!O29+MVTJUIN25!O29+MVTJUIL25!O29+MVTAOUT25!O29+MVTSEPT25!O29+MVTOCT25!O29+MVTNOV25!O29+MVTDEC25!O29</f>
        <v>48000</v>
      </c>
      <c r="P29" s="13">
        <f>MVTJANV25!P29+MVTFEV25!P29+MVTMARS25!P29+MVTAVRIL25!P29+MVTMAI25!P29+MVTJUIN25!P29+MVTJUIL25!P29+MVTAOUT25!P29+MVTSEPT25!P29+MVTOCT25!P29+MVTNOV25!P29+MVTDEC25!P29</f>
        <v>0</v>
      </c>
      <c r="Q29" s="13">
        <f>MVTJANV25!Q29+MVTFEV25!Q29+MVTMARS25!Q29+MVTAVRIL25!Q29+MVTMAI25!Q29+MVTJUIN25!Q29+MVTJUIL25!Q29+MVTAOUT25!Q29+MVTSEPT25!Q29+MVTOCT25!Q29+MVTNOV25!Q29+MVTDEC25!Q29</f>
        <v>0</v>
      </c>
      <c r="R29" s="13">
        <f>MVTJANV25!R29+MVTFEV25!R29+MVTMARS25!R29+MVTAVRIL25!R29+MVTMAI25!R29+MVTJUIN25!R29+MVTJUIL25!R29+MVTAOUT25!R29+MVTSEPT25!R29+MVTOCT25!R29+MVTNOV25!R29+MVTDEC25!R29</f>
        <v>0</v>
      </c>
      <c r="S29" s="36">
        <f>MVTJANV25!S29+MVTFEV25!S29+MVTMARS25!S29+MVTAVRIL25!S29+MVTMAI25!S29+MVTJUIN25!S29+MVTJUIL25!S29+MVTAOUT25!S29+MVTSEPT25!S29+MVTOCT25!S29+MVTNOV25!S29+MVTDEC25!S29</f>
        <v>400000</v>
      </c>
      <c r="T29" s="36">
        <f>MVTDEC24!T29+MVTJANV25!T29+MVTFEV25!T29+MVTMARS25!T29+MVTAVRIL25!T29+MVTMAI25!T29+MVTJUIN25!T29+MVTJUIL25!T29+MVTAOUT25!T29+MVTSEPT25!T29+MVTOCT25!T29+MVTNOV25!T29</f>
        <v>16000</v>
      </c>
      <c r="U29" s="13">
        <f>MVTJANV25!U29+MVTFEV25!U29+MVTMARS25!U29+MVTAVRIL25!U29+MVTMAI25!U29+MVTJUIN25!U29+MVTJUIL25!U29+MVTAOUT25!U29+MVTSEPT25!U29+MVTOCT25!U29+MVTNOV25!U29+MVTDEC25!U29</f>
        <v>0</v>
      </c>
      <c r="V29" s="13">
        <f>MVTJANV25!V29+MVTFEV25!V29+MVTMARS25!V29+MVTAVRIL25!V29+MVTMAI25!V29+MVTJUIN25!V29+MVTJUIL25!V29+MVTAOUT25!V29+MVTSEPT25!V29+MVTOCT25!V29+MVTNOV25!V29+MVTDEC25!V29</f>
        <v>400000</v>
      </c>
      <c r="W29" s="13">
        <f t="shared" si="1"/>
        <v>0</v>
      </c>
      <c r="X29" s="186">
        <v>45827</v>
      </c>
      <c r="Y29" s="13">
        <f>MVTJANV25!Y29+MVTFEV25!Y29+MVTMARS25!Y29+MVTAVRIL25!Y29+MVTMAI25!Y29+MVTJUIN25!Y29+MVTJUIL25!Y29+MVTAOUT25!Y29+MVTSEPT25!Y29+MVTOCT25!Y29+MVTNOV25!Y29+MVTDEC25!Y29</f>
        <v>0</v>
      </c>
      <c r="Z29" s="13">
        <f>MVTJANV25!Z29+MVTFEV25!Z29+MVTMARS25!Z29+MVTAVRIL25!Z29+MVTMAI25!Z29+MVTJUIN25!Z29+MVTJUIL25!Z29+MVTAOUT25!Z29+MVTSEPT25!Z29+MVTOCT25!Z29+MVTNOV25!Z29+MVTDEC25!Z29</f>
        <v>0</v>
      </c>
      <c r="AA29" s="13">
        <f>MVTJANV25!AA29+MVTFEV25!AA29+MVTMARS25!AA29+MVTAVRIL25!AA29+MVTMAI25!AA29+MVTJUIN25!AA29+MVTJUIL25!AA29+MVTAOUT25!AA29+MVTSEPT25!AA29+MVTOCT25!AA29+MVTNOV25!AA29+MVTDEC25!AA29</f>
        <v>0</v>
      </c>
      <c r="AB29" s="13">
        <f>MVTJANV25!AB29+MVTFEV25!AB29+MVTMARS25!AB29+MVTAVRIL25!AB29+MVTMAI25!AB29+MVTJUIN25!AB29+MVTJUIL25!AB29+MVTAOUT25!AB29+MVTSEPT25!AB29+MVTOCT25!AB29+MVTNOV25!AB29+MVTDEC25!AB29</f>
        <v>0</v>
      </c>
      <c r="AC29" s="13">
        <f>MVTJANV25!AC29+MVTFEV25!AC29+MVTMARS25!AC29+MVTAVRIL25!AC29+MVTMAI25!AC29+MVTJUIN25!AC29+MVTJUIL25!AC29+MVTAOUT25!AC29+MVTSEPT25!AC29+MVTOCT25!AC29+MVTNOV25!AC29+MVTDEC25!AC29</f>
        <v>0</v>
      </c>
      <c r="AD29" s="13">
        <f>MVTJANV25!AD29+MVTFEV25!AD29+MVTMARS25!AD29+MVTAVRIL25!AD29+MVTMAI25!AD29+MVTJUIN25!AD29+MVTJUIL25!AD29+MVTAOUT25!AD29+MVTSEPT25!AD29+MVTOCT25!AD29+MVTNOV25!AD29+MVTDEC25!AD29</f>
        <v>0</v>
      </c>
      <c r="AE29" s="13">
        <f>MVTJANV25!AE29+MVTFEV25!AE29+MVTMARS25!AE29+MVTAVRIL25!AE29+MVTMAI25!AE29+MVTJUIN25!AE29+MVTJUIL25!AE29+MVTAOUT25!AE29+MVTSEPT25!AE29+MVTOCT25!AE29+MVTNOV25!AE29+MVTDEC25!AE29</f>
        <v>0</v>
      </c>
      <c r="AF29" s="13">
        <f>MVTJANV25!AF29+MVTFEV25!AF29+MVTMARS25!AF29+MVTAVRIL25!AF29+MVTMAI25!AF29+MVTJUIN25!AF29+MVTJUIL25!AF29+MVTAOUT25!AF29+MVTSEPT25!AF29+MVTOCT25!AF29+MVTNOV25!AF29+MVTDEC25!AF29</f>
        <v>0</v>
      </c>
      <c r="AG29" s="13">
        <f>MVTJANV25!AG29+MVTFEV25!AG29+MVTMARS25!AG29+MVTAVRIL25!AG29+MVTMAI25!AG29+MVTJUIN25!AG29+MVTJUIL25!AG29+MVTAOUT25!AG29+MVTSEPT25!AG29+MVTOCT25!AG29+MVTNOV25!AG29+MVTDEC25!AG29</f>
        <v>0</v>
      </c>
      <c r="AH29" s="13">
        <f>MVTJANV25!AH29+MVTFEV25!AH29+MVTMARS25!AH29+MVTAVRIL25!AH29+MVTMAI25!AH29+MVTJUIN25!AH29+MVTJUIL25!AH29+MVTAOUT25!AH29+MVTSEPT25!AH29+MVTOCT25!AH29+MVTNOV25!AH29+MVTDEC25!AH29</f>
        <v>0</v>
      </c>
      <c r="AI29" s="13">
        <f>MVTJANV25!AI29+MVTFEV25!AI29+MVTMARS25!AI29+MVTAVRIL25!AI29+MVTMAI25!AI29+MVTJUIN25!AI29+MVTJUIL25!AI29+MVTAOUT25!AI29+MVTSEPT25!AI29+MVTOCT25!AI29+MVTNOV25!AI29+MVTDEC25!AI29</f>
        <v>0</v>
      </c>
      <c r="AJ29" s="13">
        <f>MVTJANV25!AJ29+MVTFEV25!AJ29+MVTMARS25!AJ29+MVTAVRIL25!AJ29+MVTMAI25!AJ29+MVTJUIN25!AJ29+MVTJUIL25!AJ29+MVTAOUT25!AJ29+MVTSEPT25!AJ29+MVTOCT25!AJ29+MVTNOV25!AJ29+MVTDEC25!AJ29</f>
        <v>0</v>
      </c>
      <c r="AK29" s="13">
        <f>MVTJANV25!AK29+MVTFEV25!AK29+MVTMARS25!AK29+MVTAVRIL25!AK29+MVTMAI25!AK29+MVTJUIN25!AK29+MVTJUIL25!AK29+MVTAOUT25!AK29+MVTSEPT25!AK29+MVTOCT25!AK29+MVTNOV25!AK29+MVTDEC25!AK29</f>
        <v>0</v>
      </c>
      <c r="AM29" s="11"/>
    </row>
    <row r="30" spans="1:39" s="14" customFormat="1" x14ac:dyDescent="0.35">
      <c r="A30" s="12" t="s">
        <v>45</v>
      </c>
      <c r="B30" s="12" t="str">
        <f>VLOOKUP(A30,[24]LISTADHERENT!A$5:H$60,3,0)</f>
        <v>PATEGO NJOSSU GUSTAVE</v>
      </c>
      <c r="C30" s="13">
        <f>+MVTDEC24!C30</f>
        <v>800000</v>
      </c>
      <c r="D30" s="13">
        <f>+MVTDEC24!D30</f>
        <v>133342</v>
      </c>
      <c r="E30" s="13">
        <f>MVTJANV25!E30+MVTFEV25!E30+MVTMARS25!E30+MVTAVRIL25!E30+MVTMAI25!E30+MVTJUIN25!E30+MVTJUIL25!E30+MVTAOUT25!E30+MVTSEPT25!E30+MVTOCT25!E30+MVTNOV25!E30+MVTDEC25!E30</f>
        <v>0</v>
      </c>
      <c r="F30" s="36">
        <f>MVTJANV25!F30+MVTFEV25!F30+MVTMARS25!F30+MVTAVRIL25!F30+MVTMAI25!F30+MVTJUIN25!F30+MVTJUIL25!F30+MVTAOUT25!F30+MVTSEPT25!F30+MVTOCT25!F30+MVTNOV25!F30+MVTDEC25!F30</f>
        <v>13488954.266030256</v>
      </c>
      <c r="G30" s="5">
        <f>MVTJANV25!G30+MVTFEV25!G30+MVTMARS25!G30+MVTAVRIL25!G30+MVTMAI25!G30+MVTJUIN25!G30+MVTJUIL25!G30+MVTAOUT25!G30+MVTSEPT25!G30+MVTOCT25!G30+MVTNOV25!G30+MVTDEC25!G30</f>
        <v>13040214.37898642</v>
      </c>
      <c r="H30" s="36">
        <f>MVTDEC24!H30+MVTJANV25!H30+MVTFEV25!H30+MVTMARS25!H30+MVTAVRIL25!H30+MVTMAI25!H30+MVTJUIN25!H30+MVTJUIL25!H30+MVTAOUT25!H30+MVTSEPT25!H30+MVTOCT25!H30+MVTNOV25!H30</f>
        <v>78331.132976443492</v>
      </c>
      <c r="I30" s="187">
        <f t="shared" si="0"/>
        <v>13567285.399006698</v>
      </c>
      <c r="J30" s="13">
        <f>MVTJANV25!J30+MVTFEV25!J30+MVTMARS25!J30+MVTAVRIL25!J30+MVTMAI25!J30+MVTJUIN25!J30+MVTJUIL25!J30+MVTAOUT25!J30+MVTSEPT25!J30+MVTOCT25!J30+MVTNOV25!J30+MVTDEC25!J30</f>
        <v>0</v>
      </c>
      <c r="K30" s="13">
        <f>MVTJANV25!K30+MVTFEV25!K30+MVTMARS25!K30+MVTAVRIL25!K30+MVTMAI25!K30+MVTJUIN25!K30+MVTJUIL25!K30+MVTAOUT25!K30+MVTSEPT25!K30+MVTOCT25!K30+MVTNOV25!K30+MVTDEC25!K30</f>
        <v>300000</v>
      </c>
      <c r="L30" s="36">
        <f>MVTJANV25!L30+MVTFEV25!L30+MVTMARS25!L30+MVTAVRIL25!L30+MVTMAI25!L30+MVTJUIN25!L30+MVTJUIL25!L30+MVTAOUT25!L30+MVTSEPT25!L30+MVTOCT25!L30+MVTNOV25!L30+MVTDEC25!L30</f>
        <v>228000</v>
      </c>
      <c r="M30" s="13">
        <f>MVTJANV25!M30+MVTFEV25!M30+MVTMARS25!M30+MVTAVRIL25!M30+MVTMAI25!M30+MVTJUIN25!M30+MVTJUIL25!M30+MVTAOUT25!M30+MVTSEPT25!M30+MVTOCT25!M30+MVTNOV25!M30+MVTDEC25!M30</f>
        <v>12000</v>
      </c>
      <c r="N30" s="13">
        <f>MVTJANV25!N30+MVTFEV25!N30+MVTMARS25!N30+MVTAVRIL25!N30+MVTMAI25!N30+MVTJUIN25!N30+MVTJUIL25!N30+MVTAOUT25!N30+MVTSEPT25!N30+MVTOCT25!N30+MVTNOV25!N30+MVTDEC25!N30</f>
        <v>12000</v>
      </c>
      <c r="O30" s="13">
        <f>MVTJANV25!O30+MVTFEV25!O30+MVTMARS25!O30+MVTAVRIL25!O30+MVTMAI25!O30+MVTJUIN25!O30+MVTJUIL25!O30+MVTAOUT25!O30+MVTSEPT25!O30+MVTOCT25!O30+MVTNOV25!O30+MVTDEC25!O30</f>
        <v>48000</v>
      </c>
      <c r="P30" s="13">
        <f>MVTJANV25!P30+MVTFEV25!P30+MVTMARS25!P30+MVTAVRIL25!P30+MVTMAI25!P30+MVTJUIN25!P30+MVTJUIL25!P30+MVTAOUT25!P30+MVTSEPT25!P30+MVTOCT25!P30+MVTNOV25!P30+MVTDEC25!P30</f>
        <v>0</v>
      </c>
      <c r="Q30" s="13">
        <f>MVTJANV25!Q30+MVTFEV25!Q30+MVTMARS25!Q30+MVTAVRIL25!Q30+MVTMAI25!Q30+MVTJUIN25!Q30+MVTJUIL25!Q30+MVTAOUT25!Q30+MVTSEPT25!Q30+MVTOCT25!Q30+MVTNOV25!Q30+MVTDEC25!Q30</f>
        <v>0</v>
      </c>
      <c r="R30" s="13">
        <f>MVTJANV25!R30+MVTFEV25!R30+MVTMARS25!R30+MVTAVRIL25!R30+MVTMAI25!R30+MVTJUIN25!R30+MVTJUIL25!R30+MVTAOUT25!R30+MVTSEPT25!R30+MVTOCT25!R30+MVTNOV25!R30+MVTDEC25!R30</f>
        <v>0</v>
      </c>
      <c r="S30" s="36">
        <f>MVTJANV25!S30+MVTFEV25!S30+MVTMARS25!S30+MVTAVRIL25!S30+MVTMAI25!S30+MVTJUIN25!S30+MVTJUIL25!S30+MVTAOUT25!S30+MVTSEPT25!S30+MVTOCT25!S30+MVTNOV25!S30+MVTDEC25!S30</f>
        <v>0</v>
      </c>
      <c r="T30" s="36">
        <f>MVTDEC24!T30+MVTJANV25!T30+MVTFEV25!T30+MVTMARS25!T30+MVTAVRIL25!T30+MVTMAI25!T30+MVTJUIN25!T30+MVTJUIL25!T30+MVTAOUT25!T30+MVTSEPT25!T30+MVTOCT25!T30+MVTNOV25!T30</f>
        <v>0</v>
      </c>
      <c r="U30" s="13">
        <f>MVTJANV25!U30+MVTFEV25!U30+MVTMARS25!U30+MVTAVRIL25!U30+MVTMAI25!U30+MVTJUIN25!U30+MVTJUIL25!U30+MVTAOUT25!U30+MVTSEPT25!U30+MVTOCT25!U30+MVTNOV25!U30+MVTDEC25!U30</f>
        <v>0</v>
      </c>
      <c r="V30" s="13">
        <f>MVTJANV25!V30+MVTFEV25!V30+MVTMARS25!V30+MVTAVRIL25!V30+MVTMAI25!V30+MVTJUIN25!V30+MVTJUIL25!V30+MVTAOUT25!V30+MVTSEPT25!V30+MVTOCT25!V30+MVTNOV25!V30+MVTDEC25!V30</f>
        <v>0</v>
      </c>
      <c r="W30" s="13">
        <f t="shared" si="1"/>
        <v>0</v>
      </c>
      <c r="X30" s="13"/>
      <c r="Y30" s="13">
        <f>MVTJANV25!Y30+MVTFEV25!Y30+MVTMARS25!Y30+MVTAVRIL25!Y30+MVTMAI25!Y30+MVTJUIN25!Y30+MVTJUIL25!Y30+MVTAOUT25!Y30+MVTSEPT25!Y30+MVTOCT25!Y30+MVTNOV25!Y30+MVTDEC25!Y30</f>
        <v>0</v>
      </c>
      <c r="Z30" s="13">
        <f>MVTJANV25!Z30+MVTFEV25!Z30+MVTMARS25!Z30+MVTAVRIL25!Z30+MVTMAI25!Z30+MVTJUIN25!Z30+MVTJUIL25!Z30+MVTAOUT25!Z30+MVTSEPT25!Z30+MVTOCT25!Z30+MVTNOV25!Z30+MVTDEC25!Z30</f>
        <v>0</v>
      </c>
      <c r="AA30" s="13">
        <f>MVTJANV25!AA30+MVTFEV25!AA30+MVTMARS25!AA30+MVTAVRIL25!AA30+MVTMAI25!AA30+MVTJUIN25!AA30+MVTJUIL25!AA30+MVTAOUT25!AA30+MVTSEPT25!AA30+MVTOCT25!AA30+MVTNOV25!AA30+MVTDEC25!AA30</f>
        <v>0</v>
      </c>
      <c r="AB30" s="13">
        <f>MVTJANV25!AB30+MVTFEV25!AB30+MVTMARS25!AB30+MVTAVRIL25!AB30+MVTMAI25!AB30+MVTJUIN25!AB30+MVTJUIL25!AB30+MVTAOUT25!AB30+MVTSEPT25!AB30+MVTOCT25!AB30+MVTNOV25!AB30+MVTDEC25!AB30</f>
        <v>0</v>
      </c>
      <c r="AC30" s="13">
        <f>MVTJANV25!AC30+MVTFEV25!AC30+MVTMARS25!AC30+MVTAVRIL25!AC30+MVTMAI25!AC30+MVTJUIN25!AC30+MVTJUIL25!AC30+MVTAOUT25!AC30+MVTSEPT25!AC30+MVTOCT25!AC30+MVTNOV25!AC30+MVTDEC25!AC30</f>
        <v>0</v>
      </c>
      <c r="AD30" s="13">
        <f>MVTJANV25!AD30+MVTFEV25!AD30+MVTMARS25!AD30+MVTAVRIL25!AD30+MVTMAI25!AD30+MVTJUIN25!AD30+MVTJUIL25!AD30+MVTAOUT25!AD30+MVTSEPT25!AD30+MVTOCT25!AD30+MVTNOV25!AD30+MVTDEC25!AD30</f>
        <v>0</v>
      </c>
      <c r="AE30" s="13">
        <f>MVTJANV25!AE30+MVTFEV25!AE30+MVTMARS25!AE30+MVTAVRIL25!AE30+MVTMAI25!AE30+MVTJUIN25!AE30+MVTJUIL25!AE30+MVTAOUT25!AE30+MVTSEPT25!AE30+MVTOCT25!AE30+MVTNOV25!AE30+MVTDEC25!AE30</f>
        <v>0</v>
      </c>
      <c r="AF30" s="13">
        <f>MVTJANV25!AF30+MVTFEV25!AF30+MVTMARS25!AF30+MVTAVRIL25!AF30+MVTMAI25!AF30+MVTJUIN25!AF30+MVTJUIL25!AF30+MVTAOUT25!AF30+MVTSEPT25!AF30+MVTOCT25!AF30+MVTNOV25!AF30+MVTDEC25!AF30</f>
        <v>0</v>
      </c>
      <c r="AG30" s="13">
        <f>MVTJANV25!AG30+MVTFEV25!AG30+MVTMARS25!AG30+MVTAVRIL25!AG30+MVTMAI25!AG30+MVTJUIN25!AG30+MVTJUIL25!AG30+MVTAOUT25!AG30+MVTSEPT25!AG30+MVTOCT25!AG30+MVTNOV25!AG30+MVTDEC25!AG30</f>
        <v>0</v>
      </c>
      <c r="AH30" s="13">
        <f>MVTJANV25!AH30+MVTFEV25!AH30+MVTMARS25!AH30+MVTAVRIL25!AH30+MVTMAI25!AH30+MVTJUIN25!AH30+MVTJUIL25!AH30+MVTAOUT25!AH30+MVTSEPT25!AH30+MVTOCT25!AH30+MVTNOV25!AH30+MVTDEC25!AH30</f>
        <v>0</v>
      </c>
      <c r="AI30" s="13">
        <f>MVTJANV25!AI30+MVTFEV25!AI30+MVTMARS25!AI30+MVTAVRIL25!AI30+MVTMAI25!AI30+MVTJUIN25!AI30+MVTJUIL25!AI30+MVTAOUT25!AI30+MVTSEPT25!AI30+MVTOCT25!AI30+MVTNOV25!AI30+MVTDEC25!AI30</f>
        <v>0</v>
      </c>
      <c r="AJ30" s="13">
        <f>MVTJANV25!AJ30+MVTFEV25!AJ30+MVTMARS25!AJ30+MVTAVRIL25!AJ30+MVTMAI25!AJ30+MVTJUIN25!AJ30+MVTJUIL25!AJ30+MVTAOUT25!AJ30+MVTSEPT25!AJ30+MVTOCT25!AJ30+MVTNOV25!AJ30+MVTDEC25!AJ30</f>
        <v>0</v>
      </c>
      <c r="AK30" s="13">
        <f>MVTJANV25!AK30+MVTFEV25!AK30+MVTMARS25!AK30+MVTAVRIL25!AK30+MVTMAI25!AK30+MVTJUIN25!AK30+MVTJUIL25!AK30+MVTAOUT25!AK30+MVTSEPT25!AK30+MVTOCT25!AK30+MVTNOV25!AK30+MVTDEC25!AK30</f>
        <v>0</v>
      </c>
      <c r="AM30" s="11"/>
    </row>
    <row r="31" spans="1:39" ht="15.5" x14ac:dyDescent="0.35">
      <c r="A31" s="1" t="s">
        <v>312</v>
      </c>
      <c r="B31" s="1" t="str">
        <f>VLOOKUP(A31,[24]LISTADHERENT!A$5:H$60,3,0)</f>
        <v>SEUMO POLYCARPE</v>
      </c>
      <c r="C31" s="36">
        <f>+MVTDEC24!C31</f>
        <v>800000</v>
      </c>
      <c r="D31" s="36">
        <f>+MVTDEC24!D31</f>
        <v>-9977</v>
      </c>
      <c r="E31" s="36">
        <f>MVTJANV25!E31+MVTFEV25!E31+MVTMARS25!E31+MVTAVRIL25!E31+MVTMAI25!E31+MVTJUIN25!E31+MVTJUIL25!E31+MVTAOUT25!E31+MVTSEPT25!E31+MVTOCT25!E31+MVTNOV25!E31+MVTDEC25!E31</f>
        <v>0</v>
      </c>
      <c r="F31" s="36">
        <f>MVTJANV25!F31+MVTFEV25!F31+MVTMARS25!F31+MVTAVRIL25!F31+MVTMAI25!F31+MVTJUIN25!F31+MVTJUIL25!F31+MVTAOUT25!F31+MVTSEPT25!F31+MVTOCT25!F31+MVTNOV25!F31+MVTDEC25!F31</f>
        <v>11648417.537551202</v>
      </c>
      <c r="G31" s="5">
        <f>MVTJANV25!G31+MVTFEV25!G31+MVTMARS25!G31+MVTAVRIL25!G31+MVTMAI25!G31+MVTJUIN25!G31+MVTJUIL25!G31+MVTAOUT25!G31+MVTSEPT25!G31+MVTOCT25!G31+MVTNOV25!G31+MVTDEC25!G31</f>
        <v>11203813.462480601</v>
      </c>
      <c r="H31" s="36">
        <f>MVTDEC24!H31+MVTJANV25!H31+MVTFEV25!H31+MVTMARS25!H31+MVTAVRIL25!H31+MVTMAI25!H31+MVTJUIN25!H31+MVTJUIL25!H31+MVTAOUT25!H31+MVTSEPT25!H31+MVTOCT25!H31+MVTNOV25!H31</f>
        <v>66656.14378981333</v>
      </c>
      <c r="I31" s="184">
        <f t="shared" si="0"/>
        <v>11715073.681341015</v>
      </c>
      <c r="J31" s="36">
        <f>MVTJANV25!J31+MVTFEV25!J31+MVTMARS25!J31+MVTAVRIL25!J31+MVTMAI25!J31+MVTJUIN25!J31+MVTJUIL25!J31+MVTAOUT25!J31+MVTSEPT25!J31+MVTOCT25!J31+MVTNOV25!J31+MVTDEC25!J31</f>
        <v>0</v>
      </c>
      <c r="K31" s="36">
        <f>MVTJANV25!K31+MVTFEV25!K31+MVTMARS25!K31+MVTAVRIL25!K31+MVTMAI25!K31+MVTJUIN25!K31+MVTJUIL25!K31+MVTAOUT25!K31+MVTSEPT25!K31+MVTOCT25!K31+MVTNOV25!K31+MVTDEC25!K31</f>
        <v>301000</v>
      </c>
      <c r="L31" s="36">
        <f>MVTJANV25!L31+MVTFEV25!L31+MVTMARS25!L31+MVTAVRIL25!L31+MVTMAI25!L31+MVTJUIN25!L31+MVTJUIL25!L31+MVTAOUT25!L31+MVTSEPT25!L31+MVTOCT25!L31+MVTNOV25!L31+MVTDEC25!L31</f>
        <v>229000</v>
      </c>
      <c r="M31" s="36">
        <f>MVTJANV25!M31+MVTFEV25!M31+MVTMARS25!M31+MVTAVRIL25!M31+MVTMAI25!M31+MVTJUIN25!M31+MVTJUIL25!M31+MVTAOUT25!M31+MVTSEPT25!M31+MVTOCT25!M31+MVTNOV25!M31+MVTDEC25!M31</f>
        <v>12000</v>
      </c>
      <c r="N31" s="36">
        <f>MVTJANV25!N31+MVTFEV25!N31+MVTMARS25!N31+MVTAVRIL25!N31+MVTMAI25!N31+MVTJUIN25!N31+MVTJUIL25!N31+MVTAOUT25!N31+MVTSEPT25!N31+MVTOCT25!N31+MVTNOV25!N31+MVTDEC25!N31</f>
        <v>12000</v>
      </c>
      <c r="O31" s="36">
        <f>MVTJANV25!O31+MVTFEV25!O31+MVTMARS25!O31+MVTAVRIL25!O31+MVTMAI25!O31+MVTJUIN25!O31+MVTJUIL25!O31+MVTAOUT25!O31+MVTSEPT25!O31+MVTOCT25!O31+MVTNOV25!O31+MVTDEC25!O31</f>
        <v>48000</v>
      </c>
      <c r="P31" s="36">
        <f>MVTJANV25!P31+MVTFEV25!P31+MVTMARS25!P31+MVTAVRIL25!P31+MVTMAI25!P31+MVTJUIN25!P31+MVTJUIL25!P31+MVTAOUT25!P31+MVTSEPT25!P31+MVTOCT25!P31+MVTNOV25!P31+MVTDEC25!P31</f>
        <v>0</v>
      </c>
      <c r="Q31" s="36">
        <f>MVTJANV25!Q31+MVTFEV25!Q31+MVTMARS25!Q31+MVTAVRIL25!Q31+MVTMAI25!Q31+MVTJUIN25!Q31+MVTJUIL25!Q31+MVTAOUT25!Q31+MVTSEPT25!Q31+MVTOCT25!Q31+MVTNOV25!Q31+MVTDEC25!Q31</f>
        <v>0</v>
      </c>
      <c r="R31" s="36">
        <f>MVTJANV25!R31+MVTFEV25!R31+MVTMARS25!R31+MVTAVRIL25!R31+MVTMAI25!R31+MVTJUIN25!R31+MVTJUIL25!R31+MVTAOUT25!R31+MVTSEPT25!R31+MVTOCT25!R31+MVTNOV25!R31+MVTDEC25!R31</f>
        <v>0</v>
      </c>
      <c r="S31" s="36">
        <f>MVTJANV25!S31+MVTFEV25!S31+MVTMARS25!S31+MVTAVRIL25!S31+MVTMAI25!S31+MVTJUIN25!S31+MVTJUIL25!S31+MVTAOUT25!S31+MVTSEPT25!S31+MVTOCT25!S31+MVTNOV25!S31+MVTDEC25!S31</f>
        <v>900000</v>
      </c>
      <c r="T31" s="36">
        <f>MVTDEC24!T31+MVTJANV25!T31+MVTFEV25!T31+MVTMARS25!T31+MVTAVRIL25!T31+MVTMAI25!T31+MVTJUIN25!T31+MVTJUIL25!T31+MVTAOUT25!T31+MVTSEPT25!T31+MVTOCT25!T31+MVTNOV25!T31</f>
        <v>120000</v>
      </c>
      <c r="U31" s="36">
        <f>MVTJANV25!U31+MVTFEV25!U31+MVTMARS25!U31+MVTAVRIL25!U31+MVTMAI25!U31+MVTJUIN25!U31+MVTJUIL25!U31+MVTAOUT25!U31+MVTSEPT25!U31+MVTOCT25!U31+MVTNOV25!U31+MVTDEC25!U31</f>
        <v>0</v>
      </c>
      <c r="V31" s="36">
        <f>MVTJANV25!V31+MVTFEV25!V31+MVTMARS25!V31+MVTAVRIL25!V31+MVTMAI25!V31+MVTJUIN25!V31+MVTJUIL25!V31+MVTAOUT25!V31+MVTSEPT25!V31+MVTOCT25!V31+MVTNOV25!V31+MVTDEC25!V31</f>
        <v>1000000</v>
      </c>
      <c r="W31" s="36">
        <f>S31-V31+1000000+10000</f>
        <v>910000</v>
      </c>
      <c r="X31" s="186">
        <v>46010</v>
      </c>
      <c r="Y31" s="36">
        <f>MVTJANV25!Y31+MVTFEV25!Y31+MVTMARS25!Y31+MVTAVRIL25!Y31+MVTMAI25!Y31+MVTJUIN25!Y31+MVTJUIL25!Y31+MVTAOUT25!Y31+MVTSEPT25!Y31+MVTOCT25!Y31+MVTNOV25!Y31+MVTDEC25!Y31</f>
        <v>0</v>
      </c>
      <c r="Z31" s="36">
        <f>MVTJANV25!Z31+MVTFEV25!Z31+MVTMARS25!Z31+MVTAVRIL25!Z31+MVTMAI25!Z31+MVTJUIN25!Z31+MVTJUIL25!Z31+MVTAOUT25!Z31+MVTSEPT25!Z31+MVTOCT25!Z31+MVTNOV25!Z31+MVTDEC25!Z31</f>
        <v>0</v>
      </c>
      <c r="AA31" s="36">
        <f>MVTJANV25!AA31+MVTFEV25!AA31+MVTMARS25!AA31+MVTAVRIL25!AA31+MVTMAI25!AA31+MVTJUIN25!AA31+MVTJUIL25!AA31+MVTAOUT25!AA31+MVTSEPT25!AA31+MVTOCT25!AA31+MVTNOV25!AA31+MVTDEC25!AA31</f>
        <v>0</v>
      </c>
      <c r="AB31" s="36">
        <f>MVTJANV25!AB31+MVTFEV25!AB31+MVTMARS25!AB31+MVTAVRIL25!AB31+MVTMAI25!AB31+MVTJUIN25!AB31+MVTJUIL25!AB31+MVTAOUT25!AB31+MVTSEPT25!AB31+MVTOCT25!AB31+MVTNOV25!AB31+MVTDEC25!AB31</f>
        <v>0</v>
      </c>
      <c r="AC31" s="36">
        <f>MVTJANV25!AC31+MVTFEV25!AC31+MVTMARS25!AC31+MVTAVRIL25!AC31+MVTMAI25!AC31+MVTJUIN25!AC31+MVTJUIL25!AC31+MVTAOUT25!AC31+MVTSEPT25!AC31+MVTOCT25!AC31+MVTNOV25!AC31+MVTDEC25!AC31</f>
        <v>0</v>
      </c>
      <c r="AD31" s="36">
        <f>MVTJANV25!AD31+MVTFEV25!AD31+MVTMARS25!AD31+MVTAVRIL25!AD31+MVTMAI25!AD31+MVTJUIN25!AD31+MVTJUIL25!AD31+MVTAOUT25!AD31+MVTSEPT25!AD31+MVTOCT25!AD31+MVTNOV25!AD31+MVTDEC25!AD31</f>
        <v>0</v>
      </c>
      <c r="AE31" s="36">
        <f>MVTJANV25!AE31+MVTFEV25!AE31+MVTMARS25!AE31+MVTAVRIL25!AE31+MVTMAI25!AE31+MVTJUIN25!AE31+MVTJUIL25!AE31+MVTAOUT25!AE31+MVTSEPT25!AE31+MVTOCT25!AE31+MVTNOV25!AE31+MVTDEC25!AE31</f>
        <v>0</v>
      </c>
      <c r="AF31" s="36">
        <f>MVTJANV25!AF31+MVTFEV25!AF31+MVTMARS25!AF31+MVTAVRIL25!AF31+MVTMAI25!AF31+MVTJUIN25!AF31+MVTJUIL25!AF31+MVTAOUT25!AF31+MVTSEPT25!AF31+MVTOCT25!AF31+MVTNOV25!AF31+MVTDEC25!AF31</f>
        <v>0</v>
      </c>
      <c r="AG31" s="36">
        <f>MVTJANV25!AG31+MVTFEV25!AG31+MVTMARS25!AG31+MVTAVRIL25!AG31+MVTMAI25!AG31+MVTJUIN25!AG31+MVTJUIL25!AG31+MVTAOUT25!AG31+MVTSEPT25!AG31+MVTOCT25!AG31+MVTNOV25!AG31+MVTDEC25!AG31</f>
        <v>0</v>
      </c>
      <c r="AH31" s="36">
        <f>MVTJANV25!AH31+MVTFEV25!AH31+MVTMARS25!AH31+MVTAVRIL25!AH31+MVTMAI25!AH31+MVTJUIN25!AH31+MVTJUIL25!AH31+MVTAOUT25!AH31+MVTSEPT25!AH31+MVTOCT25!AH31+MVTNOV25!AH31+MVTDEC25!AH31</f>
        <v>0</v>
      </c>
      <c r="AI31" s="36">
        <f>MVTJANV25!AI31+MVTFEV25!AI31+MVTMARS25!AI31+MVTAVRIL25!AI31+MVTMAI25!AI31+MVTJUIN25!AI31+MVTJUIL25!AI31+MVTAOUT25!AI31+MVTSEPT25!AI31+MVTOCT25!AI31+MVTNOV25!AI31+MVTDEC25!AI31</f>
        <v>0</v>
      </c>
      <c r="AJ31" s="36">
        <f>MVTJANV25!AJ31+MVTFEV25!AJ31+MVTMARS25!AJ31+MVTAVRIL25!AJ31+MVTMAI25!AJ31+MVTJUIN25!AJ31+MVTJUIL25!AJ31+MVTAOUT25!AJ31+MVTSEPT25!AJ31+MVTOCT25!AJ31+MVTNOV25!AJ31+MVTDEC25!AJ31</f>
        <v>0</v>
      </c>
      <c r="AK31" s="36">
        <f>MVTJANV25!AK31+MVTFEV25!AK31+MVTMARS25!AK31+MVTAVRIL25!AK31+MVTMAI25!AK31+MVTJUIN25!AK31+MVTJUIL25!AK31+MVTAOUT25!AK31+MVTSEPT25!AK31+MVTOCT25!AK31+MVTNOV25!AK31+MVTDEC25!AK31</f>
        <v>0</v>
      </c>
    </row>
    <row r="32" spans="1:39" ht="15.5" x14ac:dyDescent="0.35">
      <c r="A32" s="1" t="s">
        <v>81</v>
      </c>
      <c r="B32" s="1" t="str">
        <f>VLOOKUP(A32,[24]LISTADHERENT!A$5:H$60,3,0)</f>
        <v>SIME BRICE</v>
      </c>
      <c r="C32" s="36">
        <f>+MVTDEC24!C32</f>
        <v>800000</v>
      </c>
      <c r="D32" s="36">
        <f>+MVTDEC24!D32</f>
        <v>79106</v>
      </c>
      <c r="E32" s="36">
        <f>MVTJANV25!E32+MVTFEV25!E32+MVTMARS25!E32+MVTAVRIL25!E32+MVTMAI25!E32+MVTJUIN25!E32+MVTJUIL25!E32+MVTAOUT25!E32+MVTSEPT25!E32+MVTOCT25!E32+MVTNOV25!E32+MVTDEC25!E32</f>
        <v>0</v>
      </c>
      <c r="F32" s="36">
        <f>MVTJANV25!F32+MVTFEV25!F32+MVTMARS25!F32+MVTAVRIL25!F32+MVTMAI25!F32+MVTJUIN25!F32+MVTJUIL25!F32+MVTAOUT25!F32+MVTSEPT25!F32+MVTOCT25!F32+MVTNOV25!F32+MVTDEC25!F32</f>
        <v>12792064.209542353</v>
      </c>
      <c r="G32" s="5">
        <f>MVTJANV25!G32+MVTFEV25!G32+MVTMARS25!G32+MVTAVRIL25!G32+MVTMAI25!G32+MVTJUIN25!G32+MVTJUIL25!G32+MVTAOUT25!G32+MVTSEPT25!G32+MVTOCT25!G32+MVTNOV25!G32+MVTDEC25!G32</f>
        <v>12344889.431787452</v>
      </c>
      <c r="H32" s="36">
        <f>MVTDEC24!H32+MVTJANV25!H32+MVTFEV25!H32+MVTMARS25!H32+MVTAVRIL25!H32+MVTMAI25!H32+MVTJUIN25!H32+MVTJUIL25!H32+MVTAOUT25!H32+MVTSEPT25!H32+MVTOCT25!H32+MVTNOV25!H32</f>
        <v>73912.983857861342</v>
      </c>
      <c r="I32" s="184">
        <f t="shared" si="0"/>
        <v>12865977.193400213</v>
      </c>
      <c r="J32" s="36">
        <f>MVTJANV25!J32+MVTFEV25!J32+MVTMARS25!J32+MVTAVRIL25!J32+MVTMAI25!J32+MVTJUIN25!J32+MVTJUIL25!J32+MVTAOUT25!J32+MVTSEPT25!J32+MVTOCT25!J32+MVTNOV25!J32+MVTDEC25!J32</f>
        <v>0</v>
      </c>
      <c r="K32" s="36">
        <f>MVTJANV25!K32+MVTFEV25!K32+MVTMARS25!K32+MVTAVRIL25!K32+MVTMAI25!K32+MVTJUIN25!K32+MVTJUIL25!K32+MVTAOUT25!K32+MVTSEPT25!K32+MVTOCT25!K32+MVTNOV25!K32+MVTDEC25!K32</f>
        <v>300000</v>
      </c>
      <c r="L32" s="36">
        <f>MVTJANV25!L32+MVTFEV25!L32+MVTMARS25!L32+MVTAVRIL25!L32+MVTMAI25!L32+MVTJUIN25!L32+MVTJUIL25!L32+MVTAOUT25!L32+MVTSEPT25!L32+MVTOCT25!L32+MVTNOV25!L32+MVTDEC25!L32</f>
        <v>228000</v>
      </c>
      <c r="M32" s="36">
        <f>MVTJANV25!M32+MVTFEV25!M32+MVTMARS25!M32+MVTAVRIL25!M32+MVTMAI25!M32+MVTJUIN25!M32+MVTJUIL25!M32+MVTAOUT25!M32+MVTSEPT25!M32+MVTOCT25!M32+MVTNOV25!M32+MVTDEC25!M32</f>
        <v>12000</v>
      </c>
      <c r="N32" s="36">
        <f>MVTJANV25!N32+MVTFEV25!N32+MVTMARS25!N32+MVTAVRIL25!N32+MVTMAI25!N32+MVTJUIN25!N32+MVTJUIL25!N32+MVTAOUT25!N32+MVTSEPT25!N32+MVTOCT25!N32+MVTNOV25!N32+MVTDEC25!N32</f>
        <v>12000</v>
      </c>
      <c r="O32" s="36">
        <f>MVTJANV25!O32+MVTFEV25!O32+MVTMARS25!O32+MVTAVRIL25!O32+MVTMAI25!O32+MVTJUIN25!O32+MVTJUIL25!O32+MVTAOUT25!O32+MVTSEPT25!O32+MVTOCT25!O32+MVTNOV25!O32+MVTDEC25!O32</f>
        <v>48000</v>
      </c>
      <c r="P32" s="36">
        <f>MVTJANV25!P32+MVTFEV25!P32+MVTMARS25!P32+MVTAVRIL25!P32+MVTMAI25!P32+MVTJUIN25!P32+MVTJUIL25!P32+MVTAOUT25!P32+MVTSEPT25!P32+MVTOCT25!P32+MVTNOV25!P32+MVTDEC25!P32</f>
        <v>6000</v>
      </c>
      <c r="Q32" s="36">
        <f>MVTJANV25!Q32+MVTFEV25!Q32+MVTMARS25!Q32+MVTAVRIL25!Q32+MVTMAI25!Q32+MVTJUIN25!Q32+MVTJUIL25!Q32+MVTAOUT25!Q32+MVTSEPT25!Q32+MVTOCT25!Q32+MVTNOV25!Q32+MVTDEC25!Q32</f>
        <v>0</v>
      </c>
      <c r="R32" s="36">
        <f>MVTJANV25!R32+MVTFEV25!R32+MVTMARS25!R32+MVTAVRIL25!R32+MVTMAI25!R32+MVTJUIN25!R32+MVTJUIL25!R32+MVTAOUT25!R32+MVTSEPT25!R32+MVTOCT25!R32+MVTNOV25!R32+MVTDEC25!R32</f>
        <v>0</v>
      </c>
      <c r="S32" s="36">
        <f>MVTJANV25!S32+MVTFEV25!S32+MVTMARS25!S32+MVTAVRIL25!S32+MVTMAI25!S32+MVTJUIN25!S32+MVTJUIL25!S32+MVTAOUT25!S32+MVTSEPT25!S32+MVTOCT25!S32+MVTNOV25!S32+MVTDEC25!S32</f>
        <v>4000000</v>
      </c>
      <c r="T32" s="36">
        <f>MVTDEC24!T32+MVTJANV25!T32+MVTFEV25!T32+MVTMARS25!T32+MVTAVRIL25!T32+MVTMAI25!T32+MVTJUIN25!T32+MVTJUIL25!T32+MVTAOUT25!T32+MVTSEPT25!T32+MVTOCT25!T32+MVTNOV25!T32</f>
        <v>120000</v>
      </c>
      <c r="U32" s="36">
        <f>MVTJANV25!U32+MVTFEV25!U32+MVTMARS25!U32+MVTAVRIL25!U32+MVTMAI25!U32+MVTJUIN25!U32+MVTJUIL25!U32+MVTAOUT25!U32+MVTSEPT25!U32+MVTOCT25!U32+MVTNOV25!U32+MVTDEC25!U32</f>
        <v>0</v>
      </c>
      <c r="V32" s="36">
        <f>MVTJANV25!V32+MVTFEV25!V32+MVTMARS25!V32+MVTAVRIL25!V32+MVTMAI25!V32+MVTJUIN25!V32+MVTJUIL25!V32+MVTAOUT25!V32+MVTSEPT25!V32+MVTOCT25!V32+MVTNOV25!V32+MVTDEC25!V32</f>
        <v>4000000</v>
      </c>
      <c r="W32" s="36">
        <f t="shared" si="1"/>
        <v>0</v>
      </c>
      <c r="X32" s="186">
        <v>46010</v>
      </c>
      <c r="Y32" s="36">
        <f>MVTJANV25!Y32+MVTFEV25!Y32+MVTMARS25!Y32+MVTAVRIL25!Y32+MVTMAI25!Y32+MVTJUIN25!Y32+MVTJUIL25!Y32+MVTAOUT25!Y32+MVTSEPT25!Y32+MVTOCT25!Y32+MVTNOV25!Y32+MVTDEC25!Y32</f>
        <v>0</v>
      </c>
      <c r="Z32" s="36">
        <f>MVTJANV25!Z32+MVTFEV25!Z32+MVTMARS25!Z32+MVTAVRIL25!Z32+MVTMAI25!Z32+MVTJUIN25!Z32+MVTJUIL25!Z32+MVTAOUT25!Z32+MVTSEPT25!Z32+MVTOCT25!Z32+MVTNOV25!Z32+MVTDEC25!Z32</f>
        <v>0</v>
      </c>
      <c r="AA32" s="36">
        <f>MVTJANV25!AA32+MVTFEV25!AA32+MVTMARS25!AA32+MVTAVRIL25!AA32+MVTMAI25!AA32+MVTJUIN25!AA32+MVTJUIL25!AA32+MVTAOUT25!AA32+MVTSEPT25!AA32+MVTOCT25!AA32+MVTNOV25!AA32+MVTDEC25!AA32</f>
        <v>0</v>
      </c>
      <c r="AB32" s="36">
        <f>MVTJANV25!AB32+MVTFEV25!AB32+MVTMARS25!AB32+MVTAVRIL25!AB32+MVTMAI25!AB32+MVTJUIN25!AB32+MVTJUIL25!AB32+MVTAOUT25!AB32+MVTSEPT25!AB32+MVTOCT25!AB32+MVTNOV25!AB32+MVTDEC25!AB32</f>
        <v>0</v>
      </c>
      <c r="AC32" s="36">
        <f>MVTJANV25!AC32+MVTFEV25!AC32+MVTMARS25!AC32+MVTAVRIL25!AC32+MVTMAI25!AC32+MVTJUIN25!AC32+MVTJUIL25!AC32+MVTAOUT25!AC32+MVTSEPT25!AC32+MVTOCT25!AC32+MVTNOV25!AC32+MVTDEC25!AC32</f>
        <v>0</v>
      </c>
      <c r="AD32" s="36">
        <f>MVTJANV25!AD32+MVTFEV25!AD32+MVTMARS25!AD32+MVTAVRIL25!AD32+MVTMAI25!AD32+MVTJUIN25!AD32+MVTJUIL25!AD32+MVTAOUT25!AD32+MVTSEPT25!AD32+MVTOCT25!AD32+MVTNOV25!AD32+MVTDEC25!AD32</f>
        <v>0</v>
      </c>
      <c r="AE32" s="36">
        <f>MVTJANV25!AE32+MVTFEV25!AE32+MVTMARS25!AE32+MVTAVRIL25!AE32+MVTMAI25!AE32+MVTJUIN25!AE32+MVTJUIL25!AE32+MVTAOUT25!AE32+MVTSEPT25!AE32+MVTOCT25!AE32+MVTNOV25!AE32+MVTDEC25!AE32</f>
        <v>0</v>
      </c>
      <c r="AF32" s="36">
        <f>MVTJANV25!AF32+MVTFEV25!AF32+MVTMARS25!AF32+MVTAVRIL25!AF32+MVTMAI25!AF32+MVTJUIN25!AF32+MVTJUIL25!AF32+MVTAOUT25!AF32+MVTSEPT25!AF32+MVTOCT25!AF32+MVTNOV25!AF32+MVTDEC25!AF32</f>
        <v>0</v>
      </c>
      <c r="AG32" s="36">
        <f>MVTJANV25!AG32+MVTFEV25!AG32+MVTMARS25!AG32+MVTAVRIL25!AG32+MVTMAI25!AG32+MVTJUIN25!AG32+MVTJUIL25!AG32+MVTAOUT25!AG32+MVTSEPT25!AG32+MVTOCT25!AG32+MVTNOV25!AG32+MVTDEC25!AG32</f>
        <v>0</v>
      </c>
      <c r="AH32" s="36">
        <f>MVTJANV25!AH32+MVTFEV25!AH32+MVTMARS25!AH32+MVTAVRIL25!AH32+MVTMAI25!AH32+MVTJUIN25!AH32+MVTJUIL25!AH32+MVTAOUT25!AH32+MVTSEPT25!AH32+MVTOCT25!AH32+MVTNOV25!AH32+MVTDEC25!AH32</f>
        <v>0</v>
      </c>
      <c r="AI32" s="36">
        <f>MVTJANV25!AI32+MVTFEV25!AI32+MVTMARS25!AI32+MVTAVRIL25!AI32+MVTMAI25!AI32+MVTJUIN25!AI32+MVTJUIL25!AI32+MVTAOUT25!AI32+MVTSEPT25!AI32+MVTOCT25!AI32+MVTNOV25!AI32+MVTDEC25!AI32</f>
        <v>100000</v>
      </c>
      <c r="AJ32" s="36">
        <f>MVTJANV25!AJ32+MVTFEV25!AJ32+MVTMARS25!AJ32+MVTAVRIL25!AJ32+MVTMAI25!AJ32+MVTJUIN25!AJ32+MVTJUIL25!AJ32+MVTAOUT25!AJ32+MVTSEPT25!AJ32+MVTOCT25!AJ32+MVTNOV25!AJ32+MVTDEC25!AJ32</f>
        <v>0</v>
      </c>
      <c r="AK32" s="36">
        <f>MVTJANV25!AK32+MVTFEV25!AK32+MVTMARS25!AK32+MVTAVRIL25!AK32+MVTMAI25!AK32+MVTJUIN25!AK32+MVTJUIL25!AK32+MVTAOUT25!AK32+MVTSEPT25!AK32+MVTOCT25!AK32+MVTNOV25!AK32+MVTDEC25!AK32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>
        <f>+MVTDEC24!C33</f>
        <v>0</v>
      </c>
      <c r="D33" s="36">
        <f>+MVTDEC24!D33+153468</f>
        <v>153468</v>
      </c>
      <c r="E33" s="36">
        <f>MVTJANV25!E33+MVTFEV25!E33+MVTMARS25!E33+MVTAVRIL25!E33+MVTMAI25!E33+MVTJUIN25!E33+MVTJUIL25!E33+MVTAOUT25!E33+MVTSEPT25!E33+MVTOCT25!E33+MVTNOV25!E33+MVTDEC25!E33</f>
        <v>0</v>
      </c>
      <c r="F33" s="36">
        <f>MVTJANV25!F33+MVTFEV25!F33+MVTMARS25!F33+MVTAVRIL25!F33+MVTMAI25!F33+MVTJUIN25!F33+MVTJUIL25!F33+MVTAOUT25!F33+MVTSEPT25!F33+MVTOCT25!F33+MVTNOV25!F33+MVTDEC25!F33</f>
        <v>1702500</v>
      </c>
      <c r="G33" s="5">
        <f>MVTJANV25!G33+MVTFEV25!G33+MVTMARS25!G33+MVTAVRIL25!G33+MVTMAI25!G33+MVTJUIN25!G33+MVTJUIL25!G33+MVTAOUT25!G33+MVTSEPT25!G33+MVTOCT25!G33+MVTNOV25!G33+MVTDEC25!G33</f>
        <v>0</v>
      </c>
      <c r="H33" s="36">
        <f>MVTDEC24!H33+MVTJANV25!H33+MVTFEV25!H33+MVTMARS25!H33+MVTAVRIL25!H33+MVTMAI25!H33+MVTJUIN25!H33+MVTJUIL25!H33+MVTAOUT25!H33+MVTSEPT25!H33+MVTOCT25!H33+MVTNOV25!H33</f>
        <v>0</v>
      </c>
      <c r="I33" s="184">
        <f t="shared" si="0"/>
        <v>1702500</v>
      </c>
      <c r="J33" s="36">
        <f>MVTJANV25!J33+MVTFEV25!J33+MVTMARS25!J33+MVTAVRIL25!J33+MVTMAI25!J33+MVTJUIN25!J33+MVTJUIL25!J33+MVTAOUT25!J33+MVTSEPT25!J33+MVTOCT25!J33+MVTNOV25!J33+MVTDEC25!J33</f>
        <v>0</v>
      </c>
      <c r="K33" s="36">
        <f>MVTJANV25!K33+MVTFEV25!K33+MVTMARS25!K33+MVTAVRIL25!K33+MVTMAI25!K33+MVTJUIN25!K33+MVTJUIL25!K33+MVTAOUT25!K33+MVTSEPT25!K33+MVTOCT25!K33+MVTNOV25!K33+MVTDEC25!K33</f>
        <v>592500</v>
      </c>
      <c r="L33" s="36">
        <f>MVTJANV25!L33+MVTFEV25!L33+MVTMARS25!L33+MVTAVRIL25!L33+MVTMAI25!L33+MVTJUIN25!L33+MVTJUIL25!L33+MVTAOUT25!L33+MVTSEPT25!L33+MVTOCT25!L33+MVTNOV25!L33+MVTDEC25!L33</f>
        <v>520500</v>
      </c>
      <c r="M33" s="36">
        <f>MVTJANV25!M33+MVTFEV25!M33+MVTMARS25!M33+MVTAVRIL25!M33+MVTMAI25!M33+MVTJUIN25!M33+MVTJUIL25!M33+MVTAOUT25!M33+MVTSEPT25!M33+MVTOCT25!M33+MVTNOV25!M33+MVTDEC25!M33</f>
        <v>12000</v>
      </c>
      <c r="N33" s="36">
        <f>MVTJANV25!N33+MVTFEV25!N33+MVTMARS25!N33+MVTAVRIL25!N33+MVTMAI25!N33+MVTJUIN25!N33+MVTJUIL25!N33+MVTAOUT25!N33+MVTSEPT25!N33+MVTOCT25!N33+MVTNOV25!N33+MVTDEC25!N33</f>
        <v>12000</v>
      </c>
      <c r="O33" s="36">
        <f>MVTJANV25!O33+MVTFEV25!O33+MVTMARS25!O33+MVTAVRIL25!O33+MVTMAI25!O33+MVTJUIN25!O33+MVTJUIL25!O33+MVTAOUT25!O33+MVTSEPT25!O33+MVTOCT25!O33+MVTNOV25!O33+MVTDEC25!O33</f>
        <v>48000</v>
      </c>
      <c r="P33" s="36">
        <f>MVTJANV25!P33+MVTFEV25!P33+MVTMARS25!P33+MVTAVRIL25!P33+MVTMAI25!P33+MVTJUIN25!P33+MVTJUIL25!P33+MVTAOUT25!P33+MVTSEPT25!P33+MVTOCT25!P33+MVTNOV25!P33+MVTDEC25!P33</f>
        <v>15000</v>
      </c>
      <c r="Q33" s="36">
        <f>MVTJANV25!Q33+MVTFEV25!Q33+MVTMARS25!Q33+MVTAVRIL25!Q33+MVTMAI25!Q33+MVTJUIN25!Q33+MVTJUIL25!Q33+MVTAOUT25!Q33+MVTSEPT25!Q33+MVTOCT25!Q33+MVTNOV25!Q33+MVTDEC25!Q33</f>
        <v>0</v>
      </c>
      <c r="R33" s="36">
        <f>MVTJANV25!R33+MVTFEV25!R33+MVTMARS25!R33+MVTAVRIL25!R33+MVTMAI25!R33+MVTJUIN25!R33+MVTJUIL25!R33+MVTAOUT25!R33+MVTSEPT25!R33+MVTOCT25!R33+MVTNOV25!R33+MVTDEC25!R33</f>
        <v>0</v>
      </c>
      <c r="S33" s="36">
        <f>MVTJANV25!S33+MVTFEV25!S33+MVTMARS25!S33+MVTAVRIL25!S33+MVTMAI25!S33+MVTJUIN25!S33+MVTJUIL25!S33+MVTAOUT25!S33+MVTSEPT25!S33+MVTOCT25!S33+MVTNOV25!S33+MVTDEC25!S33</f>
        <v>0</v>
      </c>
      <c r="T33" s="36">
        <f>MVTDEC24!T33+MVTJANV25!T33+MVTFEV25!T33+MVTMARS25!T33+MVTAVRIL25!T33+MVTMAI25!T33+MVTJUIN25!T33+MVTJUIL25!T33+MVTAOUT25!T33+MVTSEPT25!T33+MVTOCT25!T33+MVTNOV25!T33</f>
        <v>0</v>
      </c>
      <c r="U33" s="36">
        <f>MVTJANV25!U33+MVTFEV25!U33+MVTMARS25!U33+MVTAVRIL25!U33+MVTMAI25!U33+MVTJUIN25!U33+MVTJUIL25!U33+MVTAOUT25!U33+MVTSEPT25!U33+MVTOCT25!U33+MVTNOV25!U33+MVTDEC25!U33</f>
        <v>0</v>
      </c>
      <c r="V33" s="36">
        <f>MVTJANV25!V33+MVTFEV25!V33+MVTMARS25!V33+MVTAVRIL25!V33+MVTMAI25!V33+MVTJUIN25!V33+MVTJUIL25!V33+MVTAOUT25!V33+MVTSEPT25!V33+MVTOCT25!V33+MVTNOV25!V33+MVTDEC25!V33</f>
        <v>0</v>
      </c>
      <c r="W33" s="36">
        <f t="shared" si="1"/>
        <v>0</v>
      </c>
      <c r="X33" s="36"/>
      <c r="Y33" s="36">
        <f>MVTJANV25!Y33+MVTFEV25!Y33+MVTMARS25!Y33+MVTAVRIL25!Y33+MVTMAI25!Y33+MVTJUIN25!Y33+MVTJUIL25!Y33+MVTAOUT25!Y33+MVTSEPT25!Y33+MVTOCT25!Y33+MVTNOV25!Y33+MVTDEC25!Y33</f>
        <v>0</v>
      </c>
      <c r="Z33" s="36">
        <f>MVTJANV25!Z33+MVTFEV25!Z33+MVTMARS25!Z33+MVTAVRIL25!Z33+MVTMAI25!Z33+MVTJUIN25!Z33+MVTJUIL25!Z33+MVTAOUT25!Z33+MVTSEPT25!Z33+MVTOCT25!Z33+MVTNOV25!Z33+MVTDEC25!Z33</f>
        <v>0</v>
      </c>
      <c r="AA33" s="36">
        <f>MVTJANV25!AA33+MVTFEV25!AA33+MVTMARS25!AA33+MVTAVRIL25!AA33+MVTMAI25!AA33+MVTJUIN25!AA33+MVTJUIL25!AA33+MVTAOUT25!AA33+MVTSEPT25!AA33+MVTOCT25!AA33+MVTNOV25!AA33+MVTDEC25!AA33</f>
        <v>0</v>
      </c>
      <c r="AB33" s="36">
        <f>MVTJANV25!AB33+MVTFEV25!AB33+MVTMARS25!AB33+MVTAVRIL25!AB33+MVTMAI25!AB33+MVTJUIN25!AB33+MVTJUIL25!AB33+MVTAOUT25!AB33+MVTSEPT25!AB33+MVTOCT25!AB33+MVTNOV25!AB33+MVTDEC25!AB33</f>
        <v>0</v>
      </c>
      <c r="AC33" s="36">
        <f>MVTJANV25!AC33+MVTFEV25!AC33+MVTMARS25!AC33+MVTAVRIL25!AC33+MVTMAI25!AC33+MVTJUIN25!AC33+MVTJUIL25!AC33+MVTAOUT25!AC33+MVTSEPT25!AC33+MVTOCT25!AC33+MVTNOV25!AC33+MVTDEC25!AC33</f>
        <v>0</v>
      </c>
      <c r="AD33" s="36">
        <f>MVTJANV25!AD33+MVTFEV25!AD33+MVTMARS25!AD33+MVTAVRIL25!AD33+MVTMAI25!AD33+MVTJUIN25!AD33+MVTJUIL25!AD33+MVTAOUT25!AD33+MVTSEPT25!AD33+MVTOCT25!AD33+MVTNOV25!AD33+MVTDEC25!AD33</f>
        <v>0</v>
      </c>
      <c r="AE33" s="36">
        <f>MVTJANV25!AE33+MVTFEV25!AE33+MVTMARS25!AE33+MVTAVRIL25!AE33+MVTMAI25!AE33+MVTJUIN25!AE33+MVTJUIL25!AE33+MVTAOUT25!AE33+MVTSEPT25!AE33+MVTOCT25!AE33+MVTNOV25!AE33+MVTDEC25!AE33</f>
        <v>300000</v>
      </c>
      <c r="AF33" s="36">
        <f>MVTJANV25!AF33+MVTFEV25!AF33+MVTMARS25!AF33+MVTAVRIL25!AF33+MVTMAI25!AF33+MVTJUIN25!AF33+MVTJUIL25!AF33+MVTAOUT25!AF33+MVTSEPT25!AF33+MVTOCT25!AF33+MVTNOV25!AF33+MVTDEC25!AF33</f>
        <v>0</v>
      </c>
      <c r="AG33" s="36">
        <f>MVTJANV25!AG33+MVTFEV25!AG33+MVTMARS25!AG33+MVTAVRIL25!AG33+MVTMAI25!AG33+MVTJUIN25!AG33+MVTJUIL25!AG33+MVTAOUT25!AG33+MVTSEPT25!AG33+MVTOCT25!AG33+MVTNOV25!AG33+MVTDEC25!AG33</f>
        <v>0</v>
      </c>
      <c r="AH33" s="36">
        <f>MVTJANV25!AH33+MVTFEV25!AH33+MVTMARS25!AH33+MVTAVRIL25!AH33+MVTMAI25!AH33+MVTJUIN25!AH33+MVTJUIL25!AH33+MVTAOUT25!AH33+MVTSEPT25!AH33+MVTOCT25!AH33+MVTNOV25!AH33+MVTDEC25!AH33</f>
        <v>0</v>
      </c>
      <c r="AI33" s="36">
        <f>MVTJANV25!AI33+MVTFEV25!AI33+MVTMARS25!AI33+MVTAVRIL25!AI33+MVTMAI25!AI33+MVTJUIN25!AI33+MVTJUIL25!AI33+MVTAOUT25!AI33+MVTSEPT25!AI33+MVTOCT25!AI33+MVTNOV25!AI33+MVTDEC25!AI33</f>
        <v>0</v>
      </c>
      <c r="AJ33" s="36">
        <f>MVTJANV25!AJ33+MVTFEV25!AJ33+MVTMARS25!AJ33+MVTAVRIL25!AJ33+MVTMAI25!AJ33+MVTJUIN25!AJ33+MVTJUIL25!AJ33+MVTAOUT25!AJ33+MVTSEPT25!AJ33+MVTOCT25!AJ33+MVTNOV25!AJ33+MVTDEC25!AJ33</f>
        <v>0</v>
      </c>
      <c r="AK33" s="36">
        <f>MVTJANV25!AK33+MVTFEV25!AK33+MVTMARS25!AK33+MVTAVRIL25!AK33+MVTMAI25!AK33+MVTJUIN25!AK33+MVTJUIL25!AK33+MVTAOUT25!AK33+MVTSEPT25!AK33+MVTOCT25!AK33+MVTNOV25!AK33+MVTDEC25!AK33</f>
        <v>0</v>
      </c>
    </row>
    <row r="34" spans="1:38" ht="15.5" x14ac:dyDescent="0.35">
      <c r="A34" s="1" t="s">
        <v>49</v>
      </c>
      <c r="B34" s="1" t="str">
        <f>VLOOKUP(A34,[24]LISTADHERENT!A$5:H$60,3,0)</f>
        <v>SIMO PIERRE</v>
      </c>
      <c r="C34" s="36">
        <f>+MVTDEC24!C34</f>
        <v>800000</v>
      </c>
      <c r="D34" s="36">
        <f>+MVTDEC24!D34</f>
        <v>46691</v>
      </c>
      <c r="E34" s="36">
        <f>MVTJANV25!E34+MVTFEV25!E34+MVTMARS25!E34+MVTAVRIL25!E34+MVTMAI25!E34+MVTJUIN25!E34+MVTJUIL25!E34+MVTAOUT25!E34+MVTSEPT25!E34+MVTOCT25!E34+MVTNOV25!E34+MVTDEC25!E34</f>
        <v>0</v>
      </c>
      <c r="F34" s="36">
        <f>MVTJANV25!F34+MVTFEV25!F34+MVTMARS25!F34+MVTAVRIL25!F34+MVTMAI25!F34+MVTJUIN25!F34+MVTJUIL25!F34+MVTAOUT25!F34+MVTSEPT25!F34+MVTOCT25!F34+MVTNOV25!F34+MVTDEC25!F34</f>
        <v>12269375.547992162</v>
      </c>
      <c r="G34" s="5">
        <f>MVTJANV25!G34+MVTFEV25!G34+MVTMARS25!G34+MVTAVRIL25!G34+MVTMAI25!G34+MVTJUIN25!G34+MVTJUIL25!G34+MVTAOUT25!G34+MVTSEPT25!G34+MVTOCT25!G34+MVTNOV25!G34+MVTDEC25!G34</f>
        <v>11917321.14383596</v>
      </c>
      <c r="H34" s="36">
        <f>MVTDEC24!H34+MVTJANV25!H34+MVTFEV25!H34+MVTMARS25!H34+MVTAVRIL25!H34+MVTMAI25!H34+MVTJUIN25!H34+MVTJUIL25!H34+MVTAOUT25!H34+MVTSEPT25!H34+MVTOCT25!H34+MVTNOV25!H34</f>
        <v>71169.78950010569</v>
      </c>
      <c r="I34" s="184">
        <f t="shared" si="0"/>
        <v>12340545.337492269</v>
      </c>
      <c r="J34" s="36">
        <f>MVTJANV25!J34+MVTFEV25!J34+MVTMARS25!J34+MVTAVRIL25!J34+MVTMAI25!J34+MVTJUIN25!J34+MVTJUIL25!J34+MVTAOUT25!J34+MVTSEPT25!J34+MVTOCT25!J34+MVTNOV25!J34+MVTDEC25!J34</f>
        <v>0</v>
      </c>
      <c r="K34" s="36">
        <f>MVTJANV25!K34+MVTFEV25!K34+MVTMARS25!K34+MVTAVRIL25!K34+MVTMAI25!K34+MVTJUIN25!K34+MVTJUIL25!K34+MVTAOUT25!K34+MVTSEPT25!K34+MVTOCT25!K34+MVTNOV25!K34+MVTDEC25!K34</f>
        <v>205000</v>
      </c>
      <c r="L34" s="36">
        <f>MVTJANV25!L34+MVTFEV25!L34+MVTMARS25!L34+MVTAVRIL25!L34+MVTMAI25!L34+MVTJUIN25!L34+MVTJUIL25!L34+MVTAOUT25!L34+MVTSEPT25!L34+MVTOCT25!L34+MVTNOV25!L34+MVTDEC25!L34</f>
        <v>215000</v>
      </c>
      <c r="M34" s="36">
        <f>MVTJANV25!M34+MVTFEV25!M34+MVTMARS25!M34+MVTAVRIL25!M34+MVTMAI25!M34+MVTJUIN25!M34+MVTJUIL25!M34+MVTAOUT25!M34+MVTSEPT25!M34+MVTOCT25!M34+MVTNOV25!M34+MVTDEC25!M34</f>
        <v>8000</v>
      </c>
      <c r="N34" s="36">
        <f>MVTJANV25!N34+MVTFEV25!N34+MVTMARS25!N34+MVTAVRIL25!N34+MVTMAI25!N34+MVTJUIN25!N34+MVTJUIL25!N34+MVTAOUT25!N34+MVTSEPT25!N34+MVTOCT25!N34+MVTNOV25!N34+MVTDEC25!N34</f>
        <v>8000</v>
      </c>
      <c r="O34" s="36">
        <f>MVTJANV25!O34+MVTFEV25!O34+MVTMARS25!O34+MVTAVRIL25!O34+MVTMAI25!O34+MVTJUIN25!O34+MVTJUIL25!O34+MVTAOUT25!O34+MVTSEPT25!O34+MVTOCT25!O34+MVTNOV25!O34+MVTDEC25!O34</f>
        <v>32000</v>
      </c>
      <c r="P34" s="36">
        <f>MVTJANV25!P34+MVTFEV25!P34+MVTMARS25!P34+MVTAVRIL25!P34+MVTMAI25!P34+MVTJUIN25!P34+MVTJUIL25!P34+MVTAOUT25!P34+MVTSEPT25!P34+MVTOCT25!P34+MVTNOV25!P34+MVTDEC25!P34</f>
        <v>0</v>
      </c>
      <c r="Q34" s="36">
        <f>MVTJANV25!Q34+MVTFEV25!Q34+MVTMARS25!Q34+MVTAVRIL25!Q34+MVTMAI25!Q34+MVTJUIN25!Q34+MVTJUIL25!Q34+MVTAOUT25!Q34+MVTSEPT25!Q34+MVTOCT25!Q34+MVTNOV25!Q34+MVTDEC25!Q34</f>
        <v>0</v>
      </c>
      <c r="R34" s="36">
        <f>MVTJANV25!R34+MVTFEV25!R34+MVTMARS25!R34+MVTAVRIL25!R34+MVTMAI25!R34+MVTJUIN25!R34+MVTJUIL25!R34+MVTAOUT25!R34+MVTSEPT25!R34+MVTOCT25!R34+MVTNOV25!R34+MVTDEC25!R34</f>
        <v>0</v>
      </c>
      <c r="S34" s="36">
        <f>MVTJANV25!S34+MVTFEV25!S34+MVTMARS25!S34+MVTAVRIL25!S34+MVTMAI25!S34+MVTJUIN25!S34+MVTJUIL25!S34+MVTAOUT25!S34+MVTSEPT25!S34+MVTOCT25!S34+MVTNOV25!S34+MVTDEC25!S34</f>
        <v>0</v>
      </c>
      <c r="T34" s="36">
        <f>MVTDEC24!T34+MVTJANV25!T34+MVTFEV25!T34+MVTMARS25!T34+MVTAVRIL25!T34+MVTMAI25!T34+MVTJUIN25!T34+MVTJUIL25!T34+MVTAOUT25!T34+MVTSEPT25!T34+MVTOCT25!T34+MVTNOV25!T34</f>
        <v>120000</v>
      </c>
      <c r="U34" s="36">
        <f>MVTJANV25!U34+MVTFEV25!U34+MVTMARS25!U34+MVTAVRIL25!U34+MVTMAI25!U34+MVTJUIN25!U34+MVTJUIL25!U34+MVTAOUT25!U34+MVTSEPT25!U34+MVTOCT25!U34+MVTNOV25!U34+MVTDEC25!U34</f>
        <v>0</v>
      </c>
      <c r="V34" s="36">
        <f>MVTJANV25!V34+MVTFEV25!V34+MVTMARS25!V34+MVTAVRIL25!V34+MVTMAI25!V34+MVTJUIN25!V34+MVTJUIL25!V34+MVTAOUT25!V34+MVTSEPT25!V34+MVTOCT25!V34+MVTNOV25!V34+MVTDEC25!V34</f>
        <v>1000000</v>
      </c>
      <c r="W34" s="36">
        <f>S34-V34+1000000</f>
        <v>0</v>
      </c>
      <c r="X34" s="186">
        <v>46010</v>
      </c>
      <c r="Y34" s="36">
        <f>MVTJANV25!Y34+MVTFEV25!Y34+MVTMARS25!Y34+MVTAVRIL25!Y34+MVTMAI25!Y34+MVTJUIN25!Y34+MVTJUIL25!Y34+MVTAOUT25!Y34+MVTSEPT25!Y34+MVTOCT25!Y34+MVTNOV25!Y34+MVTDEC25!Y34</f>
        <v>0</v>
      </c>
      <c r="Z34" s="36">
        <f>MVTJANV25!Z34+MVTFEV25!Z34+MVTMARS25!Z34+MVTAVRIL25!Z34+MVTMAI25!Z34+MVTJUIN25!Z34+MVTJUIL25!Z34+MVTAOUT25!Z34+MVTSEPT25!Z34+MVTOCT25!Z34+MVTNOV25!Z34+MVTDEC25!Z34</f>
        <v>0</v>
      </c>
      <c r="AA34" s="36">
        <f>MVTJANV25!AA34+MVTFEV25!AA34+MVTMARS25!AA34+MVTAVRIL25!AA34+MVTMAI25!AA34+MVTJUIN25!AA34+MVTJUIL25!AA34+MVTAOUT25!AA34+MVTSEPT25!AA34+MVTOCT25!AA34+MVTNOV25!AA34+MVTDEC25!AA34</f>
        <v>0</v>
      </c>
      <c r="AB34" s="36">
        <f>MVTJANV25!AB34+MVTFEV25!AB34+MVTMARS25!AB34+MVTAVRIL25!AB34+MVTMAI25!AB34+MVTJUIN25!AB34+MVTJUIL25!AB34+MVTAOUT25!AB34+MVTSEPT25!AB34+MVTOCT25!AB34+MVTNOV25!AB34+MVTDEC25!AB34</f>
        <v>0</v>
      </c>
      <c r="AC34" s="36">
        <f>MVTJANV25!AC34+MVTFEV25!AC34+MVTMARS25!AC34+MVTAVRIL25!AC34+MVTMAI25!AC34+MVTJUIN25!AC34+MVTJUIL25!AC34+MVTAOUT25!AC34+MVTSEPT25!AC34+MVTOCT25!AC34+MVTNOV25!AC34+MVTDEC25!AC34</f>
        <v>0</v>
      </c>
      <c r="AD34" s="36">
        <f>MVTJANV25!AD34+MVTFEV25!AD34+MVTMARS25!AD34+MVTAVRIL25!AD34+MVTMAI25!AD34+MVTJUIN25!AD34+MVTJUIL25!AD34+MVTAOUT25!AD34+MVTSEPT25!AD34+MVTOCT25!AD34+MVTNOV25!AD34+MVTDEC25!AD34</f>
        <v>0</v>
      </c>
      <c r="AE34" s="36">
        <f>MVTJANV25!AE34+MVTFEV25!AE34+MVTMARS25!AE34+MVTAVRIL25!AE34+MVTMAI25!AE34+MVTJUIN25!AE34+MVTJUIL25!AE34+MVTAOUT25!AE34+MVTSEPT25!AE34+MVTOCT25!AE34+MVTNOV25!AE34+MVTDEC25!AE34</f>
        <v>0</v>
      </c>
      <c r="AF34" s="36">
        <f>MVTJANV25!AF34+MVTFEV25!AF34+MVTMARS25!AF34+MVTAVRIL25!AF34+MVTMAI25!AF34+MVTJUIN25!AF34+MVTJUIL25!AF34+MVTAOUT25!AF34+MVTSEPT25!AF34+MVTOCT25!AF34+MVTNOV25!AF34+MVTDEC25!AF34</f>
        <v>0</v>
      </c>
      <c r="AG34" s="36">
        <f>MVTJANV25!AG34+MVTFEV25!AG34+MVTMARS25!AG34+MVTAVRIL25!AG34+MVTMAI25!AG34+MVTJUIN25!AG34+MVTJUIL25!AG34+MVTAOUT25!AG34+MVTSEPT25!AG34+MVTOCT25!AG34+MVTNOV25!AG34+MVTDEC25!AG34</f>
        <v>0</v>
      </c>
      <c r="AH34" s="36">
        <f>MVTJANV25!AH34+MVTFEV25!AH34+MVTMARS25!AH34+MVTAVRIL25!AH34+MVTMAI25!AH34+MVTJUIN25!AH34+MVTJUIL25!AH34+MVTAOUT25!AH34+MVTSEPT25!AH34+MVTOCT25!AH34+MVTNOV25!AH34+MVTDEC25!AH34</f>
        <v>0</v>
      </c>
      <c r="AI34" s="36">
        <f>MVTJANV25!AI34+MVTFEV25!AI34+MVTMARS25!AI34+MVTAVRIL25!AI34+MVTMAI25!AI34+MVTJUIN25!AI34+MVTJUIL25!AI34+MVTAOUT25!AI34+MVTSEPT25!AI34+MVTOCT25!AI34+MVTNOV25!AI34+MVTDEC25!AI34</f>
        <v>0</v>
      </c>
      <c r="AJ34" s="36">
        <f>MVTJANV25!AJ34+MVTFEV25!AJ34+MVTMARS25!AJ34+MVTAVRIL25!AJ34+MVTMAI25!AJ34+MVTJUIN25!AJ34+MVTJUIL25!AJ34+MVTAOUT25!AJ34+MVTSEPT25!AJ34+MVTOCT25!AJ34+MVTNOV25!AJ34+MVTDEC25!AJ34</f>
        <v>0</v>
      </c>
      <c r="AK34" s="36">
        <f>MVTJANV25!AK34+MVTFEV25!AK34+MVTMARS25!AK34+MVTAVRIL25!AK34+MVTMAI25!AK34+MVTJUIN25!AK34+MVTJUIL25!AK34+MVTAOUT25!AK34+MVTSEPT25!AK34+MVTOCT25!AK34+MVTNOV25!AK34+MVTDEC25!AK34</f>
        <v>0</v>
      </c>
    </row>
    <row r="35" spans="1:38" s="2" customFormat="1" ht="15.5" x14ac:dyDescent="0.35">
      <c r="A35" s="1" t="s">
        <v>51</v>
      </c>
      <c r="B35" s="1" t="str">
        <f>VLOOKUP(A35,[24]LISTADHERENT!A$5:H$60,3,0)</f>
        <v>TCHOUAMOU MATHIEU</v>
      </c>
      <c r="C35" s="36">
        <f>+MVTDEC24!C35</f>
        <v>800000</v>
      </c>
      <c r="D35" s="36">
        <f>+MVTDEC24!D35</f>
        <v>6050</v>
      </c>
      <c r="E35" s="36">
        <f>MVTJANV25!E35+MVTFEV25!E35+MVTMARS25!E35+MVTAVRIL25!E35+MVTMAI25!E35+MVTJUIN25!E35+MVTJUIL25!E35+MVTAOUT25!E35+MVTSEPT25!E35+MVTOCT25!E35+MVTNOV25!E35+MVTDEC25!E35</f>
        <v>0</v>
      </c>
      <c r="F35" s="36">
        <f>MVTJANV25!F35+MVTFEV25!F35+MVTMARS25!F35+MVTAVRIL25!F35+MVTMAI25!F35+MVTJUIN25!F35+MVTJUIL25!F35+MVTAOUT25!F35+MVTSEPT25!F35+MVTOCT25!F35+MVTNOV25!F35+MVTDEC25!F35</f>
        <v>11853351.91573786</v>
      </c>
      <c r="G35" s="5">
        <f>MVTJANV25!G35+MVTFEV25!G35+MVTMARS25!G35+MVTAVRIL25!G35+MVTMAI25!G35+MVTJUIN25!G35+MVTJUIL25!G35+MVTAOUT25!G35+MVTSEPT25!G35+MVTOCT25!G35+MVTNOV25!G35+MVTDEC25!G35</f>
        <v>11408285.343311749</v>
      </c>
      <c r="H35" s="36">
        <f>MVTDEC24!H35+MVTJANV25!H35+MVTFEV25!H35+MVTMARS25!H35+MVTAVRIL25!H35+MVTMAI25!H35+MVTJUIN25!H35+MVTJUIL25!H35+MVTAOUT25!H35+MVTSEPT25!H35+MVTOCT25!H35+MVTNOV25!H35</f>
        <v>67961.72819728285</v>
      </c>
      <c r="I35" s="184">
        <f t="shared" si="0"/>
        <v>11921313.643935142</v>
      </c>
      <c r="J35" s="36">
        <f>MVTJANV25!J35+MVTFEV25!J35+MVTMARS25!J35+MVTAVRIL25!J35+MVTMAI25!J35+MVTJUIN25!J35+MVTJUIL25!J35+MVTAOUT25!J35+MVTSEPT25!J35+MVTOCT25!J35+MVTNOV25!J35+MVTDEC25!J35</f>
        <v>0</v>
      </c>
      <c r="K35" s="36">
        <f>MVTJANV25!K35+MVTFEV25!K35+MVTMARS25!K35+MVTAVRIL25!K35+MVTMAI25!K35+MVTJUIN25!K35+MVTJUIL25!K35+MVTAOUT25!K35+MVTSEPT25!K35+MVTOCT25!K35+MVTNOV25!K35+MVTDEC25!K35</f>
        <v>300000</v>
      </c>
      <c r="L35" s="36">
        <f>MVTJANV25!L35+MVTFEV25!L35+MVTMARS25!L35+MVTAVRIL25!L35+MVTMAI25!L35+MVTJUIN25!L35+MVTJUIL25!L35+MVTAOUT25!L35+MVTSEPT25!L35+MVTOCT25!L35+MVTNOV25!L35+MVTDEC25!L35</f>
        <v>228000</v>
      </c>
      <c r="M35" s="36">
        <f>MVTJANV25!M35+MVTFEV25!M35+MVTMARS25!M35+MVTAVRIL25!M35+MVTMAI25!M35+MVTJUIN25!M35+MVTJUIL25!M35+MVTAOUT25!M35+MVTSEPT25!M35+MVTOCT25!M35+MVTNOV25!M35+MVTDEC25!M35</f>
        <v>12000</v>
      </c>
      <c r="N35" s="36">
        <f>MVTJANV25!N35+MVTFEV25!N35+MVTMARS25!N35+MVTAVRIL25!N35+MVTMAI25!N35+MVTJUIN25!N35+MVTJUIL25!N35+MVTAOUT25!N35+MVTSEPT25!N35+MVTOCT25!N35+MVTNOV25!N35+MVTDEC25!N35</f>
        <v>12000</v>
      </c>
      <c r="O35" s="36">
        <f>MVTJANV25!O35+MVTFEV25!O35+MVTMARS25!O35+MVTAVRIL25!O35+MVTMAI25!O35+MVTJUIN25!O35+MVTJUIL25!O35+MVTAOUT25!O35+MVTSEPT25!O35+MVTOCT25!O35+MVTNOV25!O35+MVTDEC25!O35</f>
        <v>48000</v>
      </c>
      <c r="P35" s="36">
        <f>MVTJANV25!P35+MVTFEV25!P35+MVTMARS25!P35+MVTAVRIL25!P35+MVTMAI25!P35+MVTJUIN25!P35+MVTJUIL25!P35+MVTAOUT25!P35+MVTSEPT25!P35+MVTOCT25!P35+MVTNOV25!P35+MVTDEC25!P35</f>
        <v>0</v>
      </c>
      <c r="Q35" s="36">
        <f>MVTJANV25!Q35+MVTFEV25!Q35+MVTMARS25!Q35+MVTAVRIL25!Q35+MVTMAI25!Q35+MVTJUIN25!Q35+MVTJUIL25!Q35+MVTAOUT25!Q35+MVTSEPT25!Q35+MVTOCT25!Q35+MVTNOV25!Q35+MVTDEC25!Q35</f>
        <v>0</v>
      </c>
      <c r="R35" s="36">
        <f>MVTJANV25!R35+MVTFEV25!R35+MVTMARS25!R35+MVTAVRIL25!R35+MVTMAI25!R35+MVTJUIN25!R35+MVTJUIL25!R35+MVTAOUT25!R35+MVTSEPT25!R35+MVTOCT25!R35+MVTNOV25!R35+MVTDEC25!R35</f>
        <v>0</v>
      </c>
      <c r="S35" s="36">
        <f>MVTJANV25!S35+MVTFEV25!S35+MVTMARS25!S35+MVTAVRIL25!S35+MVTMAI25!S35+MVTJUIN25!S35+MVTJUIL25!S35+MVTAOUT25!S35+MVTSEPT25!S35+MVTOCT25!S35+MVTNOV25!S35+MVTDEC25!S35</f>
        <v>1000000</v>
      </c>
      <c r="T35" s="36">
        <f>MVTDEC24!T35+MVTJANV25!T35+MVTFEV25!T35+MVTMARS25!T35+MVTAVRIL25!T35+MVTMAI25!T35+MVTJUIN25!T35+MVTJUIL25!T35+MVTAOUT25!T35+MVTSEPT25!T35+MVTOCT25!T35+MVTNOV25!T35</f>
        <v>120000</v>
      </c>
      <c r="U35" s="36">
        <f>MVTJANV25!U35+MVTFEV25!U35+MVTMARS25!U35+MVTAVRIL25!U35+MVTMAI25!U35+MVTJUIN25!U35+MVTJUIL25!U35+MVTAOUT25!U35+MVTSEPT25!U35+MVTOCT25!U35+MVTNOV25!U35+MVTDEC25!U35</f>
        <v>0</v>
      </c>
      <c r="V35" s="36">
        <f>MVTJANV25!V35+MVTFEV25!V35+MVTMARS25!V35+MVTAVRIL25!V35+MVTMAI25!V35+MVTJUIN25!V35+MVTJUIL25!V35+MVTAOUT25!V35+MVTSEPT25!V35+MVTOCT25!V35+MVTNOV25!V35+MVTDEC25!V35</f>
        <v>1000000</v>
      </c>
      <c r="W35" s="36">
        <f t="shared" si="1"/>
        <v>0</v>
      </c>
      <c r="X35" s="186">
        <v>46010</v>
      </c>
      <c r="Y35" s="36">
        <f>MVTJANV25!Y35+MVTFEV25!Y35+MVTMARS25!Y35+MVTAVRIL25!Y35+MVTMAI25!Y35+MVTJUIN25!Y35+MVTJUIL25!Y35+MVTAOUT25!Y35+MVTSEPT25!Y35+MVTOCT25!Y35+MVTNOV25!Y35+MVTDEC25!Y35</f>
        <v>0</v>
      </c>
      <c r="Z35" s="36">
        <f>MVTJANV25!Z35+MVTFEV25!Z35+MVTMARS25!Z35+MVTAVRIL25!Z35+MVTMAI25!Z35+MVTJUIN25!Z35+MVTJUIL25!Z35+MVTAOUT25!Z35+MVTSEPT25!Z35+MVTOCT25!Z35+MVTNOV25!Z35+MVTDEC25!Z35</f>
        <v>0</v>
      </c>
      <c r="AA35" s="36">
        <f>MVTJANV25!AA35+MVTFEV25!AA35+MVTMARS25!AA35+MVTAVRIL25!AA35+MVTMAI25!AA35+MVTJUIN25!AA35+MVTJUIL25!AA35+MVTAOUT25!AA35+MVTSEPT25!AA35+MVTOCT25!AA35+MVTNOV25!AA35+MVTDEC25!AA35</f>
        <v>0</v>
      </c>
      <c r="AB35" s="36">
        <f>MVTJANV25!AB35+MVTFEV25!AB35+MVTMARS25!AB35+MVTAVRIL25!AB35+MVTMAI25!AB35+MVTJUIN25!AB35+MVTJUIL25!AB35+MVTAOUT25!AB35+MVTSEPT25!AB35+MVTOCT25!AB35+MVTNOV25!AB35+MVTDEC25!AB35</f>
        <v>0</v>
      </c>
      <c r="AC35" s="36">
        <f>MVTJANV25!AC35+MVTFEV25!AC35+MVTMARS25!AC35+MVTAVRIL25!AC35+MVTMAI25!AC35+MVTJUIN25!AC35+MVTJUIL25!AC35+MVTAOUT25!AC35+MVTSEPT25!AC35+MVTOCT25!AC35+MVTNOV25!AC35+MVTDEC25!AC35</f>
        <v>0</v>
      </c>
      <c r="AD35" s="36">
        <f>MVTJANV25!AD35+MVTFEV25!AD35+MVTMARS25!AD35+MVTAVRIL25!AD35+MVTMAI25!AD35+MVTJUIN25!AD35+MVTJUIL25!AD35+MVTAOUT25!AD35+MVTSEPT25!AD35+MVTOCT25!AD35+MVTNOV25!AD35+MVTDEC25!AD35</f>
        <v>0</v>
      </c>
      <c r="AE35" s="36">
        <f>MVTJANV25!AE35+MVTFEV25!AE35+MVTMARS25!AE35+MVTAVRIL25!AE35+MVTMAI25!AE35+MVTJUIN25!AE35+MVTJUIL25!AE35+MVTAOUT25!AE35+MVTSEPT25!AE35+MVTOCT25!AE35+MVTNOV25!AE35+MVTDEC25!AE35</f>
        <v>0</v>
      </c>
      <c r="AF35" s="36">
        <f>MVTJANV25!AF35+MVTFEV25!AF35+MVTMARS25!AF35+MVTAVRIL25!AF35+MVTMAI25!AF35+MVTJUIN25!AF35+MVTJUIL25!AF35+MVTAOUT25!AF35+MVTSEPT25!AF35+MVTOCT25!AF35+MVTNOV25!AF35+MVTDEC25!AF35</f>
        <v>0</v>
      </c>
      <c r="AG35" s="36">
        <f>MVTJANV25!AG35+MVTFEV25!AG35+MVTMARS25!AG35+MVTAVRIL25!AG35+MVTMAI25!AG35+MVTJUIN25!AG35+MVTJUIL25!AG35+MVTAOUT25!AG35+MVTSEPT25!AG35+MVTOCT25!AG35+MVTNOV25!AG35+MVTDEC25!AG35</f>
        <v>0</v>
      </c>
      <c r="AH35" s="36">
        <f>MVTJANV25!AH35+MVTFEV25!AH35+MVTMARS25!AH35+MVTAVRIL25!AH35+MVTMAI25!AH35+MVTJUIN25!AH35+MVTJUIL25!AH35+MVTAOUT25!AH35+MVTSEPT25!AH35+MVTOCT25!AH35+MVTNOV25!AH35+MVTDEC25!AH35</f>
        <v>0</v>
      </c>
      <c r="AI35" s="36">
        <f>MVTJANV25!AI35+MVTFEV25!AI35+MVTMARS25!AI35+MVTAVRIL25!AI35+MVTMAI25!AI35+MVTJUIN25!AI35+MVTJUIL25!AI35+MVTAOUT25!AI35+MVTSEPT25!AI35+MVTOCT25!AI35+MVTNOV25!AI35+MVTDEC25!AI35</f>
        <v>0</v>
      </c>
      <c r="AJ35" s="36">
        <f>MVTJANV25!AJ35+MVTFEV25!AJ35+MVTMARS25!AJ35+MVTAVRIL25!AJ35+MVTMAI25!AJ35+MVTJUIN25!AJ35+MVTJUIL25!AJ35+MVTAOUT25!AJ35+MVTSEPT25!AJ35+MVTOCT25!AJ35+MVTNOV25!AJ35+MVTDEC25!AJ35</f>
        <v>0</v>
      </c>
      <c r="AK35" s="36">
        <f>MVTJANV25!AK35+MVTFEV25!AK35+MVTMARS25!AK35+MVTAVRIL25!AK35+MVTMAI25!AK35+MVTJUIN25!AK35+MVTJUIL25!AK35+MVTAOUT25!AK35+MVTSEPT25!AK35+MVTOCT25!AK35+MVTNOV25!AK35+MVTDEC25!AK35</f>
        <v>0</v>
      </c>
      <c r="AL35"/>
    </row>
    <row r="36" spans="1:38" s="2" customFormat="1" ht="15.5" x14ac:dyDescent="0.35">
      <c r="A36" s="1" t="s">
        <v>327</v>
      </c>
      <c r="B36" s="1" t="str">
        <f>VLOOKUP(A36,[24]LISTADHERENT!A$5:H$60,3,0)</f>
        <v>TCHOUATEU AUGUSTIN</v>
      </c>
      <c r="C36" s="36">
        <f>+MVTDEC24!C36</f>
        <v>800000</v>
      </c>
      <c r="D36" s="36">
        <f>+MVTDEC24!D36</f>
        <v>-3392</v>
      </c>
      <c r="E36" s="36">
        <f>MVTJANV25!E36+MVTFEV25!E36+MVTMARS25!E36+MVTAVRIL25!E36+MVTMAI25!E36+MVTJUIN25!E36+MVTJUIL25!E36+MVTAOUT25!E36+MVTSEPT25!E36+MVTOCT25!E36+MVTNOV25!E36+MVTDEC25!E36</f>
        <v>0</v>
      </c>
      <c r="F36" s="36">
        <f>MVTJANV25!F36+MVTFEV25!F36+MVTMARS25!F36+MVTAVRIL25!F36+MVTMAI25!F36+MVTJUIN25!F36+MVTJUIL25!F36+MVTAOUT25!F36+MVTSEPT25!F36+MVTOCT25!F36+MVTNOV25!F36+MVTDEC25!F36</f>
        <v>11732029.622180838</v>
      </c>
      <c r="G36" s="5">
        <f>MVTJANV25!G36+MVTFEV25!G36+MVTMARS25!G36+MVTAVRIL25!G36+MVTMAI25!G36+MVTJUIN25!G36+MVTJUIL25!G36+MVTAOUT25!G36+MVTSEPT25!G36+MVTOCT25!G36+MVTNOV25!G36+MVTDEC25!G36</f>
        <v>11287235.521211065</v>
      </c>
      <c r="H36" s="36">
        <f>MVTDEC24!H36+MVTJANV25!H36+MVTFEV25!H36+MVTMARS25!H36+MVTAVRIL25!H36+MVTMAI25!H36+MVTJUIN25!H36+MVTJUIL25!H36+MVTAOUT25!H36+MVTSEPT25!H36+MVTOCT25!H36+MVTNOV25!H36</f>
        <v>67192.568156393914</v>
      </c>
      <c r="I36" s="184">
        <f t="shared" si="0"/>
        <v>11799222.190337231</v>
      </c>
      <c r="J36" s="36">
        <f>MVTJANV25!J36+MVTFEV25!J36+MVTMARS25!J36+MVTAVRIL25!J36+MVTMAI25!J36+MVTJUIN25!J36+MVTJUIL25!J36+MVTAOUT25!J36+MVTSEPT25!J36+MVTOCT25!J36+MVTNOV25!J36+MVTDEC25!J36</f>
        <v>0</v>
      </c>
      <c r="K36" s="36">
        <f>MVTJANV25!K36+MVTFEV25!K36+MVTMARS25!K36+MVTAVRIL25!K36+MVTMAI25!K36+MVTJUIN25!K36+MVTJUIL25!K36+MVTAOUT25!K36+MVTSEPT25!K36+MVTOCT25!K36+MVTNOV25!K36+MVTDEC25!K36</f>
        <v>300000</v>
      </c>
      <c r="L36" s="36">
        <f>MVTJANV25!L36+MVTFEV25!L36+MVTMARS25!L36+MVTAVRIL25!L36+MVTMAI25!L36+MVTJUIN25!L36+MVTJUIL25!L36+MVTAOUT25!L36+MVTSEPT25!L36+MVTOCT25!L36+MVTNOV25!L36+MVTDEC25!L36</f>
        <v>228000</v>
      </c>
      <c r="M36" s="36">
        <f>MVTJANV25!M36+MVTFEV25!M36+MVTMARS25!M36+MVTAVRIL25!M36+MVTMAI25!M36+MVTJUIN25!M36+MVTJUIL25!M36+MVTAOUT25!M36+MVTSEPT25!M36+MVTOCT25!M36+MVTNOV25!M36+MVTDEC25!M36</f>
        <v>12000</v>
      </c>
      <c r="N36" s="36">
        <f>MVTJANV25!N36+MVTFEV25!N36+MVTMARS25!N36+MVTAVRIL25!N36+MVTMAI25!N36+MVTJUIN25!N36+MVTJUIL25!N36+MVTAOUT25!N36+MVTSEPT25!N36+MVTOCT25!N36+MVTNOV25!N36+MVTDEC25!N36</f>
        <v>12000</v>
      </c>
      <c r="O36" s="36">
        <f>MVTJANV25!O36+MVTFEV25!O36+MVTMARS25!O36+MVTAVRIL25!O36+MVTMAI25!O36+MVTJUIN25!O36+MVTJUIL25!O36+MVTAOUT25!O36+MVTSEPT25!O36+MVTOCT25!O36+MVTNOV25!O36+MVTDEC25!O36</f>
        <v>48000</v>
      </c>
      <c r="P36" s="36">
        <f>MVTJANV25!P36+MVTFEV25!P36+MVTMARS25!P36+MVTAVRIL25!P36+MVTMAI25!P36+MVTJUIN25!P36+MVTJUIL25!P36+MVTAOUT25!P36+MVTSEPT25!P36+MVTOCT25!P36+MVTNOV25!P36+MVTDEC25!P36</f>
        <v>0</v>
      </c>
      <c r="Q36" s="36">
        <f>MVTJANV25!Q36+MVTFEV25!Q36+MVTMARS25!Q36+MVTAVRIL25!Q36+MVTMAI25!Q36+MVTJUIN25!Q36+MVTJUIL25!Q36+MVTAOUT25!Q36+MVTSEPT25!Q36+MVTOCT25!Q36+MVTNOV25!Q36+MVTDEC25!Q36</f>
        <v>0</v>
      </c>
      <c r="R36" s="36">
        <f>MVTJANV25!R36+MVTFEV25!R36+MVTMARS25!R36+MVTAVRIL25!R36+MVTMAI25!R36+MVTJUIN25!R36+MVTJUIL25!R36+MVTAOUT25!R36+MVTSEPT25!R36+MVTOCT25!R36+MVTNOV25!R36+MVTDEC25!R36</f>
        <v>0</v>
      </c>
      <c r="S36" s="36">
        <f>MVTJANV25!S36+MVTFEV25!S36+MVTMARS25!S36+MVTAVRIL25!S36+MVTMAI25!S36+MVTJUIN25!S36+MVTJUIL25!S36+MVTAOUT25!S36+MVTSEPT25!S36+MVTOCT25!S36+MVTNOV25!S36+MVTDEC25!S36</f>
        <v>1000000</v>
      </c>
      <c r="T36" s="36">
        <f>MVTDEC24!T36+MVTJANV25!T36+MVTFEV25!T36+MVTMARS25!T36+MVTAVRIL25!T36+MVTMAI25!T36+MVTJUIN25!T36+MVTJUIL25!T36+MVTAOUT25!T36+MVTSEPT25!T36+MVTOCT25!T36+MVTNOV25!T36</f>
        <v>120000</v>
      </c>
      <c r="U36" s="36">
        <f>MVTJANV25!U36+MVTFEV25!U36+MVTMARS25!U36+MVTAVRIL25!U36+MVTMAI25!U36+MVTJUIN25!U36+MVTJUIL25!U36+MVTAOUT25!U36+MVTSEPT25!U36+MVTOCT25!U36+MVTNOV25!U36+MVTDEC25!U36</f>
        <v>0</v>
      </c>
      <c r="V36" s="36">
        <f>MVTJANV25!V36+MVTFEV25!V36+MVTMARS25!V36+MVTAVRIL25!V36+MVTMAI25!V36+MVTJUIN25!V36+MVTJUIL25!V36+MVTAOUT25!V36+MVTSEPT25!V36+MVTOCT25!V36+MVTNOV25!V36+MVTDEC25!V36</f>
        <v>1000000</v>
      </c>
      <c r="W36" s="36">
        <f t="shared" si="1"/>
        <v>0</v>
      </c>
      <c r="X36" s="186">
        <v>46010</v>
      </c>
      <c r="Y36" s="36">
        <f>MVTJANV25!Y36+MVTFEV25!Y36+MVTMARS25!Y36+MVTAVRIL25!Y36+MVTMAI25!Y36+MVTJUIN25!Y36+MVTJUIL25!Y36+MVTAOUT25!Y36+MVTSEPT25!Y36+MVTOCT25!Y36+MVTNOV25!Y36+MVTDEC25!Y36</f>
        <v>0</v>
      </c>
      <c r="Z36" s="36">
        <f>MVTJANV25!Z36+MVTFEV25!Z36+MVTMARS25!Z36+MVTAVRIL25!Z36+MVTMAI25!Z36+MVTJUIN25!Z36+MVTJUIL25!Z36+MVTAOUT25!Z36+MVTSEPT25!Z36+MVTOCT25!Z36+MVTNOV25!Z36+MVTDEC25!Z36</f>
        <v>0</v>
      </c>
      <c r="AA36" s="36">
        <f>MVTJANV25!AA36+MVTFEV25!AA36+MVTMARS25!AA36+MVTAVRIL25!AA36+MVTMAI25!AA36+MVTJUIN25!AA36+MVTJUIL25!AA36+MVTAOUT25!AA36+MVTSEPT25!AA36+MVTOCT25!AA36+MVTNOV25!AA36+MVTDEC25!AA36</f>
        <v>0</v>
      </c>
      <c r="AB36" s="36">
        <f>MVTJANV25!AB36+MVTFEV25!AB36+MVTMARS25!AB36+MVTAVRIL25!AB36+MVTMAI25!AB36+MVTJUIN25!AB36+MVTJUIL25!AB36+MVTAOUT25!AB36+MVTSEPT25!AB36+MVTOCT25!AB36+MVTNOV25!AB36+MVTDEC25!AB36</f>
        <v>0</v>
      </c>
      <c r="AC36" s="36">
        <f>MVTJANV25!AC36+MVTFEV25!AC36+MVTMARS25!AC36+MVTAVRIL25!AC36+MVTMAI25!AC36+MVTJUIN25!AC36+MVTJUIL25!AC36+MVTAOUT25!AC36+MVTSEPT25!AC36+MVTOCT25!AC36+MVTNOV25!AC36+MVTDEC25!AC36</f>
        <v>0</v>
      </c>
      <c r="AD36" s="36">
        <f>MVTJANV25!AD36+MVTFEV25!AD36+MVTMARS25!AD36+MVTAVRIL25!AD36+MVTMAI25!AD36+MVTJUIN25!AD36+MVTJUIL25!AD36+MVTAOUT25!AD36+MVTSEPT25!AD36+MVTOCT25!AD36+MVTNOV25!AD36+MVTDEC25!AD36</f>
        <v>0</v>
      </c>
      <c r="AE36" s="36">
        <f>MVTJANV25!AE36+MVTFEV25!AE36+MVTMARS25!AE36+MVTAVRIL25!AE36+MVTMAI25!AE36+MVTJUIN25!AE36+MVTJUIL25!AE36+MVTAOUT25!AE36+MVTSEPT25!AE36+MVTOCT25!AE36+MVTNOV25!AE36+MVTDEC25!AE36</f>
        <v>0</v>
      </c>
      <c r="AF36" s="36">
        <f>MVTJANV25!AF36+MVTFEV25!AF36+MVTMARS25!AF36+MVTAVRIL25!AF36+MVTMAI25!AF36+MVTJUIN25!AF36+MVTJUIL25!AF36+MVTAOUT25!AF36+MVTSEPT25!AF36+MVTOCT25!AF36+MVTNOV25!AF36+MVTDEC25!AF36</f>
        <v>0</v>
      </c>
      <c r="AG36" s="36">
        <f>MVTJANV25!AG36+MVTFEV25!AG36+MVTMARS25!AG36+MVTAVRIL25!AG36+MVTMAI25!AG36+MVTJUIN25!AG36+MVTJUIL25!AG36+MVTAOUT25!AG36+MVTSEPT25!AG36+MVTOCT25!AG36+MVTNOV25!AG36+MVTDEC25!AG36</f>
        <v>0</v>
      </c>
      <c r="AH36" s="36">
        <f>MVTJANV25!AH36+MVTFEV25!AH36+MVTMARS25!AH36+MVTAVRIL25!AH36+MVTMAI25!AH36+MVTJUIN25!AH36+MVTJUIL25!AH36+MVTAOUT25!AH36+MVTSEPT25!AH36+MVTOCT25!AH36+MVTNOV25!AH36+MVTDEC25!AH36</f>
        <v>0</v>
      </c>
      <c r="AI36" s="36">
        <f>MVTJANV25!AI36+MVTFEV25!AI36+MVTMARS25!AI36+MVTAVRIL25!AI36+MVTMAI25!AI36+MVTJUIN25!AI36+MVTJUIL25!AI36+MVTAOUT25!AI36+MVTSEPT25!AI36+MVTOCT25!AI36+MVTNOV25!AI36+MVTDEC25!AI36</f>
        <v>100000</v>
      </c>
      <c r="AJ36" s="36">
        <f>MVTJANV25!AJ36+MVTFEV25!AJ36+MVTMARS25!AJ36+MVTAVRIL25!AJ36+MVTMAI25!AJ36+MVTJUIN25!AJ36+MVTJUIL25!AJ36+MVTAOUT25!AJ36+MVTSEPT25!AJ36+MVTOCT25!AJ36+MVTNOV25!AJ36+MVTDEC25!AJ36</f>
        <v>0</v>
      </c>
      <c r="AK36" s="36">
        <f>MVTJANV25!AK36+MVTFEV25!AK36+MVTMARS25!AK36+MVTAVRIL25!AK36+MVTMAI25!AK36+MVTJUIN25!AK36+MVTJUIL25!AK36+MVTAOUT25!AK36+MVTSEPT25!AK36+MVTOCT25!AK36+MVTNOV25!AK36+MVTDEC25!AK36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>
        <f>+MVTDEC24!C37</f>
        <v>0</v>
      </c>
      <c r="D37" s="36">
        <f>+MVTDEC24!D37</f>
        <v>487750</v>
      </c>
      <c r="E37" s="36">
        <f>MVTJANV25!E37+MVTFEV25!E37+MVTMARS25!E37+MVTAVRIL25!E37+MVTMAI25!E37+MVTJUIN25!E37+MVTJUIL25!E37+MVTAOUT25!E37+MVTSEPT25!E37+MVTOCT25!E37+MVTNOV25!E37+MVTDEC25!E37</f>
        <v>0</v>
      </c>
      <c r="F37" s="36">
        <f>MVTJANV25!F37+MVTFEV25!F37+MVTMARS25!F37+MVTAVRIL25!F37+MVTMAI25!F37+MVTJUIN25!F37+MVTJUIL25!F37+MVTAOUT25!F37+MVTSEPT25!F37+MVTOCT25!F37+MVTNOV25!F37+MVTDEC25!F37</f>
        <v>7743000</v>
      </c>
      <c r="G37" s="5">
        <f>MVTJANV25!G37+MVTFEV25!G37+MVTMARS25!G37+MVTAVRIL25!G37+MVTMAI25!G37+MVTJUIN25!G37+MVTJUIL25!G37+MVTAOUT25!G37+MVTSEPT25!G37+MVTOCT25!G37+MVTNOV25!G37+MVTDEC25!G37</f>
        <v>1377000</v>
      </c>
      <c r="H37" s="36">
        <f>MVTDEC24!H37+MVTJANV25!H37+MVTFEV25!H37+MVTMARS25!H37+MVTAVRIL25!H37+MVTMAI25!H37+MVTJUIN25!H37+MVTJUIL25!H37+MVTAOUT25!H37+MVTSEPT25!H37+MVTOCT25!H37+MVTNOV25!H37</f>
        <v>0</v>
      </c>
      <c r="I37" s="184">
        <f t="shared" si="0"/>
        <v>7743000</v>
      </c>
      <c r="J37" s="36">
        <f>MVTJANV25!J37+MVTFEV25!J37+MVTMARS25!J37+MVTAVRIL25!J37+MVTMAI25!J37+MVTJUIN25!J37+MVTJUIL25!J37+MVTAOUT25!J37+MVTSEPT25!J37+MVTOCT25!J37+MVTNOV25!J37+MVTDEC25!J37</f>
        <v>0</v>
      </c>
      <c r="K37" s="36">
        <f>MVTJANV25!K37+MVTFEV25!K37+MVTMARS25!K37+MVTAVRIL25!K37+MVTMAI25!K37+MVTJUIN25!K37+MVTJUIL25!K37+MVTAOUT25!K37+MVTSEPT25!K37+MVTOCT25!K37+MVTNOV25!K37+MVTDEC25!K37</f>
        <v>514500</v>
      </c>
      <c r="L37" s="36">
        <f>MVTJANV25!L37+MVTFEV25!L37+MVTMARS25!L37+MVTAVRIL25!L37+MVTMAI25!L37+MVTJUIN25!L37+MVTJUIL25!L37+MVTAOUT25!L37+MVTSEPT25!L37+MVTOCT25!L37+MVTNOV25!L37+MVTDEC25!L37</f>
        <v>442500</v>
      </c>
      <c r="M37" s="36">
        <f>MVTJANV25!M37+MVTFEV25!M37+MVTMARS25!M37+MVTAVRIL25!M37+MVTMAI25!M37+MVTJUIN25!M37+MVTJUIL25!M37+MVTAOUT25!M37+MVTSEPT25!M37+MVTOCT25!M37+MVTNOV25!M37+MVTDEC25!M37</f>
        <v>12000</v>
      </c>
      <c r="N37" s="36">
        <f>MVTJANV25!N37+MVTFEV25!N37+MVTMARS25!N37+MVTAVRIL25!N37+MVTMAI25!N37+MVTJUIN25!N37+MVTJUIL25!N37+MVTAOUT25!N37+MVTSEPT25!N37+MVTOCT25!N37+MVTNOV25!N37+MVTDEC25!N37</f>
        <v>12000</v>
      </c>
      <c r="O37" s="36">
        <f>MVTJANV25!O37+MVTFEV25!O37+MVTMARS25!O37+MVTAVRIL25!O37+MVTMAI25!O37+MVTJUIN25!O37+MVTJUIL25!O37+MVTAOUT25!O37+MVTSEPT25!O37+MVTOCT25!O37+MVTNOV25!O37+MVTDEC25!O37</f>
        <v>48000</v>
      </c>
      <c r="P37" s="36">
        <f>MVTJANV25!P37+MVTFEV25!P37+MVTMARS25!P37+MVTAVRIL25!P37+MVTMAI25!P37+MVTJUIN25!P37+MVTJUIL25!P37+MVTAOUT25!P37+MVTSEPT25!P37+MVTOCT25!P37+MVTNOV25!P37+MVTDEC25!P37</f>
        <v>0</v>
      </c>
      <c r="Q37" s="36">
        <f>MVTJANV25!Q37+MVTFEV25!Q37+MVTMARS25!Q37+MVTAVRIL25!Q37+MVTMAI25!Q37+MVTJUIN25!Q37+MVTJUIL25!Q37+MVTAOUT25!Q37+MVTSEPT25!Q37+MVTOCT25!Q37+MVTNOV25!Q37+MVTDEC25!Q37</f>
        <v>0</v>
      </c>
      <c r="R37" s="36">
        <f>MVTJANV25!R37+MVTFEV25!R37+MVTMARS25!R37+MVTAVRIL25!R37+MVTMAI25!R37+MVTJUIN25!R37+MVTJUIL25!R37+MVTAOUT25!R37+MVTSEPT25!R37+MVTOCT25!R37+MVTNOV25!R37+MVTDEC25!R37</f>
        <v>0</v>
      </c>
      <c r="S37" s="36">
        <f>MVTJANV25!S37+MVTFEV25!S37+MVTMARS25!S37+MVTAVRIL25!S37+MVTMAI25!S37+MVTJUIN25!S37+MVTJUIL25!S37+MVTAOUT25!S37+MVTSEPT25!S37+MVTOCT25!S37+MVTNOV25!S37+MVTDEC25!S37</f>
        <v>0</v>
      </c>
      <c r="T37" s="36">
        <f>MVTDEC24!T37+MVTJANV25!T37+MVTFEV25!T37+MVTMARS25!T37+MVTAVRIL25!T37+MVTMAI25!T37+MVTJUIN25!T37+MVTJUIL25!T37+MVTAOUT25!T37+MVTSEPT25!T37+MVTOCT25!T37+MVTNOV25!T37</f>
        <v>0</v>
      </c>
      <c r="U37" s="36">
        <f>MVTJANV25!U37+MVTFEV25!U37+MVTMARS25!U37+MVTAVRIL25!U37+MVTMAI25!U37+MVTJUIN25!U37+MVTJUIL25!U37+MVTAOUT25!U37+MVTSEPT25!U37+MVTOCT25!U37+MVTNOV25!U37+MVTDEC25!U37</f>
        <v>0</v>
      </c>
      <c r="V37" s="36">
        <f>MVTJANV25!V37+MVTFEV25!V37+MVTMARS25!V37+MVTAVRIL25!V37+MVTMAI25!V37+MVTJUIN25!V37+MVTJUIL25!V37+MVTAOUT25!V37+MVTSEPT25!V37+MVTOCT25!V37+MVTNOV25!V37+MVTDEC25!V37</f>
        <v>0</v>
      </c>
      <c r="W37" s="36">
        <f t="shared" si="1"/>
        <v>0</v>
      </c>
      <c r="X37" s="36"/>
      <c r="Y37" s="36">
        <f>MVTJANV25!Y37+MVTFEV25!Y37+MVTMARS25!Y37+MVTAVRIL25!Y37+MVTMAI25!Y37+MVTJUIN25!Y37+MVTJUIL25!Y37+MVTAOUT25!Y37+MVTSEPT25!Y37+MVTOCT25!Y37+MVTNOV25!Y37+MVTDEC25!Y37</f>
        <v>0</v>
      </c>
      <c r="Z37" s="36">
        <f>MVTJANV25!Z37+MVTFEV25!Z37+MVTMARS25!Z37+MVTAVRIL25!Z37+MVTMAI25!Z37+MVTJUIN25!Z37+MVTJUIL25!Z37+MVTAOUT25!Z37+MVTSEPT25!Z37+MVTOCT25!Z37+MVTNOV25!Z37+MVTDEC25!Z37</f>
        <v>0</v>
      </c>
      <c r="AA37" s="36">
        <f>MVTJANV25!AA37+MVTFEV25!AA37+MVTMARS25!AA37+MVTAVRIL25!AA37+MVTMAI25!AA37+MVTJUIN25!AA37+MVTJUIL25!AA37+MVTAOUT25!AA37+MVTSEPT25!AA37+MVTOCT25!AA37+MVTNOV25!AA37+MVTDEC25!AA37</f>
        <v>0</v>
      </c>
      <c r="AB37" s="36">
        <f>MVTJANV25!AB37+MVTFEV25!AB37+MVTMARS25!AB37+MVTAVRIL25!AB37+MVTMAI25!AB37+MVTJUIN25!AB37+MVTJUIL25!AB37+MVTAOUT25!AB37+MVTSEPT25!AB37+MVTOCT25!AB37+MVTNOV25!AB37+MVTDEC25!AB37</f>
        <v>0</v>
      </c>
      <c r="AC37" s="36">
        <f>MVTJANV25!AC37+MVTFEV25!AC37+MVTMARS25!AC37+MVTAVRIL25!AC37+MVTMAI25!AC37+MVTJUIN25!AC37+MVTJUIL25!AC37+MVTAOUT25!AC37+MVTSEPT25!AC37+MVTOCT25!AC37+MVTNOV25!AC37+MVTDEC25!AC37</f>
        <v>0</v>
      </c>
      <c r="AD37" s="36">
        <f>MVTJANV25!AD37+MVTFEV25!AD37+MVTMARS25!AD37+MVTAVRIL25!AD37+MVTMAI25!AD37+MVTJUIN25!AD37+MVTJUIL25!AD37+MVTAOUT25!AD37+MVTSEPT25!AD37+MVTOCT25!AD37+MVTNOV25!AD37+MVTDEC25!AD37</f>
        <v>0</v>
      </c>
      <c r="AE37" s="36">
        <f>MVTJANV25!AE37+MVTFEV25!AE37+MVTMARS25!AE37+MVTAVRIL25!AE37+MVTMAI25!AE37+MVTJUIN25!AE37+MVTJUIL25!AE37+MVTAOUT25!AE37+MVTSEPT25!AE37+MVTOCT25!AE37+MVTNOV25!AE37+MVTDEC25!AE37</f>
        <v>0</v>
      </c>
      <c r="AF37" s="36">
        <f>MVTJANV25!AF37+MVTFEV25!AF37+MVTMARS25!AF37+MVTAVRIL25!AF37+MVTMAI25!AF37+MVTJUIN25!AF37+MVTJUIL25!AF37+MVTAOUT25!AF37+MVTSEPT25!AF37+MVTOCT25!AF37+MVTNOV25!AF37+MVTDEC25!AF37</f>
        <v>0</v>
      </c>
      <c r="AG37" s="36">
        <f>MVTJANV25!AG37+MVTFEV25!AG37+MVTMARS25!AG37+MVTAVRIL25!AG37+MVTMAI25!AG37+MVTJUIN25!AG37+MVTJUIL25!AG37+MVTAOUT25!AG37+MVTSEPT25!AG37+MVTOCT25!AG37+MVTNOV25!AG37+MVTDEC25!AG37</f>
        <v>0</v>
      </c>
      <c r="AH37" s="36">
        <f>MVTJANV25!AH37+MVTFEV25!AH37+MVTMARS25!AH37+MVTAVRIL25!AH37+MVTMAI25!AH37+MVTJUIN25!AH37+MVTJUIL25!AH37+MVTAOUT25!AH37+MVTSEPT25!AH37+MVTOCT25!AH37+MVTNOV25!AH37+MVTDEC25!AH37</f>
        <v>0</v>
      </c>
      <c r="AI37" s="36">
        <f>MVTJANV25!AI37+MVTFEV25!AI37+MVTMARS25!AI37+MVTAVRIL25!AI37+MVTMAI25!AI37+MVTJUIN25!AI37+MVTJUIL25!AI37+MVTAOUT25!AI37+MVTSEPT25!AI37+MVTOCT25!AI37+MVTNOV25!AI37+MVTDEC25!AI37</f>
        <v>100000</v>
      </c>
      <c r="AJ37" s="36">
        <f>MVTJANV25!AJ37+MVTFEV25!AJ37+MVTMARS25!AJ37+MVTAVRIL25!AJ37+MVTMAI25!AJ37+MVTJUIN25!AJ37+MVTJUIL25!AJ37+MVTAOUT25!AJ37+MVTSEPT25!AJ37+MVTOCT25!AJ37+MVTNOV25!AJ37+MVTDEC25!AJ37</f>
        <v>0</v>
      </c>
      <c r="AK37" s="36">
        <f>MVTJANV25!AK37+MVTFEV25!AK37+MVTMARS25!AK37+MVTAVRIL25!AK37+MVTMAI25!AK37+MVTJUIN25!AK37+MVTJUIL25!AK37+MVTAOUT25!AK37+MVTSEPT25!AK37+MVTOCT25!AK37+MVTNOV25!AK37+MVTDEC25!AK37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>
        <f>+MVTDEC24!C38</f>
        <v>0</v>
      </c>
      <c r="D38" s="36">
        <f>+MVTDEC24!D38</f>
        <v>0</v>
      </c>
      <c r="E38" s="36">
        <f>MVTJANV25!E38+MVTFEV25!E38+MVTMARS25!E38+MVTAVRIL25!E38+MVTMAI25!E38+MVTJUIN25!E38+MVTJUIL25!E38+MVTAOUT25!E38+MVTSEPT25!E38+MVTOCT25!E38+MVTNOV25!E38+MVTDEC25!E38</f>
        <v>0</v>
      </c>
      <c r="F38" s="36">
        <f>MVTJANV25!F38+MVTFEV25!F38+MVTMARS25!F38+MVTAVRIL25!F38+MVTMAI25!F38+MVTJUIN25!F38+MVTJUIL25!F38+MVTAOUT25!F38+MVTSEPT25!F38+MVTOCT25!F38+MVTNOV25!F38+MVTDEC25!F38</f>
        <v>1662500</v>
      </c>
      <c r="G38" s="5">
        <f>MVTJANV25!G38+MVTFEV25!G38+MVTMARS25!G38+MVTAVRIL25!G38+MVTMAI25!G38+MVTJUIN25!G38+MVTJUIL25!G38+MVTAOUT25!G38+MVTSEPT25!G38+MVTOCT25!G38+MVTNOV25!G38+MVTDEC25!G38</f>
        <v>0</v>
      </c>
      <c r="H38" s="36">
        <f>MVTDEC24!H38+MVTJANV25!H38+MVTFEV25!H38+MVTMARS25!H38+MVTAVRIL25!H38+MVTMAI25!H38+MVTJUIN25!H38+MVTJUIL25!H38+MVTAOUT25!H38+MVTSEPT25!H38+MVTOCT25!H38+MVTNOV25!H38</f>
        <v>0</v>
      </c>
      <c r="I38" s="184">
        <f t="shared" si="0"/>
        <v>1662500</v>
      </c>
      <c r="J38" s="36">
        <f>MVTJANV25!J38+MVTFEV25!J38+MVTMARS25!J38+MVTAVRIL25!J38+MVTMAI25!J38+MVTJUIN25!J38+MVTJUIL25!J38+MVTAOUT25!J38+MVTSEPT25!J38+MVTOCT25!J38+MVTNOV25!J38+MVTDEC25!J38</f>
        <v>0</v>
      </c>
      <c r="K38" s="36">
        <f>MVTJANV25!K38+MVTFEV25!K38+MVTMARS25!K38+MVTAVRIL25!K38+MVTMAI25!K38+MVTJUIN25!K38+MVTJUIL25!K38+MVTAOUT25!K38+MVTSEPT25!K38+MVTOCT25!K38+MVTNOV25!K38+MVTDEC25!K38</f>
        <v>579500</v>
      </c>
      <c r="L38" s="36">
        <f>MVTJANV25!L38+MVTFEV25!L38+MVTMARS25!L38+MVTAVRIL25!L38+MVTMAI25!L38+MVTJUIN25!L38+MVTJUIL25!L38+MVTAOUT25!L38+MVTSEPT25!L38+MVTOCT25!L38+MVTNOV25!L38+MVTDEC25!L38</f>
        <v>507500</v>
      </c>
      <c r="M38" s="36">
        <f>MVTJANV25!M38+MVTFEV25!M38+MVTMARS25!M38+MVTAVRIL25!M38+MVTMAI25!M38+MVTJUIN25!M38+MVTJUIL25!M38+MVTAOUT25!M38+MVTSEPT25!M38+MVTOCT25!M38+MVTNOV25!M38+MVTDEC25!M38</f>
        <v>12000</v>
      </c>
      <c r="N38" s="36">
        <f>MVTJANV25!N38+MVTFEV25!N38+MVTMARS25!N38+MVTAVRIL25!N38+MVTMAI25!N38+MVTJUIN25!N38+MVTJUIL25!N38+MVTAOUT25!N38+MVTSEPT25!N38+MVTOCT25!N38+MVTNOV25!N38+MVTDEC25!N38</f>
        <v>12000</v>
      </c>
      <c r="O38" s="36">
        <f>MVTJANV25!O38+MVTFEV25!O38+MVTMARS25!O38+MVTAVRIL25!O38+MVTMAI25!O38+MVTJUIN25!O38+MVTJUIL25!O38+MVTAOUT25!O38+MVTSEPT25!O38+MVTOCT25!O38+MVTNOV25!O38+MVTDEC25!O38</f>
        <v>48000</v>
      </c>
      <c r="P38" s="36">
        <f>MVTJANV25!P38+MVTFEV25!P38+MVTMARS25!P38+MVTAVRIL25!P38+MVTMAI25!P38+MVTJUIN25!P38+MVTJUIL25!P38+MVTAOUT25!P38+MVTSEPT25!P38+MVTOCT25!P38+MVTNOV25!P38+MVTDEC25!P38</f>
        <v>21000</v>
      </c>
      <c r="Q38" s="36">
        <f>MVTJANV25!Q38+MVTFEV25!Q38+MVTMARS25!Q38+MVTAVRIL25!Q38+MVTMAI25!Q38+MVTJUIN25!Q38+MVTJUIL25!Q38+MVTAOUT25!Q38+MVTSEPT25!Q38+MVTOCT25!Q38+MVTNOV25!Q38+MVTDEC25!Q38</f>
        <v>0</v>
      </c>
      <c r="R38" s="36">
        <f>MVTJANV25!R38+MVTFEV25!R38+MVTMARS25!R38+MVTAVRIL25!R38+MVTMAI25!R38+MVTJUIN25!R38+MVTJUIL25!R38+MVTAOUT25!R38+MVTSEPT25!R38+MVTOCT25!R38+MVTNOV25!R38+MVTDEC25!R38</f>
        <v>0</v>
      </c>
      <c r="S38" s="36">
        <f>MVTJANV25!S38+MVTFEV25!S38+MVTMARS25!S38+MVTAVRIL25!S38+MVTMAI25!S38+MVTJUIN25!S38+MVTJUIL25!S38+MVTAOUT25!S38+MVTSEPT25!S38+MVTOCT25!S38+MVTNOV25!S38+MVTDEC25!S38</f>
        <v>0</v>
      </c>
      <c r="T38" s="36">
        <f>MVTDEC24!T38+MVTJANV25!T38+MVTFEV25!T38+MVTMARS25!T38+MVTAVRIL25!T38+MVTMAI25!T38+MVTJUIN25!T38+MVTJUIL25!T38+MVTAOUT25!T38+MVTSEPT25!T38+MVTOCT25!T38+MVTNOV25!T38</f>
        <v>0</v>
      </c>
      <c r="U38" s="36">
        <f>MVTJANV25!U38+MVTFEV25!U38+MVTMARS25!U38+MVTAVRIL25!U38+MVTMAI25!U38+MVTJUIN25!U38+MVTJUIL25!U38+MVTAOUT25!U38+MVTSEPT25!U38+MVTOCT25!U38+MVTNOV25!U38+MVTDEC25!U38</f>
        <v>0</v>
      </c>
      <c r="V38" s="36">
        <f>MVTJANV25!V38+MVTFEV25!V38+MVTMARS25!V38+MVTAVRIL25!V38+MVTMAI25!V38+MVTJUIN25!V38+MVTJUIL25!V38+MVTAOUT25!V38+MVTSEPT25!V38+MVTOCT25!V38+MVTNOV25!V38+MVTDEC25!V38</f>
        <v>0</v>
      </c>
      <c r="W38" s="36">
        <f t="shared" si="1"/>
        <v>0</v>
      </c>
      <c r="X38" s="36"/>
      <c r="Y38" s="36">
        <f>MVTJANV25!Y38+MVTFEV25!Y38+MVTMARS25!Y38+MVTAVRIL25!Y38+MVTMAI25!Y38+MVTJUIN25!Y38+MVTJUIL25!Y38+MVTAOUT25!Y38+MVTSEPT25!Y38+MVTOCT25!Y38+MVTNOV25!Y38+MVTDEC25!Y38</f>
        <v>0</v>
      </c>
      <c r="Z38" s="36">
        <f>MVTJANV25!Z38+MVTFEV25!Z38+MVTMARS25!Z38+MVTAVRIL25!Z38+MVTMAI25!Z38+MVTJUIN25!Z38+MVTJUIL25!Z38+MVTAOUT25!Z38+MVTSEPT25!Z38+MVTOCT25!Z38+MVTNOV25!Z38+MVTDEC25!Z38</f>
        <v>0</v>
      </c>
      <c r="AA38" s="36">
        <f>MVTJANV25!AA38+MVTFEV25!AA38+MVTMARS25!AA38+MVTAVRIL25!AA38+MVTMAI25!AA38+MVTJUIN25!AA38+MVTJUIL25!AA38+MVTAOUT25!AA38+MVTSEPT25!AA38+MVTOCT25!AA38+MVTNOV25!AA38+MVTDEC25!AA38</f>
        <v>0</v>
      </c>
      <c r="AB38" s="36">
        <f>MVTJANV25!AB38+MVTFEV25!AB38+MVTMARS25!AB38+MVTAVRIL25!AB38+MVTMAI25!AB38+MVTJUIN25!AB38+MVTJUIL25!AB38+MVTAOUT25!AB38+MVTSEPT25!AB38+MVTOCT25!AB38+MVTNOV25!AB38+MVTDEC25!AB38</f>
        <v>0</v>
      </c>
      <c r="AC38" s="36">
        <f>MVTJANV25!AC38+MVTFEV25!AC38+MVTMARS25!AC38+MVTAVRIL25!AC38+MVTMAI25!AC38+MVTJUIN25!AC38+MVTJUIL25!AC38+MVTAOUT25!AC38+MVTSEPT25!AC38+MVTOCT25!AC38+MVTNOV25!AC38+MVTDEC25!AC38</f>
        <v>0</v>
      </c>
      <c r="AD38" s="36">
        <f>MVTJANV25!AD38+MVTFEV25!AD38+MVTMARS25!AD38+MVTAVRIL25!AD38+MVTMAI25!AD38+MVTJUIN25!AD38+MVTJUIL25!AD38+MVTAOUT25!AD38+MVTSEPT25!AD38+MVTOCT25!AD38+MVTNOV25!AD38+MVTDEC25!AD38</f>
        <v>0</v>
      </c>
      <c r="AE38" s="36">
        <f>MVTJANV25!AE38+MVTFEV25!AE38+MVTMARS25!AE38+MVTAVRIL25!AE38+MVTMAI25!AE38+MVTJUIN25!AE38+MVTJUIL25!AE38+MVTAOUT25!AE38+MVTSEPT25!AE38+MVTOCT25!AE38+MVTNOV25!AE38+MVTDEC25!AE38</f>
        <v>0</v>
      </c>
      <c r="AF38" s="36">
        <f>MVTJANV25!AF38+MVTFEV25!AF38+MVTMARS25!AF38+MVTAVRIL25!AF38+MVTMAI25!AF38+MVTJUIN25!AF38+MVTJUIL25!AF38+MVTAOUT25!AF38+MVTSEPT25!AF38+MVTOCT25!AF38+MVTNOV25!AF38+MVTDEC25!AF38</f>
        <v>0</v>
      </c>
      <c r="AG38" s="36">
        <f>MVTJANV25!AG38+MVTFEV25!AG38+MVTMARS25!AG38+MVTAVRIL25!AG38+MVTMAI25!AG38+MVTJUIN25!AG38+MVTJUIL25!AG38+MVTAOUT25!AG38+MVTSEPT25!AG38+MVTOCT25!AG38+MVTNOV25!AG38+MVTDEC25!AG38</f>
        <v>0</v>
      </c>
      <c r="AH38" s="36">
        <f>MVTJANV25!AH38+MVTFEV25!AH38+MVTMARS25!AH38+MVTAVRIL25!AH38+MVTMAI25!AH38+MVTJUIN25!AH38+MVTJUIL25!AH38+MVTAOUT25!AH38+MVTSEPT25!AH38+MVTOCT25!AH38+MVTNOV25!AH38+MVTDEC25!AH38</f>
        <v>0</v>
      </c>
      <c r="AI38" s="36">
        <f>MVTJANV25!AI38+MVTFEV25!AI38+MVTMARS25!AI38+MVTAVRIL25!AI38+MVTMAI25!AI38+MVTJUIN25!AI38+MVTJUIL25!AI38+MVTAOUT25!AI38+MVTSEPT25!AI38+MVTOCT25!AI38+MVTNOV25!AI38+MVTDEC25!AI38</f>
        <v>0</v>
      </c>
      <c r="AJ38" s="36">
        <f>MVTJANV25!AJ38+MVTFEV25!AJ38+MVTMARS25!AJ38+MVTAVRIL25!AJ38+MVTMAI25!AJ38+MVTJUIN25!AJ38+MVTJUIL25!AJ38+MVTAOUT25!AJ38+MVTSEPT25!AJ38+MVTOCT25!AJ38+MVTNOV25!AJ38+MVTDEC25!AJ38</f>
        <v>0</v>
      </c>
      <c r="AK38" s="36">
        <f>MVTJANV25!AK38+MVTFEV25!AK38+MVTMARS25!AK38+MVTAVRIL25!AK38+MVTMAI25!AK38+MVTJUIN25!AK38+MVTJUIL25!AK38+MVTAOUT25!AK38+MVTSEPT25!AK38+MVTOCT25!AK38+MVTNOV25!AK38+MVTDEC25!AK38</f>
        <v>0</v>
      </c>
      <c r="AL38"/>
    </row>
    <row r="39" spans="1:38" s="11" customFormat="1" ht="15.5" x14ac:dyDescent="0.35">
      <c r="A39" s="12" t="s">
        <v>313</v>
      </c>
      <c r="B39" s="12" t="str">
        <f>VLOOKUP(A39,[24]LISTADHERENT!A$5:H$60,3,0)</f>
        <v>YANTCHOU GERVAIS</v>
      </c>
      <c r="C39" s="13">
        <f>+MVTDEC24!C39</f>
        <v>800000</v>
      </c>
      <c r="D39" s="13">
        <f>+MVTDEC24!D39</f>
        <v>-32497</v>
      </c>
      <c r="E39" s="13">
        <f>MVTJANV25!E39+MVTFEV25!E39+MVTMARS25!E39+MVTAVRIL25!E39+MVTMAI25!E39+MVTJUIN25!E39+MVTJUIL25!E39+MVTAOUT25!E39+MVTSEPT25!E39+MVTOCT25!E39+MVTNOV25!E39+MVTDEC25!E39</f>
        <v>0</v>
      </c>
      <c r="F39" s="36">
        <f>MVTJANV25!F39+MVTFEV25!F39+MVTMARS25!F39+MVTAVRIL25!F39+MVTMAI25!F39+MVTJUIN25!F39+MVTJUIL25!F39+MVTAOUT25!F39+MVTSEPT25!F39+MVTOCT25!F39+MVTNOV25!F39+MVTDEC25!F39</f>
        <v>11428927.759506896</v>
      </c>
      <c r="G39" s="5">
        <f>MVTJANV25!G39+MVTFEV25!G39+MVTMARS25!G39+MVTAVRIL25!G39+MVTMAI25!G39+MVTJUIN25!G39+MVTJUIL25!G39+MVTAOUT25!G39+MVTSEPT25!G39+MVTOCT25!G39+MVTNOV25!G39+MVTDEC25!G39</f>
        <v>10969805.718442941</v>
      </c>
      <c r="H39" s="36">
        <f>MVTDEC24!H39+MVTJANV25!H39+MVTFEV25!H39+MVTMARS25!H39+MVTAVRIL25!H39+MVTMAI25!H39+MVTJUIN25!H39+MVTJUIL25!H39+MVTAOUT25!H39+MVTSEPT25!H39+MVTOCT25!H39+MVTNOV25!H39</f>
        <v>64954.757324037535</v>
      </c>
      <c r="I39" s="187">
        <f t="shared" si="0"/>
        <v>11493882.516830934</v>
      </c>
      <c r="J39" s="13">
        <f>MVTJANV25!J39+MVTFEV25!J39+MVTMARS25!J39+MVTAVRIL25!J39+MVTMAI25!J39+MVTJUIN25!J39+MVTJUIL25!J39+MVTAOUT25!J39+MVTSEPT25!J39+MVTOCT25!J39+MVTNOV25!J39+MVTDEC25!J39</f>
        <v>0</v>
      </c>
      <c r="K39" s="13">
        <f>MVTJANV25!K39+MVTFEV25!K39+MVTMARS25!K39+MVTAVRIL25!K39+MVTMAI25!K39+MVTJUIN25!K39+MVTJUIL25!K39+MVTAOUT25!K39+MVTSEPT25!K39+MVTOCT25!K39+MVTNOV25!K39+MVTDEC25!K39</f>
        <v>310000</v>
      </c>
      <c r="L39" s="36">
        <f>MVTJANV25!L39+MVTFEV25!L39+MVTMARS25!L39+MVTAVRIL25!L39+MVTMAI25!L39+MVTJUIN25!L39+MVTJUIL25!L39+MVTAOUT25!L39+MVTSEPT25!L39+MVTOCT25!L39+MVTNOV25!L39+MVTDEC25!L39</f>
        <v>238000</v>
      </c>
      <c r="M39" s="13">
        <f>MVTJANV25!M39+MVTFEV25!M39+MVTMARS25!M39+MVTAVRIL25!M39+MVTMAI25!M39+MVTJUIN25!M39+MVTJUIL25!M39+MVTAOUT25!M39+MVTSEPT25!M39+MVTOCT25!M39+MVTNOV25!M39+MVTDEC25!M39</f>
        <v>12000</v>
      </c>
      <c r="N39" s="13">
        <f>MVTJANV25!N39+MVTFEV25!N39+MVTMARS25!N39+MVTAVRIL25!N39+MVTMAI25!N39+MVTJUIN25!N39+MVTJUIL25!N39+MVTAOUT25!N39+MVTSEPT25!N39+MVTOCT25!N39+MVTNOV25!N39+MVTDEC25!N39</f>
        <v>12000</v>
      </c>
      <c r="O39" s="13">
        <f>MVTJANV25!O39+MVTFEV25!O39+MVTMARS25!O39+MVTAVRIL25!O39+MVTMAI25!O39+MVTJUIN25!O39+MVTJUIL25!O39+MVTAOUT25!O39+MVTSEPT25!O39+MVTOCT25!O39+MVTNOV25!O39+MVTDEC25!O39</f>
        <v>48000</v>
      </c>
      <c r="P39" s="13">
        <f>MVTJANV25!P39+MVTFEV25!P39+MVTMARS25!P39+MVTAVRIL25!P39+MVTMAI25!P39+MVTJUIN25!P39+MVTJUIL25!P39+MVTAOUT25!P39+MVTSEPT25!P39+MVTOCT25!P39+MVTNOV25!P39+MVTDEC25!P39</f>
        <v>0</v>
      </c>
      <c r="Q39" s="13">
        <f>MVTJANV25!Q39+MVTFEV25!Q39+MVTMARS25!Q39+MVTAVRIL25!Q39+MVTMAI25!Q39+MVTJUIN25!Q39+MVTJUIL25!Q39+MVTAOUT25!Q39+MVTSEPT25!Q39+MVTOCT25!Q39+MVTNOV25!Q39+MVTDEC25!Q39</f>
        <v>0</v>
      </c>
      <c r="R39" s="13">
        <f>MVTJANV25!R39+MVTFEV25!R39+MVTMARS25!R39+MVTAVRIL25!R39+MVTMAI25!R39+MVTJUIN25!R39+MVTJUIL25!R39+MVTAOUT25!R39+MVTSEPT25!R39+MVTOCT25!R39+MVTNOV25!R39+MVTDEC25!R39</f>
        <v>0</v>
      </c>
      <c r="S39" s="36">
        <f>MVTJANV25!S39+MVTFEV25!S39+MVTMARS25!S39+MVTAVRIL25!S39+MVTMAI25!S39+MVTJUIN25!S39+MVTJUIL25!S39+MVTAOUT25!S39+MVTSEPT25!S39+MVTOCT25!S39+MVTNOV25!S39+MVTDEC25!S39</f>
        <v>500000</v>
      </c>
      <c r="T39" s="36">
        <f>MVTDEC24!T39+MVTJANV25!T39+MVTFEV25!T39+MVTMARS25!T39+MVTAVRIL25!T39+MVTMAI25!T39+MVTJUIN25!T39+MVTJUIL25!T39+MVTAOUT25!T39+MVTSEPT25!T39+MVTOCT25!T39+MVTNOV25!T39</f>
        <v>120000</v>
      </c>
      <c r="U39" s="13">
        <f>MVTJANV25!U39+MVTFEV25!U39+MVTMARS25!U39+MVTAVRIL25!U39+MVTMAI25!U39+MVTJUIN25!U39+MVTJUIL25!U39+MVTAOUT25!U39+MVTSEPT25!U39+MVTOCT25!U39+MVTNOV25!U39+MVTDEC25!U39</f>
        <v>0</v>
      </c>
      <c r="V39" s="13">
        <f>MVTJANV25!V39+MVTFEV25!V39+MVTMARS25!V39+MVTAVRIL25!V39+MVTMAI25!V39+MVTJUIN25!V39+MVTJUIL25!V39+MVTAOUT25!V39+MVTSEPT25!V39+MVTOCT25!V39+MVTNOV25!V39+MVTDEC25!V39</f>
        <v>1000000</v>
      </c>
      <c r="W39" s="13">
        <f>S39-V39+500000</f>
        <v>0</v>
      </c>
      <c r="X39" s="186">
        <v>46010</v>
      </c>
      <c r="Y39" s="13">
        <f>MVTJANV25!Y39+MVTFEV25!Y39+MVTMARS25!Y39+MVTAVRIL25!Y39+MVTMAI25!Y39+MVTJUIN25!Y39+MVTJUIL25!Y39+MVTAOUT25!Y39+MVTSEPT25!Y39+MVTOCT25!Y39+MVTNOV25!Y39+MVTDEC25!Y39</f>
        <v>0</v>
      </c>
      <c r="Z39" s="13">
        <f>MVTJANV25!Z39+MVTFEV25!Z39+MVTMARS25!Z39+MVTAVRIL25!Z39+MVTMAI25!Z39+MVTJUIN25!Z39+MVTJUIL25!Z39+MVTAOUT25!Z39+MVTSEPT25!Z39+MVTOCT25!Z39+MVTNOV25!Z39+MVTDEC25!Z39</f>
        <v>0</v>
      </c>
      <c r="AA39" s="13">
        <f>MVTJANV25!AA39+MVTFEV25!AA39+MVTMARS25!AA39+MVTAVRIL25!AA39+MVTMAI25!AA39+MVTJUIN25!AA39+MVTJUIL25!AA39+MVTAOUT25!AA39+MVTSEPT25!AA39+MVTOCT25!AA39+MVTNOV25!AA39+MVTDEC25!AA39</f>
        <v>0</v>
      </c>
      <c r="AB39" s="13">
        <f>MVTJANV25!AB39+MVTFEV25!AB39+MVTMARS25!AB39+MVTAVRIL25!AB39+MVTMAI25!AB39+MVTJUIN25!AB39+MVTJUIL25!AB39+MVTAOUT25!AB39+MVTSEPT25!AB39+MVTOCT25!AB39+MVTNOV25!AB39+MVTDEC25!AB39</f>
        <v>0</v>
      </c>
      <c r="AC39" s="13">
        <f>MVTJANV25!AC39+MVTFEV25!AC39+MVTMARS25!AC39+MVTAVRIL25!AC39+MVTMAI25!AC39+MVTJUIN25!AC39+MVTJUIL25!AC39+MVTAOUT25!AC39+MVTSEPT25!AC39+MVTOCT25!AC39+MVTNOV25!AC39+MVTDEC25!AC39</f>
        <v>0</v>
      </c>
      <c r="AD39" s="13">
        <f>MVTJANV25!AD39+MVTFEV25!AD39+MVTMARS25!AD39+MVTAVRIL25!AD39+MVTMAI25!AD39+MVTJUIN25!AD39+MVTJUIL25!AD39+MVTAOUT25!AD39+MVTSEPT25!AD39+MVTOCT25!AD39+MVTNOV25!AD39+MVTDEC25!AD39</f>
        <v>0</v>
      </c>
      <c r="AE39" s="13">
        <f>MVTJANV25!AE39+MVTFEV25!AE39+MVTMARS25!AE39+MVTAVRIL25!AE39+MVTMAI25!AE39+MVTJUIN25!AE39+MVTJUIL25!AE39+MVTAOUT25!AE39+MVTSEPT25!AE39+MVTOCT25!AE39+MVTNOV25!AE39+MVTDEC25!AE39</f>
        <v>0</v>
      </c>
      <c r="AF39" s="13">
        <f>MVTJANV25!AF39+MVTFEV25!AF39+MVTMARS25!AF39+MVTAVRIL25!AF39+MVTMAI25!AF39+MVTJUIN25!AF39+MVTJUIL25!AF39+MVTAOUT25!AF39+MVTSEPT25!AF39+MVTOCT25!AF39+MVTNOV25!AF39+MVTDEC25!AF39</f>
        <v>0</v>
      </c>
      <c r="AG39" s="13">
        <f>MVTJANV25!AG39+MVTFEV25!AG39+MVTMARS25!AG39+MVTAVRIL25!AG39+MVTMAI25!AG39+MVTJUIN25!AG39+MVTJUIL25!AG39+MVTAOUT25!AG39+MVTSEPT25!AG39+MVTOCT25!AG39+MVTNOV25!AG39+MVTDEC25!AG39</f>
        <v>0</v>
      </c>
      <c r="AH39" s="13">
        <f>MVTJANV25!AH39+MVTFEV25!AH39+MVTMARS25!AH39+MVTAVRIL25!AH39+MVTMAI25!AH39+MVTJUIN25!AH39+MVTJUIL25!AH39+MVTAOUT25!AH39+MVTSEPT25!AH39+MVTOCT25!AH39+MVTNOV25!AH39+MVTDEC25!AH39</f>
        <v>0</v>
      </c>
      <c r="AI39" s="13">
        <f>MVTJANV25!AI39+MVTFEV25!AI39+MVTMARS25!AI39+MVTAVRIL25!AI39+MVTMAI25!AI39+MVTJUIN25!AI39+MVTJUIL25!AI39+MVTAOUT25!AI39+MVTSEPT25!AI39+MVTOCT25!AI39+MVTNOV25!AI39+MVTDEC25!AI39</f>
        <v>0</v>
      </c>
      <c r="AJ39" s="13">
        <f>MVTJANV25!AJ39+MVTFEV25!AJ39+MVTMARS25!AJ39+MVTAVRIL25!AJ39+MVTMAI25!AJ39+MVTJUIN25!AJ39+MVTJUIL25!AJ39+MVTAOUT25!AJ39+MVTSEPT25!AJ39+MVTOCT25!AJ39+MVTNOV25!AJ39+MVTDEC25!AJ39</f>
        <v>0</v>
      </c>
      <c r="AK39" s="13">
        <f>MVTJANV25!AK39+MVTFEV25!AK39+MVTMARS25!AK39+MVTAVRIL25!AK39+MVTMAI25!AK39+MVTJUIN25!AK39+MVTJUIL25!AK39+MVTAOUT25!AK39+MVTSEPT25!AK39+MVTOCT25!AK39+MVTNOV25!AK39+MVTDEC25!AK39</f>
        <v>0</v>
      </c>
      <c r="AL39" s="14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>
        <f>+MVTDEC24!C40</f>
        <v>800000</v>
      </c>
      <c r="D40" s="36">
        <f>+MVTDEC24!D40</f>
        <v>739643</v>
      </c>
      <c r="E40" s="36">
        <f>MVTJANV25!E40+MVTFEV25!E40+MVTMARS25!E40+MVTAVRIL25!E40+MVTMAI25!E40+MVTJUIN25!E40+MVTJUIL25!E40+MVTAOUT25!E40+MVTSEPT25!E40+MVTOCT25!E40+MVTNOV25!E40+MVTDEC25!E40</f>
        <v>0</v>
      </c>
      <c r="F40" s="36">
        <f>MVTJANV25!F40+MVTFEV25!F40+MVTMARS25!F40+MVTAVRIL25!F40+MVTMAI25!F40+MVTJUIN25!F40+MVTJUIL25!F40+MVTAOUT25!F40+MVTSEPT25!F40+MVTOCT25!F40+MVTNOV25!F40+MVTDEC25!F40</f>
        <v>21218810.656398453</v>
      </c>
      <c r="G40" s="5">
        <f>MVTJANV25!G40+MVTFEV25!G40+MVTMARS25!G40+MVTAVRIL25!G40+MVTMAI25!G40+MVTJUIN25!G40+MVTJUIL25!G40+MVTAOUT25!G40+MVTSEPT25!G40+MVTOCT25!G40+MVTNOV25!G40+MVTDEC25!G40</f>
        <v>20767737.689504005</v>
      </c>
      <c r="H40" s="36">
        <f>MVTDEC24!H40+MVTJANV25!H40+MVTFEV25!H40+MVTMARS25!H40+MVTAVRIL25!H40+MVTMAI25!H40+MVTJUIN25!H40+MVTJUIL25!H40+MVTAOUT25!H40+MVTSEPT25!H40+MVTOCT25!H40+MVTNOV25!H40</f>
        <v>127622.78960574789</v>
      </c>
      <c r="I40" s="184">
        <f t="shared" si="0"/>
        <v>21346433.446004201</v>
      </c>
      <c r="J40" s="36">
        <f>MVTJANV25!J40+MVTFEV25!J40+MVTMARS25!J40+MVTAVRIL25!J40+MVTMAI25!J40+MVTJUIN25!J40+MVTJUIL25!J40+MVTAOUT25!J40+MVTSEPT25!J40+MVTOCT25!J40+MVTNOV25!J40+MVTDEC25!J40</f>
        <v>0</v>
      </c>
      <c r="K40" s="36">
        <f>MVTJANV25!K40+MVTFEV25!K40+MVTMARS25!K40+MVTAVRIL25!K40+MVTMAI25!K40+MVTJUIN25!K40+MVTJUIL25!K40+MVTAOUT25!K40+MVTSEPT25!K40+MVTOCT25!K40+MVTNOV25!K40+MVTDEC25!K40</f>
        <v>291000</v>
      </c>
      <c r="L40" s="36">
        <f>MVTJANV25!L40+MVTFEV25!L40+MVTMARS25!L40+MVTAVRIL25!L40+MVTMAI25!L40+MVTJUIN25!L40+MVTJUIL25!L40+MVTAOUT25!L40+MVTSEPT25!L40+MVTOCT25!L40+MVTNOV25!L40+MVTDEC25!L40</f>
        <v>219000</v>
      </c>
      <c r="M40" s="36">
        <f>MVTJANV25!M40+MVTFEV25!M40+MVTMARS25!M40+MVTAVRIL25!M40+MVTMAI25!M40+MVTJUIN25!M40+MVTJUIL25!M40+MVTAOUT25!M40+MVTSEPT25!M40+MVTOCT25!M40+MVTNOV25!M40+MVTDEC25!M40</f>
        <v>12000</v>
      </c>
      <c r="N40" s="36">
        <f>MVTJANV25!N40+MVTFEV25!N40+MVTMARS25!N40+MVTAVRIL25!N40+MVTMAI25!N40+MVTJUIN25!N40+MVTJUIL25!N40+MVTAOUT25!N40+MVTSEPT25!N40+MVTOCT25!N40+MVTNOV25!N40+MVTDEC25!N40</f>
        <v>12000</v>
      </c>
      <c r="O40" s="36">
        <f>MVTJANV25!O40+MVTFEV25!O40+MVTMARS25!O40+MVTAVRIL25!O40+MVTMAI25!O40+MVTJUIN25!O40+MVTJUIL25!O40+MVTAOUT25!O40+MVTSEPT25!O40+MVTOCT25!O40+MVTNOV25!O40+MVTDEC25!O40</f>
        <v>48000</v>
      </c>
      <c r="P40" s="36">
        <f>MVTJANV25!P40+MVTFEV25!P40+MVTMARS25!P40+MVTAVRIL25!P40+MVTMAI25!P40+MVTJUIN25!P40+MVTJUIL25!P40+MVTAOUT25!P40+MVTSEPT25!P40+MVTOCT25!P40+MVTNOV25!P40+MVTDEC25!P40</f>
        <v>9000</v>
      </c>
      <c r="Q40" s="36">
        <f>MVTJANV25!Q40+MVTFEV25!Q40+MVTMARS25!Q40+MVTAVRIL25!Q40+MVTMAI25!Q40+MVTJUIN25!Q40+MVTJUIL25!Q40+MVTAOUT25!Q40+MVTSEPT25!Q40+MVTOCT25!Q40+MVTNOV25!Q40+MVTDEC25!Q40</f>
        <v>0</v>
      </c>
      <c r="R40" s="36">
        <f>MVTJANV25!R40+MVTFEV25!R40+MVTMARS25!R40+MVTAVRIL25!R40+MVTMAI25!R40+MVTJUIN25!R40+MVTJUIL25!R40+MVTAOUT25!R40+MVTSEPT25!R40+MVTOCT25!R40+MVTNOV25!R40+MVTDEC25!R40</f>
        <v>0</v>
      </c>
      <c r="S40" s="36">
        <f>MVTJANV25!S40+MVTFEV25!S40+MVTMARS25!S40+MVTAVRIL25!S40+MVTMAI25!S40+MVTJUIN25!S40+MVTJUIL25!S40+MVTAOUT25!S40+MVTSEPT25!S40+MVTOCT25!S40+MVTNOV25!S40+MVTDEC25!S40</f>
        <v>0</v>
      </c>
      <c r="T40" s="36">
        <f>MVTDEC24!T40+MVTJANV25!T40+MVTFEV25!T40+MVTMARS25!T40+MVTAVRIL25!T40+MVTMAI25!T40+MVTJUIN25!T40+MVTJUIL25!T40+MVTAOUT25!T40+MVTSEPT25!T40+MVTOCT25!T40+MVTNOV25!T40</f>
        <v>0</v>
      </c>
      <c r="U40" s="36">
        <f>MVTJANV25!U40+MVTFEV25!U40+MVTMARS25!U40+MVTAVRIL25!U40+MVTMAI25!U40+MVTJUIN25!U40+MVTJUIL25!U40+MVTAOUT25!U40+MVTSEPT25!U40+MVTOCT25!U40+MVTNOV25!U40+MVTDEC25!U40</f>
        <v>0</v>
      </c>
      <c r="V40" s="36">
        <f>MVTJANV25!V40+MVTFEV25!V40+MVTMARS25!V40+MVTAVRIL25!V40+MVTMAI25!V40+MVTJUIN25!V40+MVTJUIL25!V40+MVTAOUT25!V40+MVTSEPT25!V40+MVTOCT25!V40+MVTNOV25!V40+MVTDEC25!V40</f>
        <v>0</v>
      </c>
      <c r="W40" s="36">
        <f t="shared" si="1"/>
        <v>0</v>
      </c>
      <c r="X40" s="36"/>
      <c r="Y40" s="36">
        <f>MVTJANV25!Y40+MVTFEV25!Y40+MVTMARS25!Y40+MVTAVRIL25!Y40+MVTMAI25!Y40+MVTJUIN25!Y40+MVTJUIL25!Y40+MVTAOUT25!Y40+MVTSEPT25!Y40+MVTOCT25!Y40+MVTNOV25!Y40+MVTDEC25!Y40</f>
        <v>0</v>
      </c>
      <c r="Z40" s="36">
        <f>MVTJANV25!Z40+MVTFEV25!Z40+MVTMARS25!Z40+MVTAVRIL25!Z40+MVTMAI25!Z40+MVTJUIN25!Z40+MVTJUIL25!Z40+MVTAOUT25!Z40+MVTSEPT25!Z40+MVTOCT25!Z40+MVTNOV25!Z40+MVTDEC25!Z40</f>
        <v>0</v>
      </c>
      <c r="AA40" s="36">
        <f>MVTJANV25!AA40+MVTFEV25!AA40+MVTMARS25!AA40+MVTAVRIL25!AA40+MVTMAI25!AA40+MVTJUIN25!AA40+MVTJUIL25!AA40+MVTAOUT25!AA40+MVTSEPT25!AA40+MVTOCT25!AA40+MVTNOV25!AA40+MVTDEC25!AA40</f>
        <v>0</v>
      </c>
      <c r="AB40" s="36">
        <f>MVTJANV25!AB40+MVTFEV25!AB40+MVTMARS25!AB40+MVTAVRIL25!AB40+MVTMAI25!AB40+MVTJUIN25!AB40+MVTJUIL25!AB40+MVTAOUT25!AB40+MVTSEPT25!AB40+MVTOCT25!AB40+MVTNOV25!AB40+MVTDEC25!AB40</f>
        <v>0</v>
      </c>
      <c r="AC40" s="36">
        <f>MVTJANV25!AC40+MVTFEV25!AC40+MVTMARS25!AC40+MVTAVRIL25!AC40+MVTMAI25!AC40+MVTJUIN25!AC40+MVTJUIL25!AC40+MVTAOUT25!AC40+MVTSEPT25!AC40+MVTOCT25!AC40+MVTNOV25!AC40+MVTDEC25!AC40</f>
        <v>0</v>
      </c>
      <c r="AD40" s="36">
        <f>MVTJANV25!AD40+MVTFEV25!AD40+MVTMARS25!AD40+MVTAVRIL25!AD40+MVTMAI25!AD40+MVTJUIN25!AD40+MVTJUIL25!AD40+MVTAOUT25!AD40+MVTSEPT25!AD40+MVTOCT25!AD40+MVTNOV25!AD40+MVTDEC25!AD40</f>
        <v>0</v>
      </c>
      <c r="AE40" s="36">
        <f>MVTJANV25!AE40+MVTFEV25!AE40+MVTMARS25!AE40+MVTAVRIL25!AE40+MVTMAI25!AE40+MVTJUIN25!AE40+MVTJUIL25!AE40+MVTAOUT25!AE40+MVTSEPT25!AE40+MVTOCT25!AE40+MVTNOV25!AE40+MVTDEC25!AE40</f>
        <v>0</v>
      </c>
      <c r="AF40" s="36">
        <f>MVTJANV25!AF40+MVTFEV25!AF40+MVTMARS25!AF40+MVTAVRIL25!AF40+MVTMAI25!AF40+MVTJUIN25!AF40+MVTJUIL25!AF40+MVTAOUT25!AF40+MVTSEPT25!AF40+MVTOCT25!AF40+MVTNOV25!AF40+MVTDEC25!AF40</f>
        <v>0</v>
      </c>
      <c r="AG40" s="36">
        <f>MVTJANV25!AG40+MVTFEV25!AG40+MVTMARS25!AG40+MVTAVRIL25!AG40+MVTMAI25!AG40+MVTJUIN25!AG40+MVTJUIL25!AG40+MVTAOUT25!AG40+MVTSEPT25!AG40+MVTOCT25!AG40+MVTNOV25!AG40+MVTDEC25!AG40</f>
        <v>0</v>
      </c>
      <c r="AH40" s="36">
        <f>MVTJANV25!AH40+MVTFEV25!AH40+MVTMARS25!AH40+MVTAVRIL25!AH40+MVTMAI25!AH40+MVTJUIN25!AH40+MVTJUIL25!AH40+MVTAOUT25!AH40+MVTSEPT25!AH40+MVTOCT25!AH40+MVTNOV25!AH40+MVTDEC25!AH40</f>
        <v>0</v>
      </c>
      <c r="AI40" s="36">
        <f>MVTJANV25!AI40+MVTFEV25!AI40+MVTMARS25!AI40+MVTAVRIL25!AI40+MVTMAI25!AI40+MVTJUIN25!AI40+MVTJUIL25!AI40+MVTAOUT25!AI40+MVTSEPT25!AI40+MVTOCT25!AI40+MVTNOV25!AI40+MVTDEC25!AI40</f>
        <v>0</v>
      </c>
      <c r="AJ40" s="36">
        <f>MVTJANV25!AJ40+MVTFEV25!AJ40+MVTMARS25!AJ40+MVTAVRIL25!AJ40+MVTMAI25!AJ40+MVTJUIN25!AJ40+MVTJUIL25!AJ40+MVTAOUT25!AJ40+MVTSEPT25!AJ40+MVTOCT25!AJ40+MVTNOV25!AJ40+MVTDEC25!AJ40</f>
        <v>0</v>
      </c>
      <c r="AK40" s="36">
        <f>MVTJANV25!AK40+MVTFEV25!AK40+MVTMARS25!AK40+MVTAVRIL25!AK40+MVTMAI25!AK40+MVTJUIN25!AK40+MVTJUIL25!AK40+MVTAOUT25!AK40+MVTSEPT25!AK40+MVTOCT25!AK40+MVTNOV25!AK40+MVTDEC25!AK40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>
        <f>+MVTDEC24!C41</f>
        <v>800000</v>
      </c>
      <c r="D41" s="36">
        <f>+MVTDEC24!D41</f>
        <v>241</v>
      </c>
      <c r="E41" s="36">
        <f>MVTJANV25!E41+MVTFEV25!E41+MVTMARS25!E41+MVTAVRIL25!E41+MVTMAI25!E41+MVTJUIN25!E41+MVTJUIL25!E41+MVTAOUT25!E41+MVTSEPT25!E41+MVTOCT25!E41+MVTNOV25!E41+MVTDEC25!E41</f>
        <v>0</v>
      </c>
      <c r="F41" s="36">
        <f>MVTJANV25!F41+MVTFEV25!F41+MVTMARS25!F41+MVTAVRIL25!F41+MVTMAI25!F41+MVTJUIN25!F41+MVTJUIL25!F41+MVTAOUT25!F41+MVTSEPT25!F41+MVTOCT25!F41+MVTNOV25!F41+MVTDEC25!F41</f>
        <v>11778710.822402472</v>
      </c>
      <c r="G41" s="5">
        <f>MVTJANV25!G41+MVTFEV25!G41+MVTMARS25!G41+MVTAVRIL25!G41+MVTMAI25!G41+MVTJUIN25!G41+MVTJUIL25!G41+MVTAOUT25!G41+MVTSEPT25!G41+MVTOCT25!G41+MVTNOV25!G41+MVTDEC25!G41</f>
        <v>11333811.882542536</v>
      </c>
      <c r="H41" s="36">
        <f>MVTDEC24!H41+MVTJANV25!H41+MVTFEV25!H41+MVTMARS25!H41+MVTAVRIL25!H41+MVTMAI25!H41+MVTJUIN25!H41+MVTJUIL25!H41+MVTAOUT25!H41+MVTSEPT25!H41+MVTOCT25!H41+MVTNOV25!H41</f>
        <v>67488.51800055294</v>
      </c>
      <c r="I41" s="184">
        <f t="shared" si="0"/>
        <v>11846199.340403024</v>
      </c>
      <c r="J41" s="36">
        <f>MVTJANV25!J41+MVTFEV25!J41+MVTMARS25!J41+MVTAVRIL25!J41+MVTMAI25!J41+MVTJUIN25!J41+MVTJUIL25!J41+MVTAOUT25!J41+MVTSEPT25!J41+MVTOCT25!J41+MVTNOV25!J41+MVTDEC25!J41</f>
        <v>0</v>
      </c>
      <c r="K41" s="36">
        <f>MVTJANV25!K41+MVTFEV25!K41+MVTMARS25!K41+MVTAVRIL25!K41+MVTMAI25!K41+MVTJUIN25!K41+MVTJUIL25!K41+MVTAOUT25!K41+MVTSEPT25!K41+MVTOCT25!K41+MVTNOV25!K41+MVTDEC25!K41</f>
        <v>300000</v>
      </c>
      <c r="L41" s="36">
        <f>MVTJANV25!L41+MVTFEV25!L41+MVTMARS25!L41+MVTAVRIL25!L41+MVTMAI25!L41+MVTJUIN25!L41+MVTJUIL25!L41+MVTAOUT25!L41+MVTSEPT25!L41+MVTOCT25!L41+MVTNOV25!L41+MVTDEC25!L41</f>
        <v>228000</v>
      </c>
      <c r="M41" s="36">
        <f>MVTJANV25!M41+MVTFEV25!M41+MVTMARS25!M41+MVTAVRIL25!M41+MVTMAI25!M41+MVTJUIN25!M41+MVTJUIL25!M41+MVTAOUT25!M41+MVTSEPT25!M41+MVTOCT25!M41+MVTNOV25!M41+MVTDEC25!M41</f>
        <v>12000</v>
      </c>
      <c r="N41" s="36">
        <f>MVTJANV25!N41+MVTFEV25!N41+MVTMARS25!N41+MVTAVRIL25!N41+MVTMAI25!N41+MVTJUIN25!N41+MVTJUIL25!N41+MVTAOUT25!N41+MVTSEPT25!N41+MVTOCT25!N41+MVTNOV25!N41+MVTDEC25!N41</f>
        <v>12000</v>
      </c>
      <c r="O41" s="36">
        <f>MVTJANV25!O41+MVTFEV25!O41+MVTMARS25!O41+MVTAVRIL25!O41+MVTMAI25!O41+MVTJUIN25!O41+MVTJUIL25!O41+MVTAOUT25!O41+MVTSEPT25!O41+MVTOCT25!O41+MVTNOV25!O41+MVTDEC25!O41</f>
        <v>48000</v>
      </c>
      <c r="P41" s="36">
        <f>MVTJANV25!P41+MVTFEV25!P41+MVTMARS25!P41+MVTAVRIL25!P41+MVTMAI25!P41+MVTJUIN25!P41+MVTJUIL25!P41+MVTAOUT25!P41+MVTSEPT25!P41+MVTOCT25!P41+MVTNOV25!P41+MVTDEC25!P41</f>
        <v>18000</v>
      </c>
      <c r="Q41" s="36">
        <f>MVTJANV25!Q41+MVTFEV25!Q41+MVTMARS25!Q41+MVTAVRIL25!Q41+MVTMAI25!Q41+MVTJUIN25!Q41+MVTJUIL25!Q41+MVTAOUT25!Q41+MVTSEPT25!Q41+MVTOCT25!Q41+MVTNOV25!Q41+MVTDEC25!Q41</f>
        <v>0</v>
      </c>
      <c r="R41" s="36">
        <f>MVTJANV25!R41+MVTFEV25!R41+MVTMARS25!R41+MVTAVRIL25!R41+MVTMAI25!R41+MVTJUIN25!R41+MVTJUIL25!R41+MVTAOUT25!R41+MVTSEPT25!R41+MVTOCT25!R41+MVTNOV25!R41+MVTDEC25!R41</f>
        <v>0</v>
      </c>
      <c r="S41" s="36">
        <f>MVTJANV25!S41+MVTFEV25!S41+MVTMARS25!S41+MVTAVRIL25!S41+MVTMAI25!S41+MVTJUIN25!S41+MVTJUIL25!S41+MVTAOUT25!S41+MVTSEPT25!S41+MVTOCT25!S41+MVTNOV25!S41+MVTDEC25!S41</f>
        <v>0</v>
      </c>
      <c r="T41" s="36">
        <f>MVTDEC24!T41+MVTJANV25!T41+MVTFEV25!T41+MVTMARS25!T41+MVTAVRIL25!T41+MVTMAI25!T41+MVTJUIN25!T41+MVTJUIL25!T41+MVTAOUT25!T41+MVTSEPT25!T41+MVTOCT25!T41+MVTNOV25!T41</f>
        <v>0</v>
      </c>
      <c r="U41" s="36">
        <f>MVTJANV25!U41+MVTFEV25!U41+MVTMARS25!U41+MVTAVRIL25!U41+MVTMAI25!U41+MVTJUIN25!U41+MVTJUIL25!U41+MVTAOUT25!U41+MVTSEPT25!U41+MVTOCT25!U41+MVTNOV25!U41+MVTDEC25!U41</f>
        <v>0</v>
      </c>
      <c r="V41" s="36">
        <f>MVTJANV25!V41+MVTFEV25!V41+MVTMARS25!V41+MVTAVRIL25!V41+MVTMAI25!V41+MVTJUIN25!V41+MVTJUIL25!V41+MVTAOUT25!V41+MVTSEPT25!V41+MVTOCT25!V41+MVTNOV25!V41+MVTDEC25!V41</f>
        <v>0</v>
      </c>
      <c r="W41" s="36">
        <f t="shared" si="1"/>
        <v>0</v>
      </c>
      <c r="X41" s="36"/>
      <c r="Y41" s="36">
        <f>MVTJANV25!Y41+MVTFEV25!Y41+MVTMARS25!Y41+MVTAVRIL25!Y41+MVTMAI25!Y41+MVTJUIN25!Y41+MVTJUIL25!Y41+MVTAOUT25!Y41+MVTSEPT25!Y41+MVTOCT25!Y41+MVTNOV25!Y41+MVTDEC25!Y41</f>
        <v>0</v>
      </c>
      <c r="Z41" s="36">
        <f>MVTJANV25!Z41+MVTFEV25!Z41+MVTMARS25!Z41+MVTAVRIL25!Z41+MVTMAI25!Z41+MVTJUIN25!Z41+MVTJUIL25!Z41+MVTAOUT25!Z41+MVTSEPT25!Z41+MVTOCT25!Z41+MVTNOV25!Z41+MVTDEC25!Z41</f>
        <v>0</v>
      </c>
      <c r="AA41" s="36">
        <f>MVTJANV25!AA41+MVTFEV25!AA41+MVTMARS25!AA41+MVTAVRIL25!AA41+MVTMAI25!AA41+MVTJUIN25!AA41+MVTJUIL25!AA41+MVTAOUT25!AA41+MVTSEPT25!AA41+MVTOCT25!AA41+MVTNOV25!AA41+MVTDEC25!AA41</f>
        <v>0</v>
      </c>
      <c r="AB41" s="36">
        <f>MVTJANV25!AB41+MVTFEV25!AB41+MVTMARS25!AB41+MVTAVRIL25!AB41+MVTMAI25!AB41+MVTJUIN25!AB41+MVTJUIL25!AB41+MVTAOUT25!AB41+MVTSEPT25!AB41+MVTOCT25!AB41+MVTNOV25!AB41+MVTDEC25!AB41</f>
        <v>0</v>
      </c>
      <c r="AC41" s="36">
        <f>MVTJANV25!AC41+MVTFEV25!AC41+MVTMARS25!AC41+MVTAVRIL25!AC41+MVTMAI25!AC41+MVTJUIN25!AC41+MVTJUIL25!AC41+MVTAOUT25!AC41+MVTSEPT25!AC41+MVTOCT25!AC41+MVTNOV25!AC41+MVTDEC25!AC41</f>
        <v>0</v>
      </c>
      <c r="AD41" s="36">
        <f>MVTJANV25!AD41+MVTFEV25!AD41+MVTMARS25!AD41+MVTAVRIL25!AD41+MVTMAI25!AD41+MVTJUIN25!AD41+MVTJUIL25!AD41+MVTAOUT25!AD41+MVTSEPT25!AD41+MVTOCT25!AD41+MVTNOV25!AD41+MVTDEC25!AD41</f>
        <v>0</v>
      </c>
      <c r="AE41" s="36">
        <f>MVTJANV25!AE41+MVTFEV25!AE41+MVTMARS25!AE41+MVTAVRIL25!AE41+MVTMAI25!AE41+MVTJUIN25!AE41+MVTJUIL25!AE41+MVTAOUT25!AE41+MVTSEPT25!AE41+MVTOCT25!AE41+MVTNOV25!AE41+MVTDEC25!AE41</f>
        <v>0</v>
      </c>
      <c r="AF41" s="36">
        <f>MVTJANV25!AF41+MVTFEV25!AF41+MVTMARS25!AF41+MVTAVRIL25!AF41+MVTMAI25!AF41+MVTJUIN25!AF41+MVTJUIL25!AF41+MVTAOUT25!AF41+MVTSEPT25!AF41+MVTOCT25!AF41+MVTNOV25!AF41+MVTDEC25!AF41</f>
        <v>0</v>
      </c>
      <c r="AG41" s="36">
        <f>MVTJANV25!AG41+MVTFEV25!AG41+MVTMARS25!AG41+MVTAVRIL25!AG41+MVTMAI25!AG41+MVTJUIN25!AG41+MVTJUIL25!AG41+MVTAOUT25!AG41+MVTSEPT25!AG41+MVTOCT25!AG41+MVTNOV25!AG41+MVTDEC25!AG41</f>
        <v>0</v>
      </c>
      <c r="AH41" s="36">
        <f>MVTJANV25!AH41+MVTFEV25!AH41+MVTMARS25!AH41+MVTAVRIL25!AH41+MVTMAI25!AH41+MVTJUIN25!AH41+MVTJUIL25!AH41+MVTAOUT25!AH41+MVTSEPT25!AH41+MVTOCT25!AH41+MVTNOV25!AH41+MVTDEC25!AH41</f>
        <v>0</v>
      </c>
      <c r="AI41" s="36">
        <f>MVTJANV25!AI41+MVTFEV25!AI41+MVTMARS25!AI41+MVTAVRIL25!AI41+MVTMAI25!AI41+MVTJUIN25!AI41+MVTJUIL25!AI41+MVTAOUT25!AI41+MVTSEPT25!AI41+MVTOCT25!AI41+MVTNOV25!AI41+MVTDEC25!AI41</f>
        <v>100000</v>
      </c>
      <c r="AJ41" s="36">
        <f>MVTJANV25!AJ41+MVTFEV25!AJ41+MVTMARS25!AJ41+MVTAVRIL25!AJ41+MVTMAI25!AJ41+MVTJUIN25!AJ41+MVTJUIL25!AJ41+MVTAOUT25!AJ41+MVTSEPT25!AJ41+MVTOCT25!AJ41+MVTNOV25!AJ41+MVTDEC25!AJ41</f>
        <v>0</v>
      </c>
      <c r="AK41" s="36">
        <f>MVTJANV25!AK41+MVTFEV25!AK41+MVTMARS25!AK41+MVTAVRIL25!AK41+MVTMAI25!AK41+MVTJUIN25!AK41+MVTJUIL25!AK41+MVTAOUT25!AK41+MVTSEPT25!AK41+MVTOCT25!AK41+MVTNOV25!AK41+MVTDEC25!AK41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>
        <f>+MVTDEC24!C42</f>
        <v>800000</v>
      </c>
      <c r="D42" s="36">
        <f>+MVTDEC24!D42</f>
        <v>1296586</v>
      </c>
      <c r="E42" s="36">
        <f>MVTJANV25!E42+MVTFEV25!E42+MVTMARS25!E42+MVTAVRIL25!E42+MVTMAI25!E42+MVTJUIN25!E42+MVTJUIL25!E42+MVTAOUT25!E42+MVTSEPT25!E42+MVTOCT25!E42+MVTNOV25!E42+MVTDEC25!E42</f>
        <v>100000</v>
      </c>
      <c r="F42" s="36">
        <f>MVTJANV25!F42+MVTFEV25!F42+MVTMARS25!F42+MVTAVRIL25!F42+MVTMAI25!F42+MVTJUIN25!F42+MVTJUIL25!F42+MVTAOUT25!F42+MVTSEPT25!F42+MVTOCT25!F42+MVTNOV25!F42+MVTDEC25!F42</f>
        <v>27317962.363029171</v>
      </c>
      <c r="G42" s="5">
        <f>MVTJANV25!G42+MVTFEV25!G42+MVTMARS25!G42+MVTAVRIL25!G42+MVTMAI25!G42+MVTJUIN25!G42+MVTJUIL25!G42+MVTAOUT25!G42+MVTSEPT25!G42+MVTOCT25!G42+MVTNOV25!G42+MVTDEC25!G42</f>
        <v>26838387.568158165</v>
      </c>
      <c r="H42" s="36">
        <f>MVTDEC24!H42+MVTJANV25!H42+MVTFEV25!H42+MVTMARS25!H42+MVTAVRIL25!H42+MVTMAI25!H42+MVTJUIN25!H42+MVTJUIL25!H42+MVTAOUT25!H42+MVTSEPT25!H42+MVTOCT25!H42+MVTNOV25!H42</f>
        <v>170658.37298084804</v>
      </c>
      <c r="I42" s="184">
        <f t="shared" si="0"/>
        <v>27488620.736010019</v>
      </c>
      <c r="J42" s="36">
        <f>MVTJANV25!J42+MVTFEV25!J42+MVTMARS25!J42+MVTAVRIL25!J42+MVTMAI25!J42+MVTJUIN25!J42+MVTJUIL25!J42+MVTAOUT25!J42+MVTSEPT25!J42+MVTOCT25!J42+MVTNOV25!J42+MVTDEC25!J42</f>
        <v>0</v>
      </c>
      <c r="K42" s="36">
        <f>MVTJANV25!K42+MVTFEV25!K42+MVTMARS25!K42+MVTAVRIL25!K42+MVTMAI25!K42+MVTJUIN25!K42+MVTJUIL25!K42+MVTAOUT25!K42+MVTSEPT25!K42+MVTOCT25!K42+MVTNOV25!K42+MVTDEC25!K42</f>
        <v>300000</v>
      </c>
      <c r="L42" s="36">
        <f>MVTJANV25!L42+MVTFEV25!L42+MVTMARS25!L42+MVTAVRIL25!L42+MVTMAI25!L42+MVTJUIN25!L42+MVTJUIL25!L42+MVTAOUT25!L42+MVTSEPT25!L42+MVTOCT25!L42+MVTNOV25!L42+MVTDEC25!L42</f>
        <v>228000</v>
      </c>
      <c r="M42" s="36">
        <f>MVTJANV25!M42+MVTFEV25!M42+MVTMARS25!M42+MVTAVRIL25!M42+MVTMAI25!M42+MVTJUIN25!M42+MVTJUIL25!M42+MVTAOUT25!M42+MVTSEPT25!M42+MVTOCT25!M42+MVTNOV25!M42+MVTDEC25!M42</f>
        <v>12000</v>
      </c>
      <c r="N42" s="36">
        <f>MVTJANV25!N42+MVTFEV25!N42+MVTMARS25!N42+MVTAVRIL25!N42+MVTMAI25!N42+MVTJUIN25!N42+MVTJUIL25!N42+MVTAOUT25!N42+MVTSEPT25!N42+MVTOCT25!N42+MVTNOV25!N42+MVTDEC25!N42</f>
        <v>12000</v>
      </c>
      <c r="O42" s="36">
        <f>MVTJANV25!O42+MVTFEV25!O42+MVTMARS25!O42+MVTAVRIL25!O42+MVTMAI25!O42+MVTJUIN25!O42+MVTJUIL25!O42+MVTAOUT25!O42+MVTSEPT25!O42+MVTOCT25!O42+MVTNOV25!O42+MVTDEC25!O42</f>
        <v>48000</v>
      </c>
      <c r="P42" s="36">
        <f>MVTJANV25!P42+MVTFEV25!P42+MVTMARS25!P42+MVTAVRIL25!P42+MVTMAI25!P42+MVTJUIN25!P42+MVTJUIL25!P42+MVTAOUT25!P42+MVTSEPT25!P42+MVTOCT25!P42+MVTNOV25!P42+MVTDEC25!P42</f>
        <v>0</v>
      </c>
      <c r="Q42" s="36">
        <f>MVTJANV25!Q42+MVTFEV25!Q42+MVTMARS25!Q42+MVTAVRIL25!Q42+MVTMAI25!Q42+MVTJUIN25!Q42+MVTJUIL25!Q42+MVTAOUT25!Q42+MVTSEPT25!Q42+MVTOCT25!Q42+MVTNOV25!Q42+MVTDEC25!Q42</f>
        <v>0</v>
      </c>
      <c r="R42" s="36">
        <f>MVTJANV25!R42+MVTFEV25!R42+MVTMARS25!R42+MVTAVRIL25!R42+MVTMAI25!R42+MVTJUIN25!R42+MVTJUIL25!R42+MVTAOUT25!R42+MVTSEPT25!R42+MVTOCT25!R42+MVTNOV25!R42+MVTDEC25!R42</f>
        <v>0</v>
      </c>
      <c r="S42" s="36">
        <f>MVTJANV25!S42+MVTFEV25!S42+MVTMARS25!S42+MVTAVRIL25!S42+MVTMAI25!S42+MVTJUIN25!S42+MVTJUIL25!S42+MVTAOUT25!S42+MVTSEPT25!S42+MVTOCT25!S42+MVTNOV25!S42+MVTDEC25!S42</f>
        <v>0</v>
      </c>
      <c r="T42" s="36">
        <f>MVTDEC24!T42+MVTJANV25!T42+MVTFEV25!T42+MVTMARS25!T42+MVTAVRIL25!T42+MVTMAI25!T42+MVTJUIN25!T42+MVTJUIL25!T42+MVTAOUT25!T42+MVTSEPT25!T42+MVTOCT25!T42+MVTNOV25!T42</f>
        <v>15000</v>
      </c>
      <c r="U42" s="36">
        <f>MVTJANV25!U42+MVTFEV25!U42+MVTMARS25!U42+MVTAVRIL25!U42+MVTMAI25!U42+MVTJUIN25!U42+MVTJUIL25!U42+MVTAOUT25!U42+MVTSEPT25!U42+MVTOCT25!U42+MVTNOV25!U42+MVTDEC25!U42</f>
        <v>0</v>
      </c>
      <c r="V42" s="36">
        <f>MVTJANV25!V42+MVTFEV25!V42+MVTMARS25!V42+MVTAVRIL25!V42+MVTMAI25!V42+MVTJUIN25!V42+MVTJUIL25!V42+MVTAOUT25!V42+MVTSEPT25!V42+MVTOCT25!V42+MVTNOV25!V42+MVTDEC25!V42</f>
        <v>500000</v>
      </c>
      <c r="W42" s="36">
        <f>S42-V42+500000</f>
        <v>0</v>
      </c>
      <c r="X42" s="36"/>
      <c r="Y42" s="36">
        <f>MVTJANV25!Y42+MVTFEV25!Y42+MVTMARS25!Y42+MVTAVRIL25!Y42+MVTMAI25!Y42+MVTJUIN25!Y42+MVTJUIL25!Y42+MVTAOUT25!Y42+MVTSEPT25!Y42+MVTOCT25!Y42+MVTNOV25!Y42+MVTDEC25!Y42</f>
        <v>0</v>
      </c>
      <c r="Z42" s="36">
        <f>MVTJANV25!Z42+MVTFEV25!Z42+MVTMARS25!Z42+MVTAVRIL25!Z42+MVTMAI25!Z42+MVTJUIN25!Z42+MVTJUIL25!Z42+MVTAOUT25!Z42+MVTSEPT25!Z42+MVTOCT25!Z42+MVTNOV25!Z42+MVTDEC25!Z42</f>
        <v>0</v>
      </c>
      <c r="AA42" s="36">
        <f>MVTJANV25!AA42+MVTFEV25!AA42+MVTMARS25!AA42+MVTAVRIL25!AA42+MVTMAI25!AA42+MVTJUIN25!AA42+MVTJUIL25!AA42+MVTAOUT25!AA42+MVTSEPT25!AA42+MVTOCT25!AA42+MVTNOV25!AA42+MVTDEC25!AA42</f>
        <v>0</v>
      </c>
      <c r="AB42" s="36">
        <f>MVTJANV25!AB42+MVTFEV25!AB42+MVTMARS25!AB42+MVTAVRIL25!AB42+MVTMAI25!AB42+MVTJUIN25!AB42+MVTJUIL25!AB42+MVTAOUT25!AB42+MVTSEPT25!AB42+MVTOCT25!AB42+MVTNOV25!AB42+MVTDEC25!AB42</f>
        <v>0</v>
      </c>
      <c r="AC42" s="36">
        <f>MVTJANV25!AC42+MVTFEV25!AC42+MVTMARS25!AC42+MVTAVRIL25!AC42+MVTMAI25!AC42+MVTJUIN25!AC42+MVTJUIL25!AC42+MVTAOUT25!AC42+MVTSEPT25!AC42+MVTOCT25!AC42+MVTNOV25!AC42+MVTDEC25!AC42</f>
        <v>0</v>
      </c>
      <c r="AD42" s="36">
        <f>MVTJANV25!AD42+MVTFEV25!AD42+MVTMARS25!AD42+MVTAVRIL25!AD42+MVTMAI25!AD42+MVTJUIN25!AD42+MVTJUIL25!AD42+MVTAOUT25!AD42+MVTSEPT25!AD42+MVTOCT25!AD42+MVTNOV25!AD42+MVTDEC25!AD42</f>
        <v>0</v>
      </c>
      <c r="AE42" s="36">
        <f>MVTJANV25!AE42+MVTFEV25!AE42+MVTMARS25!AE42+MVTAVRIL25!AE42+MVTMAI25!AE42+MVTJUIN25!AE42+MVTJUIL25!AE42+MVTAOUT25!AE42+MVTSEPT25!AE42+MVTOCT25!AE42+MVTNOV25!AE42+MVTDEC25!AE42</f>
        <v>0</v>
      </c>
      <c r="AF42" s="36">
        <f>MVTJANV25!AF42+MVTFEV25!AF42+MVTMARS25!AF42+MVTAVRIL25!AF42+MVTMAI25!AF42+MVTJUIN25!AF42+MVTJUIL25!AF42+MVTAOUT25!AF42+MVTSEPT25!AF42+MVTOCT25!AF42+MVTNOV25!AF42+MVTDEC25!AF42</f>
        <v>0</v>
      </c>
      <c r="AG42" s="36">
        <f>MVTJANV25!AG42+MVTFEV25!AG42+MVTMARS25!AG42+MVTAVRIL25!AG42+MVTMAI25!AG42+MVTJUIN25!AG42+MVTJUIL25!AG42+MVTAOUT25!AG42+MVTSEPT25!AG42+MVTOCT25!AG42+MVTNOV25!AG42+MVTDEC25!AG42</f>
        <v>0</v>
      </c>
      <c r="AH42" s="36">
        <f>MVTJANV25!AH42+MVTFEV25!AH42+MVTMARS25!AH42+MVTAVRIL25!AH42+MVTMAI25!AH42+MVTJUIN25!AH42+MVTJUIL25!AH42+MVTAOUT25!AH42+MVTSEPT25!AH42+MVTOCT25!AH42+MVTNOV25!AH42+MVTDEC25!AH42</f>
        <v>0</v>
      </c>
      <c r="AI42" s="36">
        <f>MVTJANV25!AI42+MVTFEV25!AI42+MVTMARS25!AI42+MVTAVRIL25!AI42+MVTMAI25!AI42+MVTJUIN25!AI42+MVTJUIL25!AI42+MVTAOUT25!AI42+MVTSEPT25!AI42+MVTOCT25!AI42+MVTNOV25!AI42+MVTDEC25!AI42</f>
        <v>0</v>
      </c>
      <c r="AJ42" s="36">
        <f>MVTJANV25!AJ42+MVTFEV25!AJ42+MVTMARS25!AJ42+MVTAVRIL25!AJ42+MVTMAI25!AJ42+MVTJUIN25!AJ42+MVTJUIL25!AJ42+MVTAOUT25!AJ42+MVTSEPT25!AJ42+MVTOCT25!AJ42+MVTNOV25!AJ42+MVTDEC25!AJ42</f>
        <v>0</v>
      </c>
      <c r="AK42" s="36">
        <f>MVTJANV25!AK42+MVTFEV25!AK42+MVTMARS25!AK42+MVTAVRIL25!AK42+MVTMAI25!AK42+MVTJUIN25!AK42+MVTJUIL25!AK42+MVTAOUT25!AK42+MVTSEPT25!AK42+MVTOCT25!AK42+MVTNOV25!AK42+MVTDEC25!AK42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3"/>
      <c r="L43" s="18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4">SUM(C6:C43)</f>
        <v>24000000</v>
      </c>
      <c r="D44" s="9">
        <f t="shared" si="4"/>
        <v>6596797</v>
      </c>
      <c r="E44" s="9">
        <f t="shared" si="4"/>
        <v>1300000</v>
      </c>
      <c r="F44" s="9">
        <f t="shared" si="4"/>
        <v>465821486</v>
      </c>
      <c r="G44" s="9">
        <f t="shared" si="4"/>
        <v>428902869</v>
      </c>
      <c r="H44" s="36">
        <f t="shared" si="4"/>
        <v>2493999.9999999995</v>
      </c>
      <c r="I44" s="9">
        <f t="shared" si="4"/>
        <v>468315485.99999994</v>
      </c>
      <c r="J44" s="9">
        <f t="shared" si="4"/>
        <v>5000</v>
      </c>
      <c r="K44" s="9">
        <f t="shared" si="4"/>
        <v>15395275</v>
      </c>
      <c r="L44" s="9">
        <f t="shared" si="4"/>
        <v>13327900</v>
      </c>
      <c r="M44" s="9">
        <f t="shared" si="4"/>
        <v>416000</v>
      </c>
      <c r="N44" s="9">
        <f t="shared" si="4"/>
        <v>416000</v>
      </c>
      <c r="O44" s="9">
        <f t="shared" si="4"/>
        <v>1664000</v>
      </c>
      <c r="P44" s="9">
        <f t="shared" si="4"/>
        <v>104000</v>
      </c>
      <c r="Q44" s="9">
        <f t="shared" si="4"/>
        <v>25000</v>
      </c>
      <c r="R44" s="9">
        <f t="shared" si="4"/>
        <v>120000</v>
      </c>
      <c r="S44" s="9">
        <f t="shared" si="4"/>
        <v>35350000</v>
      </c>
      <c r="T44" s="9">
        <f t="shared" si="4"/>
        <v>2494000</v>
      </c>
      <c r="U44" s="9">
        <f t="shared" si="4"/>
        <v>0</v>
      </c>
      <c r="V44" s="9">
        <f t="shared" si="4"/>
        <v>35081500</v>
      </c>
      <c r="W44" s="9">
        <f t="shared" si="4"/>
        <v>3835000</v>
      </c>
      <c r="X44" s="9"/>
      <c r="Y44" s="9">
        <f t="shared" si="4"/>
        <v>0</v>
      </c>
      <c r="Z44" s="9">
        <f t="shared" si="4"/>
        <v>150000</v>
      </c>
      <c r="AA44" s="9">
        <f t="shared" si="4"/>
        <v>0</v>
      </c>
      <c r="AB44" s="9">
        <f t="shared" si="4"/>
        <v>0</v>
      </c>
      <c r="AC44" s="9">
        <f t="shared" si="4"/>
        <v>0</v>
      </c>
      <c r="AD44" s="9">
        <f t="shared" si="4"/>
        <v>0</v>
      </c>
      <c r="AE44" s="9">
        <f t="shared" si="4"/>
        <v>475000</v>
      </c>
      <c r="AF44" s="9">
        <f t="shared" si="4"/>
        <v>266000</v>
      </c>
      <c r="AG44" s="9">
        <f t="shared" si="4"/>
        <v>200000</v>
      </c>
      <c r="AH44" s="9">
        <f t="shared" si="4"/>
        <v>1060000</v>
      </c>
      <c r="AI44" s="9">
        <f t="shared" si="4"/>
        <v>1270000</v>
      </c>
      <c r="AJ44" s="9">
        <f t="shared" si="4"/>
        <v>150000</v>
      </c>
      <c r="AK44" s="9">
        <f t="shared" si="4"/>
        <v>0</v>
      </c>
      <c r="AL44" s="9">
        <f t="shared" si="4"/>
        <v>801000</v>
      </c>
    </row>
  </sheetData>
  <autoFilter ref="A5:V42" xr:uid="{00000000-0009-0000-0000-000006000000}">
    <sortState ref="A5:L50">
      <sortCondition ref="B5:B50"/>
    </sortState>
  </autoFilter>
  <mergeCells count="1">
    <mergeCell ref="AL1:AM1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44"/>
  <sheetViews>
    <sheetView workbookViewId="0">
      <pane xSplit="2" ySplit="5" topLeftCell="G33" activePane="bottomRight" state="frozen"/>
      <selection activeCell="B43" sqref="B43"/>
      <selection pane="topRight" activeCell="B43" sqref="B43"/>
      <selection pane="bottomLeft" activeCell="B43" sqref="B43"/>
      <selection pane="bottomRight" activeCell="A35" sqref="A35:XFD3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0" bestFit="1" customWidth="1"/>
    <col min="12" max="12" width="17.54296875" style="150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49"/>
      <c r="K4" s="192">
        <v>45308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/>
      <c r="F6" s="36">
        <f>MVTDEC23!I6-E6+L6</f>
        <v>933890.06662104558</v>
      </c>
      <c r="G6" s="5">
        <f>IF(MVTDEC23!I6&gt;700000,(MVTDEC23!I6-E6+L6),0)</f>
        <v>933890.06662104558</v>
      </c>
      <c r="H6" s="36">
        <f t="shared" ref="H6:H39" si="0">$T$41/$G$41*G6</f>
        <v>6975.4104309926497</v>
      </c>
      <c r="I6" s="6">
        <f>F6+H6</f>
        <v>940865.47705203819</v>
      </c>
      <c r="J6" s="36">
        <f>VLOOKUP($A6,[29]HISTOJANV24!$A$6:$AQ$42,22,0)</f>
        <v>0</v>
      </c>
      <c r="K6" s="36">
        <f>VLOOKUP($A6,[29]HISTOJANV24!$A$6:$AU$38,45,0)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VLOOKUP($A6,[29]HISTOJANV24!$A$6:$AU$38,7,0)</f>
        <v>0</v>
      </c>
      <c r="Q6" s="36">
        <f>VLOOKUP($A6,[29]HISTOJANV24!$A$6:$AU$38,23,0)</f>
        <v>0</v>
      </c>
      <c r="R6" s="36">
        <f>VLOOKUP($A6,[29]HISTOJANV24!$A$6:$AU$38,46,0)</f>
        <v>0</v>
      </c>
      <c r="S6" s="36">
        <f>VLOOKUP($A6,[29]HISTOJANV24!$A$6:$AU$38,26,0)</f>
        <v>0</v>
      </c>
      <c r="T6" s="36">
        <f>VLOOKUP($A6,[29]HISTOJANV24!$A$6:$BG$38,58,0)</f>
        <v>0</v>
      </c>
      <c r="U6" s="36">
        <f>VLOOKUP($A6,[29]HISTOJANV24!$A$6:$AU$38,28,0)</f>
        <v>0</v>
      </c>
      <c r="V6" s="36">
        <f>VLOOKUP($A6,[29]HISTOJANV24!$A$6:$AU$38,19,0)</f>
        <v>0</v>
      </c>
      <c r="W6" s="36">
        <f>VLOOKUP($A6,[29]HISTOJANV24!$A$6:$AU$38,20,0)</f>
        <v>0</v>
      </c>
      <c r="X6" s="36">
        <f>VLOOKUP($A6,[29]HISTOJANV24!$A$6:$AU$38,27,0)</f>
        <v>0</v>
      </c>
      <c r="Y6" s="36">
        <f>VLOOKUP($A6,[29]HISTOJANV24!$A$6:$BM$38,33,0)</f>
        <v>0</v>
      </c>
      <c r="Z6" s="36">
        <f>VLOOKUP($A6,[29]HISTOJANV24!$A$6:$BM$38,65,0)</f>
        <v>0</v>
      </c>
      <c r="AA6" s="36"/>
      <c r="AB6" s="36">
        <f>VLOOKUP($A6,[29]HISTOJANV24!$A$6:$AU$38,43,0)</f>
        <v>0</v>
      </c>
      <c r="AC6" s="36">
        <f>VLOOKUP($A6,[29]HISTOJANV24!$A$6:$AU$38,44,0)</f>
        <v>0</v>
      </c>
      <c r="AD6" s="36">
        <f>VLOOKUP($A6,[29]HISTOJANV24!$A$6:$AU$38,47,0)</f>
        <v>0</v>
      </c>
      <c r="AE6" s="36">
        <f>VLOOKUP(A6,[29]HISTOJANV24!$A$6:$BB$38,54,0)</f>
        <v>0</v>
      </c>
      <c r="AF6" s="36">
        <f>VLOOKUP($A6,[29]HISTOJANV24!$A$6:$CB$38,60,0)</f>
        <v>27000</v>
      </c>
      <c r="AG6" s="36">
        <f>VLOOKUP($A6,[29]HISTOJANV24!$A$6:$CB$38,61,0)</f>
        <v>200000</v>
      </c>
      <c r="AH6" s="36">
        <f>VLOOKUP($A6,[29]HISTOJANV24!$A$6:$CB$38,62,0)</f>
        <v>0</v>
      </c>
      <c r="AI6" s="36">
        <f>VLOOKUP($A6,[29]HISTOJANV24!$A$6:$CB$38,63,0)</f>
        <v>0</v>
      </c>
      <c r="AJ6" s="36">
        <f>VLOOKUP($A6,[29]HISTOJANV24!$A$6:$CB$38,64,0)</f>
        <v>0</v>
      </c>
      <c r="AK6" s="36">
        <f>VLOOKUP($A6,[29]HISTOJANV24!$A$6:$CB$38,65,0)</f>
        <v>0</v>
      </c>
      <c r="AL6" s="36">
        <f>VLOOKUP($A6,[29]HISTOJANV24!$A$6:$CB$38,66,0)</f>
        <v>300000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VLOOKUP($A7,[29]HISTOJANV24!$A$6:$BA$38,48,0)</f>
        <v>0</v>
      </c>
      <c r="F7" s="36">
        <f>MVTDEC23!I7-E7+L7</f>
        <v>697482</v>
      </c>
      <c r="G7" s="5">
        <f>IF(MVTDEC23!I7&gt;700000,(MVTDEC23!I7-E7+L7),0)</f>
        <v>0</v>
      </c>
      <c r="H7" s="36">
        <f t="shared" si="0"/>
        <v>0</v>
      </c>
      <c r="I7" s="6">
        <f t="shared" ref="I7:I39" si="2">F7+H7</f>
        <v>697482</v>
      </c>
      <c r="J7" s="36">
        <f>VLOOKUP($A7,[29]HISTOJANV24!$A$6:$AQ$42,22,0)</f>
        <v>0</v>
      </c>
      <c r="K7" s="36">
        <f>VLOOKUP($A7,[29]HISTOJANV24!$A$6:$AU$38,45,0)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" si="3">IF(K7=0,0,1000)</f>
        <v>1000</v>
      </c>
      <c r="O7" s="36">
        <f>IF(K7=0,0,4000)</f>
        <v>4000</v>
      </c>
      <c r="P7" s="36">
        <f>VLOOKUP($A7,[29]HISTOJANV24!$A$6:$AU$38,7,0)</f>
        <v>0</v>
      </c>
      <c r="Q7" s="36">
        <f>VLOOKUP($A7,[29]HISTOJANV24!$A$6:$AU$38,23,0)</f>
        <v>0</v>
      </c>
      <c r="R7" s="36">
        <f>VLOOKUP($A7,[29]HISTOJANV24!$A$6:$AU$38,46,0)</f>
        <v>0</v>
      </c>
      <c r="S7" s="36">
        <f>VLOOKUP($A7,[29]HISTOJANV24!$A$6:$AU$38,26,0)</f>
        <v>0</v>
      </c>
      <c r="T7" s="36">
        <f>VLOOKUP($A7,[29]HISTOJANV24!$A$6:$BG$38,58,0)</f>
        <v>6000</v>
      </c>
      <c r="U7" s="36">
        <f>VLOOKUP($A7,[29]HISTOJANV24!$A$6:$AU$38,28,0)</f>
        <v>0</v>
      </c>
      <c r="V7" s="36">
        <f>VLOOKUP($A7,[29]HISTOJANV24!$A$6:$AU$38,19,0)</f>
        <v>0</v>
      </c>
      <c r="W7" s="36">
        <f>VLOOKUP($A7,[29]HISTOJANV24!$A$6:$AU$38,20,0)</f>
        <v>0</v>
      </c>
      <c r="X7" s="36">
        <f>VLOOKUP($A7,[29]HISTOJANV24!$A$6:$AU$38,27,0)</f>
        <v>0</v>
      </c>
      <c r="Y7" s="36">
        <f>VLOOKUP($A7,[29]HISTOJANV24!$A$6:$BM$38,33,0)</f>
        <v>0</v>
      </c>
      <c r="Z7" s="36">
        <f>VLOOKUP($A7,[29]HISTOJANV24!$A$6:$BM$38,65,0)</f>
        <v>0</v>
      </c>
      <c r="AA7" s="36"/>
      <c r="AB7" s="36">
        <f>VLOOKUP($A7,[29]HISTOJANV24!$A$6:$AU$38,43,0)</f>
        <v>0</v>
      </c>
      <c r="AC7" s="36">
        <f>VLOOKUP($A7,[29]HISTOJANV24!$A$6:$AU$38,44,0)</f>
        <v>0</v>
      </c>
      <c r="AD7" s="36">
        <f>VLOOKUP($A7,[29]HISTOJANV24!$A$6:$AU$38,47,0)</f>
        <v>0</v>
      </c>
      <c r="AE7" s="36">
        <f>VLOOKUP(A7,[29]HISTOJANV24!$A$6:$BB$38,54,0)</f>
        <v>0</v>
      </c>
      <c r="AF7" s="36">
        <f>VLOOKUP($A7,[29]HISTOJANV24!$A$6:$CB$38,60,0)</f>
        <v>0</v>
      </c>
      <c r="AG7" s="36">
        <f>VLOOKUP($A7,[29]HISTOJANV24!$A$6:$CB$38,61,0)</f>
        <v>0</v>
      </c>
      <c r="AH7" s="36">
        <f>VLOOKUP($A7,[29]HISTOJANV24!$A$6:$CB$38,62,0)</f>
        <v>0</v>
      </c>
      <c r="AI7" s="36">
        <f>VLOOKUP($A7,[29]HISTOJANV24!$A$6:$CB$38,63,0)</f>
        <v>0</v>
      </c>
      <c r="AJ7" s="36">
        <f>VLOOKUP($A7,[29]HISTOJANV24!$A$6:$CB$38,64,0)</f>
        <v>0</v>
      </c>
      <c r="AK7" s="36">
        <f>VLOOKUP($A7,[29]HISTOJANV24!$A$6:$CB$38,65,0)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VLOOKUP($A8,[29]HISTOJANV24!$A$6:$BA$38,48,0)</f>
        <v>0</v>
      </c>
      <c r="F8" s="36">
        <f>MVTDEC23!I8-E8+L8</f>
        <v>756435.79352634365</v>
      </c>
      <c r="G8" s="5">
        <f>IF(MVTDEC23!I8&gt;700000,(MVTDEC23!I8-E8+L8),0)</f>
        <v>756435.79352634365</v>
      </c>
      <c r="H8" s="36">
        <f t="shared" si="0"/>
        <v>5649.9692127905892</v>
      </c>
      <c r="I8" s="6">
        <f t="shared" si="2"/>
        <v>762085.76273913425</v>
      </c>
      <c r="J8" s="36">
        <f>VLOOKUP($A8,[29]HISTOJANV24!$A$6:$AQ$42,22,0)</f>
        <v>0</v>
      </c>
      <c r="K8" s="36">
        <f>VLOOKUP($A8,[29]HISTOJANV24!$A$6:$AU$38,45,0)</f>
        <v>25000</v>
      </c>
      <c r="L8" s="36">
        <f t="shared" ref="L8:L39" si="4">IF(K8=0,0,K8-(M8+N8+O8))</f>
        <v>19000</v>
      </c>
      <c r="M8" s="36">
        <f t="shared" ref="M8:M39" si="5">IF(K8=0,0,1000)</f>
        <v>1000</v>
      </c>
      <c r="N8" s="36">
        <f t="shared" ref="N8:N39" si="6">IF(K8=0,0,1000)</f>
        <v>1000</v>
      </c>
      <c r="O8" s="36">
        <f t="shared" ref="O8:O39" si="7">IF(K8=0,0,4000)</f>
        <v>4000</v>
      </c>
      <c r="P8" s="36">
        <f>VLOOKUP($A8,[29]HISTOJANV24!$A$6:$AU$38,7,0)</f>
        <v>0</v>
      </c>
      <c r="Q8" s="36">
        <f>VLOOKUP($A8,[29]HISTOJANV24!$A$6:$AU$38,23,0)</f>
        <v>0</v>
      </c>
      <c r="R8" s="36">
        <f>VLOOKUP($A8,[29]HISTOJANV24!$A$6:$AU$38,46,0)</f>
        <v>0</v>
      </c>
      <c r="S8" s="36">
        <f>VLOOKUP($A8,[29]HISTOJANV24!$A$6:$AU$38,26,0)</f>
        <v>0</v>
      </c>
      <c r="T8" s="36">
        <f>VLOOKUP($A8,[29]HISTOJANV24!$A$6:$BG$38,58,0)</f>
        <v>0</v>
      </c>
      <c r="U8" s="36">
        <f>VLOOKUP($A8,[29]HISTOJANV24!$A$6:$AU$38,28,0)</f>
        <v>0</v>
      </c>
      <c r="V8" s="36">
        <f>VLOOKUP($A8,[29]HISTOJANV24!$A$6:$AU$38,19,0)</f>
        <v>0</v>
      </c>
      <c r="W8" s="36">
        <f>VLOOKUP($A8,[29]HISTOJANV24!$A$6:$AU$38,20,0)</f>
        <v>0</v>
      </c>
      <c r="X8" s="36">
        <f>VLOOKUP($A8,[29]HISTOJANV24!$A$6:$AU$38,27,0)</f>
        <v>0</v>
      </c>
      <c r="Y8" s="36">
        <f>VLOOKUP($A8,[29]HISTOJANV24!$A$6:$BM$38,33,0)</f>
        <v>0</v>
      </c>
      <c r="Z8" s="36">
        <f>VLOOKUP($A8,[29]HISTOJANV24!$A$6:$BM$38,65,0)</f>
        <v>0</v>
      </c>
      <c r="AA8" s="36"/>
      <c r="AB8" s="36">
        <f>VLOOKUP($A8,[29]HISTOJANV24!$A$6:$AU$38,43,0)</f>
        <v>0</v>
      </c>
      <c r="AC8" s="36">
        <f>VLOOKUP($A8,[29]HISTOJANV24!$A$6:$AU$38,44,0)</f>
        <v>0</v>
      </c>
      <c r="AD8" s="36">
        <f>VLOOKUP($A8,[29]HISTOJANV24!$A$6:$AU$38,47,0)</f>
        <v>0</v>
      </c>
      <c r="AE8" s="36">
        <f>VLOOKUP(A8,[29]HISTOJANV24!$A$6:$BB$38,54,0)</f>
        <v>0</v>
      </c>
      <c r="AF8" s="36">
        <f>VLOOKUP($A8,[29]HISTOJANV24!$A$6:$CB$38,60,0)</f>
        <v>0</v>
      </c>
      <c r="AG8" s="36">
        <f>VLOOKUP($A8,[29]HISTOJANV24!$A$6:$CB$38,61,0)</f>
        <v>0</v>
      </c>
      <c r="AH8" s="36">
        <f>VLOOKUP($A8,[29]HISTOJANV24!$A$6:$CB$38,62,0)</f>
        <v>0</v>
      </c>
      <c r="AI8" s="36">
        <f>VLOOKUP($A8,[29]HISTOJANV24!$A$6:$CB$38,63,0)</f>
        <v>0</v>
      </c>
      <c r="AJ8" s="36">
        <f>VLOOKUP($A8,[29]HISTOJANV24!$A$6:$CB$38,64,0)</f>
        <v>0</v>
      </c>
      <c r="AK8" s="36">
        <f>VLOOKUP($A8,[29]HISTOJANV24!$A$6:$CB$38,65,0)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VLOOKUP($A9,[29]HISTOJANV24!$A$6:$BA$38,48,0)</f>
        <v>0</v>
      </c>
      <c r="F9" s="36">
        <f>MVTDEC23!I9-E9+L9</f>
        <v>812609.62440502481</v>
      </c>
      <c r="G9" s="5">
        <f>IF(MVTDEC23!I9&gt;700000,(MVTDEC23!I9-E9+L9),0)</f>
        <v>812609.62440502481</v>
      </c>
      <c r="H9" s="36">
        <f t="shared" si="0"/>
        <v>6069.5427149241859</v>
      </c>
      <c r="I9" s="6">
        <f t="shared" si="2"/>
        <v>818679.16711994901</v>
      </c>
      <c r="J9" s="36">
        <f>VLOOKUP($A9,[29]HISTOJANV24!$A$6:$AQ$42,22,0)</f>
        <v>0</v>
      </c>
      <c r="K9" s="36">
        <f>VLOOKUP($A9,[29]HISTOJANV24!$A$6:$AU$38,45,0)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6"/>
        <v>1000</v>
      </c>
      <c r="O9" s="36">
        <f t="shared" si="7"/>
        <v>4000</v>
      </c>
      <c r="P9" s="36">
        <f>VLOOKUP($A9,[29]HISTOJANV24!$A$6:$AU$38,7,0)</f>
        <v>0</v>
      </c>
      <c r="Q9" s="36">
        <f>VLOOKUP($A9,[29]HISTOJANV24!$A$6:$AU$38,23,0)</f>
        <v>0</v>
      </c>
      <c r="R9" s="36">
        <f>VLOOKUP($A9,[29]HISTOJANV24!$A$6:$AU$38,46,0)</f>
        <v>0</v>
      </c>
      <c r="S9" s="36">
        <f>VLOOKUP($A9,[29]HISTOJANV24!$A$6:$AU$38,26,0)</f>
        <v>0</v>
      </c>
      <c r="T9" s="36">
        <f>VLOOKUP($A9,[29]HISTOJANV24!$A$6:$BG$38,58,0)</f>
        <v>0</v>
      </c>
      <c r="U9" s="36">
        <f>VLOOKUP($A9,[29]HISTOJANV24!$A$6:$AU$38,28,0)</f>
        <v>0</v>
      </c>
      <c r="V9" s="36">
        <f>VLOOKUP($A9,[29]HISTOJANV24!$A$6:$AU$38,19,0)</f>
        <v>0</v>
      </c>
      <c r="W9" s="36">
        <f>VLOOKUP($A9,[29]HISTOJANV24!$A$6:$AU$38,20,0)</f>
        <v>0</v>
      </c>
      <c r="X9" s="36">
        <f>VLOOKUP($A9,[29]HISTOJANV24!$A$6:$AU$38,27,0)</f>
        <v>0</v>
      </c>
      <c r="Y9" s="36">
        <f>VLOOKUP($A9,[29]HISTOJANV24!$A$6:$BM$38,33,0)</f>
        <v>0</v>
      </c>
      <c r="Z9" s="36">
        <f>VLOOKUP($A9,[29]HISTOJANV24!$A$6:$BM$38,65,0)</f>
        <v>0</v>
      </c>
      <c r="AA9" s="36"/>
      <c r="AB9" s="36">
        <f>VLOOKUP($A9,[29]HISTOJANV24!$A$6:$AU$38,43,0)</f>
        <v>0</v>
      </c>
      <c r="AC9" s="36">
        <f>VLOOKUP($A9,[29]HISTOJANV24!$A$6:$AU$38,44,0)</f>
        <v>0</v>
      </c>
      <c r="AD9" s="36">
        <f>VLOOKUP($A9,[29]HISTOJANV24!$A$6:$AU$38,47,0)</f>
        <v>0</v>
      </c>
      <c r="AE9" s="36">
        <f>VLOOKUP(A9,[29]HISTOJANV24!$A$6:$BB$38,54,0)</f>
        <v>0</v>
      </c>
      <c r="AF9" s="36">
        <f>VLOOKUP($A9,[29]HISTOJANV24!$A$6:$CB$38,60,0)</f>
        <v>0</v>
      </c>
      <c r="AG9" s="36">
        <f>VLOOKUP($A9,[29]HISTOJANV24!$A$6:$CB$38,61,0)</f>
        <v>0</v>
      </c>
      <c r="AH9" s="36">
        <f>VLOOKUP($A9,[29]HISTOJANV24!$A$6:$CB$38,62,0)</f>
        <v>0</v>
      </c>
      <c r="AI9" s="36">
        <f>VLOOKUP($A9,[29]HISTOJANV24!$A$6:$CB$38,63,0)</f>
        <v>0</v>
      </c>
      <c r="AJ9" s="36">
        <f>VLOOKUP($A9,[29]HISTOJANV24!$A$6:$CB$38,64,0)</f>
        <v>0</v>
      </c>
      <c r="AK9" s="36">
        <f>VLOOKUP($A9,[29]HISTOJANV24!$A$6:$CB$38,65,0)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VLOOKUP($A10,[29]HISTOJANV24!$A$6:$BA$38,48,0)</f>
        <v>0</v>
      </c>
      <c r="F10" s="36">
        <f>MVTDEC23!I10-E10+L10</f>
        <v>756711.32129921939</v>
      </c>
      <c r="G10" s="5">
        <f>IF(MVTDEC23!I10&gt;700000,(MVTDEC23!I10-E10+L10),0)</f>
        <v>756711.32129921939</v>
      </c>
      <c r="H10" s="36">
        <f t="shared" si="0"/>
        <v>5652.0271844616018</v>
      </c>
      <c r="I10" s="6">
        <f t="shared" si="2"/>
        <v>762363.34848368098</v>
      </c>
      <c r="J10" s="36">
        <f>VLOOKUP($A10,[29]HISTOJANV24!$A$6:$AQ$42,22,0)</f>
        <v>0</v>
      </c>
      <c r="K10" s="36">
        <f>VLOOKUP($A10,[29]HISTOJANV24!$A$6:$AU$38,45,0)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6"/>
        <v>1000</v>
      </c>
      <c r="O10" s="36">
        <f t="shared" si="7"/>
        <v>4000</v>
      </c>
      <c r="P10" s="36">
        <f>VLOOKUP($A10,[29]HISTOJANV24!$A$6:$AU$38,7,0)</f>
        <v>0</v>
      </c>
      <c r="Q10" s="36">
        <f>VLOOKUP($A10,[29]HISTOJANV24!$A$6:$AU$38,23,0)</f>
        <v>0</v>
      </c>
      <c r="R10" s="36">
        <f>VLOOKUP($A10,[29]HISTOJANV24!$A$6:$AU$38,46,0)</f>
        <v>0</v>
      </c>
      <c r="S10" s="36">
        <f>VLOOKUP($A10,[29]HISTOJANV24!$A$6:$AU$38,26,0)</f>
        <v>0</v>
      </c>
      <c r="T10" s="36">
        <f>VLOOKUP($A10,[29]HISTOJANV24!$A$6:$BG$38,58,0)</f>
        <v>0</v>
      </c>
      <c r="U10" s="36">
        <f>VLOOKUP($A10,[29]HISTOJANV24!$A$6:$AU$38,28,0)</f>
        <v>0</v>
      </c>
      <c r="V10" s="36">
        <f>VLOOKUP($A10,[29]HISTOJANV24!$A$6:$AU$38,19,0)</f>
        <v>0</v>
      </c>
      <c r="W10" s="36">
        <f>VLOOKUP($A10,[29]HISTOJANV24!$A$6:$AU$38,20,0)</f>
        <v>0</v>
      </c>
      <c r="X10" s="36">
        <f>VLOOKUP($A10,[29]HISTOJANV24!$A$6:$AU$38,27,0)</f>
        <v>0</v>
      </c>
      <c r="Y10" s="36">
        <f>VLOOKUP($A10,[29]HISTOJANV24!$A$6:$BM$38,33,0)</f>
        <v>0</v>
      </c>
      <c r="Z10" s="36">
        <f>VLOOKUP($A10,[29]HISTOJANV24!$A$6:$BM$38,65,0)</f>
        <v>0</v>
      </c>
      <c r="AA10" s="36"/>
      <c r="AB10" s="36">
        <f>VLOOKUP($A10,[29]HISTOJANV24!$A$6:$AU$38,43,0)</f>
        <v>0</v>
      </c>
      <c r="AC10" s="36">
        <f>VLOOKUP($A10,[29]HISTOJANV24!$A$6:$AU$38,44,0)</f>
        <v>0</v>
      </c>
      <c r="AD10" s="36">
        <f>VLOOKUP($A10,[29]HISTOJANV24!$A$6:$AU$38,47,0)</f>
        <v>0</v>
      </c>
      <c r="AE10" s="36">
        <f>VLOOKUP(A10,[29]HISTOJANV24!$A$6:$BB$38,54,0)</f>
        <v>0</v>
      </c>
      <c r="AF10" s="36">
        <f>VLOOKUP($A10,[29]HISTOJANV24!$A$6:$CB$38,60,0)</f>
        <v>0</v>
      </c>
      <c r="AG10" s="36">
        <f>VLOOKUP($A10,[29]HISTOJANV24!$A$6:$CB$38,61,0)</f>
        <v>0</v>
      </c>
      <c r="AH10" s="36">
        <f>VLOOKUP($A10,[29]HISTOJANV24!$A$6:$CB$38,62,0)</f>
        <v>0</v>
      </c>
      <c r="AI10" s="36">
        <f>VLOOKUP($A10,[29]HISTOJANV24!$A$6:$CB$38,63,0)</f>
        <v>0</v>
      </c>
      <c r="AJ10" s="36">
        <f>VLOOKUP($A10,[29]HISTOJANV24!$A$6:$CB$38,64,0)</f>
        <v>0</v>
      </c>
      <c r="AK10" s="36">
        <f>VLOOKUP($A10,[29]HISTOJANV24!$A$6:$CB$38,65,0)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VLOOKUP($A11,[29]HISTOJANV24!$A$6:$BA$38,48,0)</f>
        <v>0</v>
      </c>
      <c r="F11" s="36">
        <f>MVTDEC23!I11-E11+L11</f>
        <v>758715.03821572172</v>
      </c>
      <c r="G11" s="5">
        <f>IF(MVTDEC23!I11&gt;700000,(MVTDEC23!I11-E11+L11),0)</f>
        <v>758715.03821572172</v>
      </c>
      <c r="H11" s="36">
        <f t="shared" si="0"/>
        <v>5666.9933441624926</v>
      </c>
      <c r="I11" s="6">
        <f t="shared" si="2"/>
        <v>764382.0315598842</v>
      </c>
      <c r="J11" s="36">
        <f>VLOOKUP($A11,[29]HISTOJANV24!$A$6:$AQ$42,22,0)</f>
        <v>0</v>
      </c>
      <c r="K11" s="36">
        <f>VLOOKUP($A11,[29]HISTOJANV24!$A$6:$AU$38,45,0)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6"/>
        <v>1000</v>
      </c>
      <c r="O11" s="36">
        <f t="shared" si="7"/>
        <v>4000</v>
      </c>
      <c r="P11" s="36">
        <f>VLOOKUP($A11,[29]HISTOJANV24!$A$6:$AU$38,7,0)</f>
        <v>0</v>
      </c>
      <c r="Q11" s="36">
        <f>VLOOKUP($A11,[29]HISTOJANV24!$A$6:$AU$38,23,0)</f>
        <v>0</v>
      </c>
      <c r="R11" s="36">
        <f>VLOOKUP($A11,[29]HISTOJANV24!$A$6:$AU$38,46,0)</f>
        <v>0</v>
      </c>
      <c r="S11" s="36">
        <f>VLOOKUP($A11,[29]HISTOJANV24!$A$6:$AU$38,26,0)</f>
        <v>0</v>
      </c>
      <c r="T11" s="36">
        <f>VLOOKUP($A11,[29]HISTOJANV24!$A$6:$BG$38,58,0)</f>
        <v>0</v>
      </c>
      <c r="U11" s="36">
        <f>VLOOKUP($A11,[29]HISTOJANV24!$A$6:$AU$38,28,0)</f>
        <v>0</v>
      </c>
      <c r="V11" s="36">
        <f>VLOOKUP($A11,[29]HISTOJANV24!$A$6:$AU$38,19,0)</f>
        <v>0</v>
      </c>
      <c r="W11" s="36">
        <f>VLOOKUP($A11,[29]HISTOJANV24!$A$6:$AU$38,20,0)</f>
        <v>0</v>
      </c>
      <c r="X11" s="36">
        <f>VLOOKUP($A11,[29]HISTOJANV24!$A$6:$AU$38,27,0)</f>
        <v>0</v>
      </c>
      <c r="Y11" s="36">
        <f>VLOOKUP($A11,[29]HISTOJANV24!$A$6:$BM$38,33,0)</f>
        <v>0</v>
      </c>
      <c r="Z11" s="36">
        <f>VLOOKUP($A11,[29]HISTOJANV24!$A$6:$BM$38,65,0)</f>
        <v>0</v>
      </c>
      <c r="AA11" s="36"/>
      <c r="AB11" s="36">
        <f>VLOOKUP($A11,[29]HISTOJANV24!$A$6:$AU$38,43,0)</f>
        <v>0</v>
      </c>
      <c r="AC11" s="36">
        <f>VLOOKUP($A11,[29]HISTOJANV24!$A$6:$AU$38,44,0)</f>
        <v>0</v>
      </c>
      <c r="AD11" s="36">
        <f>VLOOKUP($A11,[29]HISTOJANV24!$A$6:$AU$38,47,0)</f>
        <v>0</v>
      </c>
      <c r="AE11" s="36">
        <f>VLOOKUP(A11,[29]HISTOJANV24!$A$6:$BB$38,54,0)</f>
        <v>0</v>
      </c>
      <c r="AF11" s="36">
        <f>VLOOKUP($A11,[29]HISTOJANV24!$A$6:$CB$38,60,0)</f>
        <v>0</v>
      </c>
      <c r="AG11" s="36">
        <f>VLOOKUP($A11,[29]HISTOJANV24!$A$6:$CB$38,61,0)</f>
        <v>0</v>
      </c>
      <c r="AH11" s="36">
        <f>VLOOKUP($A11,[29]HISTOJANV24!$A$6:$CB$38,62,0)</f>
        <v>0</v>
      </c>
      <c r="AI11" s="36">
        <f>VLOOKUP($A11,[29]HISTOJANV24!$A$6:$CB$38,63,0)</f>
        <v>0</v>
      </c>
      <c r="AJ11" s="36">
        <f>VLOOKUP($A11,[29]HISTOJANV24!$A$6:$CB$38,64,0)</f>
        <v>0</v>
      </c>
      <c r="AK11" s="36">
        <f>VLOOKUP($A11,[29]HISTOJANV24!$A$6:$CB$38,65,0)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VLOOKUP($A12,[29]HISTOJANV24!$A$6:$BA$38,48,0)</f>
        <v>0</v>
      </c>
      <c r="F12" s="36">
        <f>MVTDEC23!I12-E12+L12</f>
        <v>776689.61706896778</v>
      </c>
      <c r="G12" s="5">
        <f>IF(MVTDEC23!I12&gt;700000,(MVTDEC23!I12-E12+L12),0)</f>
        <v>776689.61706896778</v>
      </c>
      <c r="H12" s="36">
        <f t="shared" si="0"/>
        <v>5801.2490443856213</v>
      </c>
      <c r="I12" s="6">
        <f t="shared" si="2"/>
        <v>782490.8661133534</v>
      </c>
      <c r="J12" s="36">
        <f>VLOOKUP($A12,[29]HISTOJANV24!$A$6:$AQ$42,22,0)</f>
        <v>0</v>
      </c>
      <c r="K12" s="36">
        <f>VLOOKUP($A12,[29]HISTOJANV24!$A$6:$AU$38,45,0)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6"/>
        <v>1000</v>
      </c>
      <c r="O12" s="36">
        <f t="shared" si="7"/>
        <v>4000</v>
      </c>
      <c r="P12" s="36">
        <f>VLOOKUP($A12,[29]HISTOJANV24!$A$6:$AU$38,7,0)</f>
        <v>0</v>
      </c>
      <c r="Q12" s="36">
        <f>VLOOKUP($A12,[29]HISTOJANV24!$A$6:$AU$38,23,0)</f>
        <v>0</v>
      </c>
      <c r="R12" s="36">
        <f>VLOOKUP($A12,[29]HISTOJANV24!$A$6:$AU$38,46,0)</f>
        <v>0</v>
      </c>
      <c r="S12" s="36">
        <f>VLOOKUP($A12,[29]HISTOJANV24!$A$6:$AU$38,26,0)</f>
        <v>0</v>
      </c>
      <c r="T12" s="36">
        <f>VLOOKUP($A12,[29]HISTOJANV24!$A$6:$BG$38,58,0)</f>
        <v>0</v>
      </c>
      <c r="U12" s="36">
        <f>VLOOKUP($A12,[29]HISTOJANV24!$A$6:$AU$38,28,0)</f>
        <v>0</v>
      </c>
      <c r="V12" s="36">
        <f>VLOOKUP($A12,[29]HISTOJANV24!$A$6:$AU$38,19,0)</f>
        <v>0</v>
      </c>
      <c r="W12" s="36">
        <f>VLOOKUP($A12,[29]HISTOJANV24!$A$6:$AU$38,20,0)</f>
        <v>0</v>
      </c>
      <c r="X12" s="36">
        <f>VLOOKUP($A12,[29]HISTOJANV24!$A$6:$AU$38,27,0)</f>
        <v>0</v>
      </c>
      <c r="Y12" s="36">
        <f>VLOOKUP($A12,[29]HISTOJANV24!$A$6:$BM$38,33,0)</f>
        <v>0</v>
      </c>
      <c r="Z12" s="36">
        <f>VLOOKUP($A12,[29]HISTOJANV24!$A$6:$BM$38,65,0)</f>
        <v>0</v>
      </c>
      <c r="AA12" s="36"/>
      <c r="AB12" s="36">
        <f>VLOOKUP($A12,[29]HISTOJANV24!$A$6:$AU$38,43,0)</f>
        <v>0</v>
      </c>
      <c r="AC12" s="36">
        <f>VLOOKUP($A12,[29]HISTOJANV24!$A$6:$AU$38,44,0)</f>
        <v>0</v>
      </c>
      <c r="AD12" s="36">
        <f>VLOOKUP($A12,[29]HISTOJANV24!$A$6:$AU$38,47,0)</f>
        <v>0</v>
      </c>
      <c r="AE12" s="36">
        <f>VLOOKUP(A12,[29]HISTOJANV24!$A$6:$BB$38,54,0)</f>
        <v>0</v>
      </c>
      <c r="AF12" s="36">
        <f>VLOOKUP($A12,[29]HISTOJANV24!$A$6:$CB$38,60,0)</f>
        <v>0</v>
      </c>
      <c r="AG12" s="36">
        <f>VLOOKUP($A12,[29]HISTOJANV24!$A$6:$CB$38,61,0)</f>
        <v>0</v>
      </c>
      <c r="AH12" s="36">
        <f>VLOOKUP($A12,[29]HISTOJANV24!$A$6:$CB$38,62,0)</f>
        <v>0</v>
      </c>
      <c r="AI12" s="36">
        <f>VLOOKUP($A12,[29]HISTOJANV24!$A$6:$CB$38,63,0)</f>
        <v>0</v>
      </c>
      <c r="AJ12" s="36">
        <f>VLOOKUP($A12,[29]HISTOJANV24!$A$6:$CB$38,64,0)</f>
        <v>0</v>
      </c>
      <c r="AK12" s="36">
        <f>VLOOKUP($A12,[29]HISTOJANV24!$A$6:$CB$38,65,0)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VLOOKUP($A13,[29]HISTOJANV24!$A$6:$BA$38,48,0)</f>
        <v>0</v>
      </c>
      <c r="F13" s="36">
        <f>MVTDEC23!I13-E13+L13</f>
        <v>756444.33636072569</v>
      </c>
      <c r="G13" s="5">
        <f>IF(MVTDEC23!I13&gt;700000,(MVTDEC23!I13-E13+L13),0)</f>
        <v>756444.33636072569</v>
      </c>
      <c r="H13" s="36">
        <f t="shared" si="0"/>
        <v>5650.0330209176791</v>
      </c>
      <c r="I13" s="6">
        <f t="shared" si="2"/>
        <v>762094.36938164337</v>
      </c>
      <c r="J13" s="36">
        <f>VLOOKUP($A13,[29]HISTOJANV24!$A$6:$AQ$42,22,0)</f>
        <v>0</v>
      </c>
      <c r="K13" s="36">
        <f>VLOOKUP($A13,[29]HISTOJANV24!$A$6:$AU$38,45,0)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6"/>
        <v>1000</v>
      </c>
      <c r="O13" s="36">
        <f t="shared" si="7"/>
        <v>4000</v>
      </c>
      <c r="P13" s="36">
        <f>VLOOKUP($A13,[29]HISTOJANV24!$A$6:$AU$38,7,0)</f>
        <v>0</v>
      </c>
      <c r="Q13" s="36">
        <f>VLOOKUP($A13,[29]HISTOJANV24!$A$6:$AU$38,23,0)</f>
        <v>0</v>
      </c>
      <c r="R13" s="36">
        <f>VLOOKUP($A13,[29]HISTOJANV24!$A$6:$AU$38,46,0)</f>
        <v>0</v>
      </c>
      <c r="S13" s="36">
        <f>VLOOKUP($A13,[29]HISTOJANV24!$A$6:$AU$38,26,0)</f>
        <v>0</v>
      </c>
      <c r="T13" s="36">
        <f>VLOOKUP($A13,[29]HISTOJANV24!$A$6:$BG$38,58,0)</f>
        <v>0</v>
      </c>
      <c r="U13" s="36">
        <f>VLOOKUP($A13,[29]HISTOJANV24!$A$6:$AU$38,28,0)</f>
        <v>0</v>
      </c>
      <c r="V13" s="36">
        <f>VLOOKUP($A13,[29]HISTOJANV24!$A$6:$AU$38,19,0)</f>
        <v>0</v>
      </c>
      <c r="W13" s="36">
        <f>VLOOKUP($A13,[29]HISTOJANV24!$A$6:$AU$38,20,0)</f>
        <v>0</v>
      </c>
      <c r="X13" s="36">
        <f>VLOOKUP($A13,[29]HISTOJANV24!$A$6:$AU$38,27,0)</f>
        <v>0</v>
      </c>
      <c r="Y13" s="36">
        <f>VLOOKUP($A13,[29]HISTOJANV24!$A$6:$BM$38,33,0)</f>
        <v>0</v>
      </c>
      <c r="Z13" s="36">
        <f>VLOOKUP($A13,[29]HISTOJANV24!$A$6:$BM$38,65,0)</f>
        <v>0</v>
      </c>
      <c r="AA13" s="36"/>
      <c r="AB13" s="36">
        <f>VLOOKUP($A13,[29]HISTOJANV24!$A$6:$AU$38,43,0)</f>
        <v>0</v>
      </c>
      <c r="AC13" s="36">
        <f>VLOOKUP($A13,[29]HISTOJANV24!$A$6:$AU$38,44,0)</f>
        <v>0</v>
      </c>
      <c r="AD13" s="36">
        <f>VLOOKUP($A13,[29]HISTOJANV24!$A$6:$AU$38,47,0)</f>
        <v>0</v>
      </c>
      <c r="AE13" s="36">
        <f>VLOOKUP(A13,[29]HISTOJANV24!$A$6:$BB$38,54,0)</f>
        <v>0</v>
      </c>
      <c r="AF13" s="36">
        <f>VLOOKUP($A13,[29]HISTOJANV24!$A$6:$CB$38,60,0)</f>
        <v>0</v>
      </c>
      <c r="AG13" s="36">
        <f>VLOOKUP($A13,[29]HISTOJANV24!$A$6:$CB$38,61,0)</f>
        <v>0</v>
      </c>
      <c r="AH13" s="36">
        <f>VLOOKUP($A13,[29]HISTOJANV24!$A$6:$CB$38,62,0)</f>
        <v>0</v>
      </c>
      <c r="AI13" s="36">
        <f>VLOOKUP($A13,[29]HISTOJANV24!$A$6:$CB$38,63,0)</f>
        <v>0</v>
      </c>
      <c r="AJ13" s="36">
        <f>VLOOKUP($A13,[29]HISTOJANV24!$A$6:$CB$38,64,0)</f>
        <v>0</v>
      </c>
      <c r="AK13" s="36">
        <f>VLOOKUP($A13,[29]HISTOJANV24!$A$6:$CB$38,65,0)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VLOOKUP($A14,[29]HISTOJANV24!$A$6:$BA$38,48,0)</f>
        <v>0</v>
      </c>
      <c r="F14" s="36">
        <f>MVTDEC23!I14-E14+L14</f>
        <v>1302110.5242482522</v>
      </c>
      <c r="G14" s="5">
        <f>IF(MVTDEC23!I14&gt;700000,(MVTDEC23!I14-E14+L14),0)</f>
        <v>1302110.5242482522</v>
      </c>
      <c r="H14" s="36">
        <f t="shared" si="0"/>
        <v>9725.7221784244248</v>
      </c>
      <c r="I14" s="6">
        <f t="shared" si="2"/>
        <v>1311836.2464266766</v>
      </c>
      <c r="J14" s="36">
        <f>VLOOKUP($A14,[29]HISTOJANV24!$A$6:$AQ$42,22,0)</f>
        <v>0</v>
      </c>
      <c r="K14" s="36">
        <f>VLOOKUP($A14,[29]HISTOJANV24!$A$6:$AU$38,45,0)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6"/>
        <v>1000</v>
      </c>
      <c r="O14" s="36">
        <f t="shared" si="7"/>
        <v>4000</v>
      </c>
      <c r="P14" s="36">
        <f>VLOOKUP($A14,[29]HISTOJANV24!$A$6:$AU$38,7,0)</f>
        <v>0</v>
      </c>
      <c r="Q14" s="36">
        <f>VLOOKUP($A14,[29]HISTOJANV24!$A$6:$AU$38,23,0)</f>
        <v>0</v>
      </c>
      <c r="R14" s="36">
        <f>VLOOKUP($A14,[29]HISTOJANV24!$A$6:$AU$38,46,0)</f>
        <v>0</v>
      </c>
      <c r="S14" s="36">
        <f>VLOOKUP($A14,[29]HISTOJANV24!$A$6:$AU$38,26,0)</f>
        <v>0</v>
      </c>
      <c r="T14" s="36">
        <f>VLOOKUP($A14,[29]HISTOJANV24!$A$6:$BG$38,58,0)</f>
        <v>0</v>
      </c>
      <c r="U14" s="36">
        <f>VLOOKUP($A14,[29]HISTOJANV24!$A$6:$AU$38,28,0)</f>
        <v>0</v>
      </c>
      <c r="V14" s="36">
        <f>VLOOKUP($A14,[29]HISTOJANV24!$A$6:$AU$38,19,0)</f>
        <v>0</v>
      </c>
      <c r="W14" s="36">
        <f>VLOOKUP($A14,[29]HISTOJANV24!$A$6:$AU$38,20,0)</f>
        <v>0</v>
      </c>
      <c r="X14" s="36">
        <f>VLOOKUP($A14,[29]HISTOJANV24!$A$6:$AU$38,27,0)</f>
        <v>0</v>
      </c>
      <c r="Y14" s="36">
        <f>VLOOKUP($A14,[29]HISTOJANV24!$A$6:$BM$38,33,0)</f>
        <v>0</v>
      </c>
      <c r="Z14" s="36">
        <f>VLOOKUP($A14,[29]HISTOJANV24!$A$6:$BM$38,65,0)</f>
        <v>0</v>
      </c>
      <c r="AA14" s="36"/>
      <c r="AB14" s="36">
        <f>VLOOKUP($A14,[29]HISTOJANV24!$A$6:$AU$38,43,0)</f>
        <v>0</v>
      </c>
      <c r="AC14" s="36">
        <f>VLOOKUP($A14,[29]HISTOJANV24!$A$6:$AU$38,44,0)</f>
        <v>0</v>
      </c>
      <c r="AD14" s="36">
        <f>VLOOKUP($A14,[29]HISTOJANV24!$A$6:$AU$38,47,0)</f>
        <v>0</v>
      </c>
      <c r="AE14" s="36">
        <f>VLOOKUP(A14,[29]HISTOJANV24!$A$6:$BB$38,54,0)</f>
        <v>0</v>
      </c>
      <c r="AF14" s="36">
        <f>VLOOKUP($A14,[29]HISTOJANV24!$A$6:$CB$38,60,0)</f>
        <v>0</v>
      </c>
      <c r="AG14" s="36">
        <f>VLOOKUP($A14,[29]HISTOJANV24!$A$6:$CB$38,61,0)</f>
        <v>0</v>
      </c>
      <c r="AH14" s="36">
        <f>VLOOKUP($A14,[29]HISTOJANV24!$A$6:$CB$38,62,0)</f>
        <v>0</v>
      </c>
      <c r="AI14" s="36">
        <f>VLOOKUP($A14,[29]HISTOJANV24!$A$6:$CB$38,63,0)</f>
        <v>0</v>
      </c>
      <c r="AJ14" s="36">
        <f>VLOOKUP($A14,[29]HISTOJANV24!$A$6:$CB$38,64,0)</f>
        <v>0</v>
      </c>
      <c r="AK14" s="36">
        <f>VLOOKUP($A14,[29]HISTOJANV24!$A$6:$CB$38,65,0)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VLOOKUP($A15,[29]HISTOJANV24!$A$6:$BA$38,48,0)</f>
        <v>0</v>
      </c>
      <c r="F15" s="36">
        <f>MVTDEC23!I15-E15+L15</f>
        <v>817394.06815565785</v>
      </c>
      <c r="G15" s="5">
        <f>IF(MVTDEC23!I15&gt;700000,(MVTDEC23!I15-E15+L15),0)</f>
        <v>817394.06815565785</v>
      </c>
      <c r="H15" s="36">
        <f t="shared" si="0"/>
        <v>6105.2786757588619</v>
      </c>
      <c r="I15" s="6">
        <f t="shared" si="2"/>
        <v>823499.34683141671</v>
      </c>
      <c r="J15" s="36">
        <f>VLOOKUP($A15,[29]HISTOJANV24!$A$6:$AQ$42,22,0)</f>
        <v>0</v>
      </c>
      <c r="K15" s="36">
        <f>VLOOKUP($A15,[29]HISTOJANV24!$A$6:$AU$38,45,0)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6"/>
        <v>1000</v>
      </c>
      <c r="O15" s="36">
        <f t="shared" si="7"/>
        <v>4000</v>
      </c>
      <c r="P15" s="36">
        <f>VLOOKUP($A15,[29]HISTOJANV24!$A$6:$AU$38,7,0)</f>
        <v>0</v>
      </c>
      <c r="Q15" s="36">
        <f>VLOOKUP($A15,[29]HISTOJANV24!$A$6:$AU$38,23,0)</f>
        <v>0</v>
      </c>
      <c r="R15" s="36">
        <f>VLOOKUP($A15,[29]HISTOJANV24!$A$6:$AU$38,46,0)</f>
        <v>0</v>
      </c>
      <c r="S15" s="36">
        <f>VLOOKUP($A15,[29]HISTOJANV24!$A$6:$AU$38,26,0)</f>
        <v>0</v>
      </c>
      <c r="T15" s="36">
        <f>VLOOKUP($A15,[29]HISTOJANV24!$A$6:$BG$38,58,0)</f>
        <v>0</v>
      </c>
      <c r="U15" s="36">
        <f>VLOOKUP($A15,[29]HISTOJANV24!$A$6:$AU$38,28,0)</f>
        <v>0</v>
      </c>
      <c r="V15" s="36">
        <f>VLOOKUP($A15,[29]HISTOJANV24!$A$6:$AU$38,19,0)</f>
        <v>0</v>
      </c>
      <c r="W15" s="36">
        <f>VLOOKUP($A15,[29]HISTOJANV24!$A$6:$AU$38,20,0)</f>
        <v>0</v>
      </c>
      <c r="X15" s="36">
        <f>VLOOKUP($A15,[29]HISTOJANV24!$A$6:$AU$38,27,0)</f>
        <v>0</v>
      </c>
      <c r="Y15" s="36">
        <f>VLOOKUP($A15,[29]HISTOJANV24!$A$6:$BM$38,33,0)</f>
        <v>0</v>
      </c>
      <c r="Z15" s="36">
        <f>VLOOKUP($A15,[29]HISTOJANV24!$A$6:$BM$38,65,0)</f>
        <v>0</v>
      </c>
      <c r="AA15" s="36"/>
      <c r="AB15" s="36">
        <f>VLOOKUP($A15,[29]HISTOJANV24!$A$6:$AU$38,43,0)</f>
        <v>0</v>
      </c>
      <c r="AC15" s="36">
        <f>VLOOKUP($A15,[29]HISTOJANV24!$A$6:$AU$38,44,0)</f>
        <v>0</v>
      </c>
      <c r="AD15" s="36">
        <f>VLOOKUP($A15,[29]HISTOJANV24!$A$6:$AU$38,47,0)</f>
        <v>0</v>
      </c>
      <c r="AE15" s="36">
        <f>VLOOKUP(A15,[29]HISTOJANV24!$A$6:$BB$38,54,0)</f>
        <v>0</v>
      </c>
      <c r="AF15" s="36">
        <f>VLOOKUP($A15,[29]HISTOJANV24!$A$6:$CB$38,60,0)</f>
        <v>0</v>
      </c>
      <c r="AG15" s="36">
        <f>VLOOKUP($A15,[29]HISTOJANV24!$A$6:$CB$38,61,0)</f>
        <v>0</v>
      </c>
      <c r="AH15" s="36">
        <f>VLOOKUP($A15,[29]HISTOJANV24!$A$6:$CB$38,62,0)</f>
        <v>0</v>
      </c>
      <c r="AI15" s="36">
        <f>VLOOKUP($A15,[29]HISTOJANV24!$A$6:$CB$38,63,0)</f>
        <v>0</v>
      </c>
      <c r="AJ15" s="36">
        <f>VLOOKUP($A15,[29]HISTOJANV24!$A$6:$CB$38,64,0)</f>
        <v>0</v>
      </c>
      <c r="AK15" s="36">
        <f>VLOOKUP($A15,[29]HISTOJANV24!$A$6:$CB$38,65,0)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VLOOKUP($A16,[29]HISTOJANV24!$A$6:$BA$38,48,0)</f>
        <v>0</v>
      </c>
      <c r="F16" s="36">
        <f>MVTDEC23!I16-E16+L16</f>
        <v>822646.89943448035</v>
      </c>
      <c r="G16" s="5">
        <f>IF(MVTDEC23!I16&gt;700000,(MVTDEC23!I16-E16+L16),0)</f>
        <v>822646.89943448035</v>
      </c>
      <c r="H16" s="36">
        <f t="shared" si="0"/>
        <v>6144.5131160898472</v>
      </c>
      <c r="I16" s="6">
        <f t="shared" si="2"/>
        <v>828791.41255057021</v>
      </c>
      <c r="J16" s="36">
        <f>VLOOKUP($A16,[29]HISTOJANV24!$A$6:$AQ$42,22,0)</f>
        <v>0</v>
      </c>
      <c r="K16" s="36">
        <f>VLOOKUP($A16,[29]HISTOJANV24!$A$6:$AU$38,45,0)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6"/>
        <v>1000</v>
      </c>
      <c r="O16" s="36">
        <f t="shared" si="7"/>
        <v>4000</v>
      </c>
      <c r="P16" s="36">
        <f>VLOOKUP($A16,[29]HISTOJANV24!$A$6:$AU$38,7,0)</f>
        <v>0</v>
      </c>
      <c r="Q16" s="36">
        <f>VLOOKUP($A16,[29]HISTOJANV24!$A$6:$AU$38,23,0)</f>
        <v>0</v>
      </c>
      <c r="R16" s="36">
        <f>VLOOKUP($A16,[29]HISTOJANV24!$A$6:$AU$38,46,0)</f>
        <v>0</v>
      </c>
      <c r="S16" s="36">
        <f>VLOOKUP($A16,[29]HISTOJANV24!$A$6:$AU$38,26,0)</f>
        <v>0</v>
      </c>
      <c r="T16" s="36">
        <f>VLOOKUP($A16,[29]HISTOJANV24!$A$6:$BG$38,58,0)</f>
        <v>0</v>
      </c>
      <c r="U16" s="36">
        <f>VLOOKUP($A16,[29]HISTOJANV24!$A$6:$AU$38,28,0)</f>
        <v>0</v>
      </c>
      <c r="V16" s="36">
        <f>VLOOKUP($A16,[29]HISTOJANV24!$A$6:$AU$38,19,0)</f>
        <v>0</v>
      </c>
      <c r="W16" s="36">
        <f>VLOOKUP($A16,[29]HISTOJANV24!$A$6:$AU$38,20,0)</f>
        <v>0</v>
      </c>
      <c r="X16" s="36">
        <f>VLOOKUP($A16,[29]HISTOJANV24!$A$6:$AU$38,27,0)</f>
        <v>0</v>
      </c>
      <c r="Y16" s="36">
        <f>VLOOKUP($A16,[29]HISTOJANV24!$A$6:$BM$38,33,0)</f>
        <v>0</v>
      </c>
      <c r="Z16" s="36">
        <f>VLOOKUP($A16,[29]HISTOJANV24!$A$6:$BM$38,65,0)</f>
        <v>0</v>
      </c>
      <c r="AA16" s="36"/>
      <c r="AB16" s="36">
        <f>VLOOKUP($A16,[29]HISTOJANV24!$A$6:$AU$38,43,0)</f>
        <v>0</v>
      </c>
      <c r="AC16" s="36">
        <f>VLOOKUP($A16,[29]HISTOJANV24!$A$6:$AU$38,44,0)</f>
        <v>0</v>
      </c>
      <c r="AD16" s="36">
        <f>VLOOKUP($A16,[29]HISTOJANV24!$A$6:$AU$38,47,0)</f>
        <v>0</v>
      </c>
      <c r="AE16" s="36">
        <f>VLOOKUP(A16,[29]HISTOJANV24!$A$6:$BB$38,54,0)</f>
        <v>0</v>
      </c>
      <c r="AF16" s="36">
        <f>VLOOKUP($A16,[29]HISTOJANV24!$A$6:$CB$38,60,0)</f>
        <v>0</v>
      </c>
      <c r="AG16" s="36">
        <f>VLOOKUP($A16,[29]HISTOJANV24!$A$6:$CB$38,61,0)</f>
        <v>0</v>
      </c>
      <c r="AH16" s="36">
        <f>VLOOKUP($A16,[29]HISTOJANV24!$A$6:$CB$38,62,0)</f>
        <v>0</v>
      </c>
      <c r="AI16" s="36">
        <f>VLOOKUP($A16,[29]HISTOJANV24!$A$6:$CB$38,63,0)</f>
        <v>0</v>
      </c>
      <c r="AJ16" s="36">
        <f>VLOOKUP($A16,[29]HISTOJANV24!$A$6:$CB$38,64,0)</f>
        <v>0</v>
      </c>
      <c r="AK16" s="36">
        <f>VLOOKUP($A16,[29]HISTOJANV24!$A$6:$CB$38,65,0)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VLOOKUP($A17,[29]HISTOJANV24!$A$6:$BA$38,48,0)</f>
        <v>0</v>
      </c>
      <c r="F17" s="36">
        <f>MVTDEC23!I17-E17+L17</f>
        <v>766163.5639256963</v>
      </c>
      <c r="G17" s="5">
        <f>IF(MVTDEC23!I17&gt;700000,(MVTDEC23!I17-E17+L17),0)</f>
        <v>766163.5639256963</v>
      </c>
      <c r="H17" s="36">
        <f t="shared" si="0"/>
        <v>5722.6278623888838</v>
      </c>
      <c r="I17" s="6">
        <f t="shared" si="2"/>
        <v>771886.19178808515</v>
      </c>
      <c r="J17" s="36">
        <f>VLOOKUP($A17,[29]HISTOJANV24!$A$6:$AQ$42,22,0)</f>
        <v>0</v>
      </c>
      <c r="K17" s="36">
        <f>VLOOKUP($A17,[29]HISTOJANV24!$A$6:$AU$38,45,0)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6"/>
        <v>1000</v>
      </c>
      <c r="O17" s="36">
        <f t="shared" si="7"/>
        <v>4000</v>
      </c>
      <c r="P17" s="36">
        <f>VLOOKUP($A17,[29]HISTOJANV24!$A$6:$AU$38,7,0)</f>
        <v>0</v>
      </c>
      <c r="Q17" s="36">
        <f>VLOOKUP($A17,[29]HISTOJANV24!$A$6:$AU$38,23,0)</f>
        <v>0</v>
      </c>
      <c r="R17" s="36">
        <f>VLOOKUP($A17,[29]HISTOJANV24!$A$6:$AU$38,46,0)</f>
        <v>0</v>
      </c>
      <c r="S17" s="36">
        <f>VLOOKUP($A17,[29]HISTOJANV24!$A$6:$AU$38,26,0)</f>
        <v>1000000</v>
      </c>
      <c r="T17" s="36">
        <f>VLOOKUP($A17,[29]HISTOJANV24!$A$6:$BG$38,58,0)</f>
        <v>110000</v>
      </c>
      <c r="U17" s="36">
        <f>VLOOKUP($A17,[29]HISTOJANV24!$A$6:$AU$38,28,0)</f>
        <v>0</v>
      </c>
      <c r="V17" s="36">
        <f>VLOOKUP($A17,[29]HISTOJANV24!$A$6:$AU$38,19,0)</f>
        <v>0</v>
      </c>
      <c r="W17" s="36">
        <f>VLOOKUP($A17,[29]HISTOJANV24!$A$6:$AU$38,20,0)</f>
        <v>0</v>
      </c>
      <c r="X17" s="36">
        <f>VLOOKUP($A17,[29]HISTOJANV24!$A$6:$AU$38,27,0)</f>
        <v>0</v>
      </c>
      <c r="Y17" s="36">
        <f>VLOOKUP($A17,[29]HISTOJANV24!$A$6:$BM$38,33,0)</f>
        <v>0</v>
      </c>
      <c r="Z17" s="36">
        <f>VLOOKUP($A17,[29]HISTOJANV24!$A$6:$BM$38,65,0)</f>
        <v>0</v>
      </c>
      <c r="AA17" s="36"/>
      <c r="AB17" s="36">
        <f>VLOOKUP($A17,[29]HISTOJANV24!$A$6:$AU$38,43,0)</f>
        <v>0</v>
      </c>
      <c r="AC17" s="36">
        <f>VLOOKUP($A17,[29]HISTOJANV24!$A$6:$AU$38,44,0)</f>
        <v>0</v>
      </c>
      <c r="AD17" s="36">
        <f>VLOOKUP($A17,[29]HISTOJANV24!$A$6:$AU$38,47,0)</f>
        <v>0</v>
      </c>
      <c r="AE17" s="36">
        <f>VLOOKUP(A17,[29]HISTOJANV24!$A$6:$BB$38,54,0)</f>
        <v>0</v>
      </c>
      <c r="AF17" s="36">
        <f>VLOOKUP($A17,[29]HISTOJANV24!$A$6:$CB$38,60,0)</f>
        <v>0</v>
      </c>
      <c r="AG17" s="36">
        <f>VLOOKUP($A17,[29]HISTOJANV24!$A$6:$CB$38,61,0)</f>
        <v>0</v>
      </c>
      <c r="AH17" s="36">
        <f>VLOOKUP($A17,[29]HISTOJANV24!$A$6:$CB$38,62,0)</f>
        <v>0</v>
      </c>
      <c r="AI17" s="36">
        <f>VLOOKUP($A17,[29]HISTOJANV24!$A$6:$CB$38,63,0)</f>
        <v>100000</v>
      </c>
      <c r="AJ17" s="36">
        <f>VLOOKUP($A17,[29]HISTOJANV24!$A$6:$CB$38,64,0)</f>
        <v>0</v>
      </c>
      <c r="AK17" s="36">
        <f>VLOOKUP($A17,[29]HISTOJANV24!$A$6:$CB$38,65,0)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VLOOKUP($A18,[29]HISTOJANV24!$A$6:$BA$38,48,0)</f>
        <v>0</v>
      </c>
      <c r="F18" s="36">
        <f>MVTDEC23!I18-E18+L18</f>
        <v>782134.74341160466</v>
      </c>
      <c r="G18" s="5">
        <f>IF(MVTDEC23!I18&gt;700000,(MVTDEC23!I18-E18+L18),0)</f>
        <v>782134.74341160466</v>
      </c>
      <c r="H18" s="36">
        <f t="shared" si="0"/>
        <v>5841.9197747489143</v>
      </c>
      <c r="I18" s="6">
        <f t="shared" si="2"/>
        <v>787976.66318635363</v>
      </c>
      <c r="J18" s="36">
        <f>VLOOKUP($A18,[29]HISTOJANV24!$A$6:$AQ$42,22,0)</f>
        <v>0</v>
      </c>
      <c r="K18" s="36">
        <f>VLOOKUP($A18,[29]HISTOJANV24!$A$6:$AU$38,45,0)</f>
        <v>25000</v>
      </c>
      <c r="L18" s="36">
        <f t="shared" si="4"/>
        <v>19000</v>
      </c>
      <c r="M18" s="36">
        <f t="shared" si="5"/>
        <v>1000</v>
      </c>
      <c r="N18" s="36">
        <f t="shared" si="6"/>
        <v>1000</v>
      </c>
      <c r="O18" s="36">
        <f t="shared" si="7"/>
        <v>4000</v>
      </c>
      <c r="P18" s="36">
        <f>VLOOKUP($A18,[29]HISTOJANV24!$A$6:$AU$38,7,0)</f>
        <v>0</v>
      </c>
      <c r="Q18" s="36">
        <f>VLOOKUP($A18,[29]HISTOJANV24!$A$6:$AU$38,23,0)</f>
        <v>0</v>
      </c>
      <c r="R18" s="36">
        <f>VLOOKUP($A18,[29]HISTOJANV24!$A$6:$AU$38,46,0)</f>
        <v>0</v>
      </c>
      <c r="S18" s="36">
        <f>VLOOKUP($A18,[29]HISTOJANV24!$A$6:$AU$38,26,0)</f>
        <v>0</v>
      </c>
      <c r="T18" s="36">
        <f>VLOOKUP($A18,[29]HISTOJANV24!$A$6:$BG$38,58,0)</f>
        <v>0</v>
      </c>
      <c r="U18" s="36">
        <f>VLOOKUP($A18,[29]HISTOJANV24!$A$6:$AU$38,28,0)</f>
        <v>0</v>
      </c>
      <c r="V18" s="36">
        <f>VLOOKUP($A18,[29]HISTOJANV24!$A$6:$AU$38,19,0)</f>
        <v>0</v>
      </c>
      <c r="W18" s="36">
        <f>VLOOKUP($A18,[29]HISTOJANV24!$A$6:$AU$38,20,0)</f>
        <v>0</v>
      </c>
      <c r="X18" s="36">
        <f>VLOOKUP($A18,[29]HISTOJANV24!$A$6:$AU$38,27,0)</f>
        <v>0</v>
      </c>
      <c r="Y18" s="36">
        <f>VLOOKUP($A18,[29]HISTOJANV24!$A$6:$BM$38,33,0)</f>
        <v>0</v>
      </c>
      <c r="Z18" s="36">
        <f>VLOOKUP($A18,[29]HISTOJANV24!$A$6:$BM$38,65,0)</f>
        <v>0</v>
      </c>
      <c r="AA18" s="36"/>
      <c r="AB18" s="36">
        <f>VLOOKUP($A18,[29]HISTOJANV24!$A$6:$AU$38,43,0)</f>
        <v>0</v>
      </c>
      <c r="AC18" s="36">
        <f>VLOOKUP($A18,[29]HISTOJANV24!$A$6:$AU$38,44,0)</f>
        <v>0</v>
      </c>
      <c r="AD18" s="36">
        <f>VLOOKUP($A18,[29]HISTOJANV24!$A$6:$AU$38,47,0)</f>
        <v>0</v>
      </c>
      <c r="AE18" s="36">
        <f>VLOOKUP(A18,[29]HISTOJANV24!$A$6:$BB$38,54,0)</f>
        <v>0</v>
      </c>
      <c r="AF18" s="36">
        <f>VLOOKUP($A18,[29]HISTOJANV24!$A$6:$CB$38,60,0)</f>
        <v>0</v>
      </c>
      <c r="AG18" s="36">
        <f>VLOOKUP($A18,[29]HISTOJANV24!$A$6:$CB$38,61,0)</f>
        <v>0</v>
      </c>
      <c r="AH18" s="36">
        <f>VLOOKUP($A18,[29]HISTOJANV24!$A$6:$CB$38,62,0)</f>
        <v>0</v>
      </c>
      <c r="AI18" s="36">
        <f>VLOOKUP($A18,[29]HISTOJANV24!$A$6:$CB$38,63,0)</f>
        <v>0</v>
      </c>
      <c r="AJ18" s="36">
        <f>VLOOKUP($A18,[29]HISTOJANV24!$A$6:$CB$38,64,0)</f>
        <v>0</v>
      </c>
      <c r="AK18" s="36">
        <f>VLOOKUP($A18,[29]HISTOJANV24!$A$6:$CB$38,65,0)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MVTDEC23!I19-E19+L19</f>
        <v>676217</v>
      </c>
      <c r="G19" s="5">
        <f>IF(MVTDEC23!I19&gt;700000,(MVTDEC23!I19-E19+L19),0)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MVTDEC23!I20-E20+L20</f>
        <v>19000</v>
      </c>
      <c r="G20" s="5">
        <f>IF(MVTDEC23!I20&gt;700000,(MVTDEC23!I20-E20+L20),0)</f>
        <v>0</v>
      </c>
      <c r="H20" s="36">
        <f t="shared" si="0"/>
        <v>0</v>
      </c>
      <c r="I20" s="6">
        <f t="shared" si="2"/>
        <v>19000</v>
      </c>
      <c r="J20" s="36">
        <f>VLOOKUP($A20,[29]HISTOJANV24!$A$6:$AQ$42,22,0)</f>
        <v>0</v>
      </c>
      <c r="K20" s="36">
        <f>VLOOKUP($A20,[29]HISTOJANV24!$A$6:$AU$38,45,0)</f>
        <v>25000</v>
      </c>
      <c r="L20" s="36">
        <f t="shared" ref="L20" si="8">IF(K20=0,0,K20-(M20+N20+O20))</f>
        <v>19000</v>
      </c>
      <c r="M20" s="36">
        <f t="shared" ref="M20" si="9">IF(K20=0,0,1000)</f>
        <v>1000</v>
      </c>
      <c r="N20" s="36">
        <f t="shared" ref="N20" si="10">IF(K20=0,0,1000)</f>
        <v>1000</v>
      </c>
      <c r="O20" s="36">
        <f t="shared" ref="O20" si="11">IF(K20=0,0,4000)</f>
        <v>4000</v>
      </c>
      <c r="P20" s="36">
        <f>VLOOKUP($A20,[29]HISTOJANV24!$A$6:$AU$38,7,0)</f>
        <v>0</v>
      </c>
      <c r="Q20" s="36">
        <f>VLOOKUP($A20,[29]HISTOJANV24!$A$6:$AU$38,23,0)</f>
        <v>25000</v>
      </c>
      <c r="R20" s="36">
        <f>VLOOKUP($A20,[29]HISTOJANV24!$A$6:$AU$38,46,0)</f>
        <v>0</v>
      </c>
      <c r="S20" s="36">
        <f>VLOOKUP($A20,[29]HISTOJANV24!$A$6:$AU$38,26,0)</f>
        <v>0</v>
      </c>
      <c r="T20" s="36">
        <f>VLOOKUP($A20,[29]HISTOJANV24!$A$6:$BG$38,58,0)</f>
        <v>0</v>
      </c>
      <c r="U20" s="36">
        <f>VLOOKUP($A20,[29]HISTOJANV24!$A$6:$AU$38,28,0)</f>
        <v>0</v>
      </c>
      <c r="V20" s="36">
        <f>VLOOKUP($A20,[29]HISTOJANV24!$A$6:$AU$38,19,0)</f>
        <v>0</v>
      </c>
      <c r="W20" s="36">
        <f>VLOOKUP($A20,[29]HISTOJANV24!$A$6:$AU$38,20,0)</f>
        <v>0</v>
      </c>
      <c r="X20" s="36">
        <f>VLOOKUP($A20,[29]HISTOJANV24!$A$6:$AU$38,27,0)</f>
        <v>0</v>
      </c>
      <c r="Y20" s="36">
        <f>VLOOKUP($A20,[29]HISTOJANV24!$A$6:$BM$38,33,0)</f>
        <v>0</v>
      </c>
      <c r="Z20" s="36">
        <f>VLOOKUP($A20,[29]HISTOJANV24!$A$6:$BM$38,65,0)</f>
        <v>0</v>
      </c>
      <c r="AA20" s="36"/>
      <c r="AB20" s="36">
        <f>VLOOKUP($A20,[29]HISTOJANV24!$A$6:$AU$38,43,0)</f>
        <v>0</v>
      </c>
      <c r="AC20" s="36">
        <f>VLOOKUP($A20,[29]HISTOJANV24!$A$6:$AU$38,44,0)</f>
        <v>0</v>
      </c>
      <c r="AD20" s="36">
        <f>VLOOKUP($A20,[29]HISTOJANV24!$A$6:$AU$38,47,0)</f>
        <v>0</v>
      </c>
      <c r="AE20" s="36">
        <f>VLOOKUP(A20,[29]HISTOJANV24!$A$6:$BB$38,54,0)</f>
        <v>0</v>
      </c>
      <c r="AF20" s="36">
        <f>VLOOKUP($A20,[29]HISTOJANV24!$A$6:$CB$38,60,0)</f>
        <v>0</v>
      </c>
      <c r="AG20" s="36">
        <f>VLOOKUP($A20,[29]HISTOJANV24!$A$6:$CB$38,61,0)</f>
        <v>0</v>
      </c>
      <c r="AH20" s="36">
        <f>VLOOKUP($A20,[29]HISTOJANV24!$A$6:$CB$38,62,0)</f>
        <v>0</v>
      </c>
      <c r="AI20" s="36">
        <f>VLOOKUP($A20,[29]HISTOJANV24!$A$6:$CB$38,63,0)</f>
        <v>0</v>
      </c>
      <c r="AJ20" s="36">
        <f>VLOOKUP($A20,[29]HISTOJANV24!$A$6:$CB$38,64,0)</f>
        <v>0</v>
      </c>
      <c r="AK20" s="36">
        <f>VLOOKUP($A20,[29]HISTOJANV24!$A$6:$CB$38,65,0)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MVTDEC23!I21-E21+L21</f>
        <v>789804.52301674988</v>
      </c>
      <c r="G21" s="5">
        <f>IF(MVTDEC23!I21&gt;700000,(MVTDEC23!I21-E21+L21),0)</f>
        <v>789804.52301674988</v>
      </c>
      <c r="H21" s="36">
        <f t="shared" si="0"/>
        <v>5899.2068822718747</v>
      </c>
      <c r="I21" s="6">
        <f t="shared" si="2"/>
        <v>795703.7298990218</v>
      </c>
      <c r="J21" s="36">
        <f>VLOOKUP($A21,[29]HISTOJANV24!$A$6:$AQ$42,22,0)</f>
        <v>0</v>
      </c>
      <c r="K21" s="36">
        <f>VLOOKUP($A21,[29]HISTOJANV24!$A$6:$AU$38,45,0)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6"/>
        <v>1000</v>
      </c>
      <c r="O21" s="36">
        <f t="shared" si="7"/>
        <v>4000</v>
      </c>
      <c r="P21" s="36">
        <f>VLOOKUP($A21,[29]HISTOJANV24!$A$6:$AU$38,7,0)</f>
        <v>0</v>
      </c>
      <c r="Q21" s="36">
        <f>VLOOKUP($A21,[29]HISTOJANV24!$A$6:$AU$38,23,0)</f>
        <v>0</v>
      </c>
      <c r="R21" s="36">
        <f>VLOOKUP($A21,[29]HISTOJANV24!$A$6:$AU$38,46,0)</f>
        <v>0</v>
      </c>
      <c r="S21" s="36">
        <f>VLOOKUP($A21,[29]HISTOJANV24!$A$6:$AU$38,26,0)</f>
        <v>0</v>
      </c>
      <c r="T21" s="36">
        <f>VLOOKUP($A21,[29]HISTOJANV24!$A$6:$BG$38,58,0)</f>
        <v>0</v>
      </c>
      <c r="U21" s="36">
        <f>VLOOKUP($A21,[29]HISTOJANV24!$A$6:$AU$38,28,0)</f>
        <v>0</v>
      </c>
      <c r="V21" s="36">
        <f>VLOOKUP($A21,[29]HISTOJANV24!$A$6:$AU$38,19,0)</f>
        <v>0</v>
      </c>
      <c r="W21" s="36">
        <f>VLOOKUP($A21,[29]HISTOJANV24!$A$6:$AU$38,20,0)</f>
        <v>0</v>
      </c>
      <c r="X21" s="36">
        <f>VLOOKUP($A21,[29]HISTOJANV24!$A$6:$AU$38,27,0)</f>
        <v>0</v>
      </c>
      <c r="Y21" s="36">
        <f>VLOOKUP($A21,[29]HISTOJANV24!$A$6:$BM$38,33,0)</f>
        <v>0</v>
      </c>
      <c r="Z21" s="36">
        <f>VLOOKUP($A21,[29]HISTOJANV24!$A$6:$BM$38,65,0)</f>
        <v>0</v>
      </c>
      <c r="AA21" s="36"/>
      <c r="AB21" s="36">
        <f>VLOOKUP($A21,[29]HISTOJANV24!$A$6:$AU$38,43,0)</f>
        <v>0</v>
      </c>
      <c r="AC21" s="36">
        <f>VLOOKUP($A21,[29]HISTOJANV24!$A$6:$AU$38,44,0)</f>
        <v>0</v>
      </c>
      <c r="AD21" s="36">
        <f>VLOOKUP($A21,[29]HISTOJANV24!$A$6:$AU$38,47,0)</f>
        <v>0</v>
      </c>
      <c r="AE21" s="36">
        <f>VLOOKUP(A21,[29]HISTOJANV24!$A$6:$BB$38,54,0)</f>
        <v>0</v>
      </c>
      <c r="AF21" s="36">
        <f>VLOOKUP($A21,[29]HISTOJANV24!$A$6:$CB$38,60,0)</f>
        <v>0</v>
      </c>
      <c r="AG21" s="36">
        <f>VLOOKUP($A21,[29]HISTOJANV24!$A$6:$CB$38,61,0)</f>
        <v>0</v>
      </c>
      <c r="AH21" s="36">
        <f>VLOOKUP($A21,[29]HISTOJANV24!$A$6:$CB$38,62,0)</f>
        <v>0</v>
      </c>
      <c r="AI21" s="36">
        <f>VLOOKUP($A21,[29]HISTOJANV24!$A$6:$CB$38,63,0)</f>
        <v>0</v>
      </c>
      <c r="AJ21" s="36">
        <f>VLOOKUP($A21,[29]HISTOJANV24!$A$6:$CB$38,64,0)</f>
        <v>0</v>
      </c>
      <c r="AK21" s="36">
        <f>VLOOKUP($A21,[29]HISTOJANV24!$A$6:$CB$38,65,0)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MVTDEC23!I22-E22+L22</f>
        <v>757612.72308989498</v>
      </c>
      <c r="G22" s="5">
        <f>IF(MVTDEC23!I22&gt;700000,(MVTDEC23!I22-E22+L22),0)</f>
        <v>757612.72308989498</v>
      </c>
      <c r="H22" s="36">
        <f t="shared" si="0"/>
        <v>5658.7599335055475</v>
      </c>
      <c r="I22" s="6">
        <f t="shared" si="2"/>
        <v>763271.48302340053</v>
      </c>
      <c r="J22" s="36">
        <f>VLOOKUP($A22,[29]HISTOJANV24!$A$6:$AQ$42,22,0)</f>
        <v>0</v>
      </c>
      <c r="K22" s="36">
        <f>VLOOKUP($A22,[29]HISTOJANV24!$A$6:$AU$38,45,0)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6"/>
        <v>1000</v>
      </c>
      <c r="O22" s="36">
        <f t="shared" si="7"/>
        <v>4000</v>
      </c>
      <c r="P22" s="36">
        <f>VLOOKUP($A22,[29]HISTOJANV24!$A$6:$AU$38,7,0)</f>
        <v>0</v>
      </c>
      <c r="Q22" s="36">
        <f>VLOOKUP($A22,[29]HISTOJANV24!$A$6:$AU$38,23,0)</f>
        <v>0</v>
      </c>
      <c r="R22" s="36">
        <f>VLOOKUP($A22,[29]HISTOJANV24!$A$6:$AU$38,46,0)</f>
        <v>0</v>
      </c>
      <c r="S22" s="36">
        <f>VLOOKUP($A22,[29]HISTOJANV24!$A$6:$AU$38,26,0)</f>
        <v>0</v>
      </c>
      <c r="T22" s="36">
        <f>VLOOKUP($A22,[29]HISTOJANV24!$A$6:$BG$38,58,0)</f>
        <v>0</v>
      </c>
      <c r="U22" s="36">
        <f>VLOOKUP($A22,[29]HISTOJANV24!$A$6:$AU$38,28,0)</f>
        <v>0</v>
      </c>
      <c r="V22" s="36">
        <f>VLOOKUP($A22,[29]HISTOJANV24!$A$6:$AU$38,19,0)</f>
        <v>0</v>
      </c>
      <c r="W22" s="36">
        <f>VLOOKUP($A22,[29]HISTOJANV24!$A$6:$AU$38,20,0)</f>
        <v>0</v>
      </c>
      <c r="X22" s="36">
        <f>VLOOKUP($A22,[29]HISTOJANV24!$A$6:$AU$38,27,0)</f>
        <v>0</v>
      </c>
      <c r="Y22" s="36">
        <f>VLOOKUP($A22,[29]HISTOJANV24!$A$6:$BM$38,33,0)</f>
        <v>0</v>
      </c>
      <c r="Z22" s="36">
        <f>VLOOKUP($A22,[29]HISTOJANV24!$A$6:$BM$38,65,0)</f>
        <v>0</v>
      </c>
      <c r="AA22" s="36"/>
      <c r="AB22" s="36">
        <f>VLOOKUP($A22,[29]HISTOJANV24!$A$6:$AU$38,43,0)</f>
        <v>0</v>
      </c>
      <c r="AC22" s="36">
        <f>VLOOKUP($A22,[29]HISTOJANV24!$A$6:$AU$38,44,0)</f>
        <v>0</v>
      </c>
      <c r="AD22" s="36">
        <f>VLOOKUP($A22,[29]HISTOJANV24!$A$6:$AU$38,47,0)</f>
        <v>0</v>
      </c>
      <c r="AE22" s="36">
        <f>VLOOKUP(A22,[29]HISTOJANV24!$A$6:$BB$38,54,0)</f>
        <v>0</v>
      </c>
      <c r="AF22" s="36">
        <f>VLOOKUP($A22,[29]HISTOJANV24!$A$6:$CB$38,60,0)</f>
        <v>0</v>
      </c>
      <c r="AG22" s="36">
        <f>VLOOKUP($A22,[29]HISTOJANV24!$A$6:$CB$38,61,0)</f>
        <v>0</v>
      </c>
      <c r="AH22" s="36">
        <f>VLOOKUP($A22,[29]HISTOJANV24!$A$6:$CB$38,62,0)</f>
        <v>0</v>
      </c>
      <c r="AI22" s="36">
        <f>VLOOKUP($A22,[29]HISTOJANV24!$A$6:$CB$38,63,0)</f>
        <v>0</v>
      </c>
      <c r="AJ22" s="36">
        <f>VLOOKUP($A22,[29]HISTOJANV24!$A$6:$CB$38,64,0)</f>
        <v>0</v>
      </c>
      <c r="AK22" s="36">
        <f>VLOOKUP($A22,[29]HISTOJANV24!$A$6:$CB$38,65,0)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MVTDEC23!I23-E23+L23</f>
        <v>862167.60837952222</v>
      </c>
      <c r="G23" s="5">
        <f>IF(MVTDEC23!I23&gt;700000,(MVTDEC23!I23-E23+L23),0)</f>
        <v>862167.60837952222</v>
      </c>
      <c r="H23" s="36">
        <f t="shared" si="0"/>
        <v>6439.7011422489613</v>
      </c>
      <c r="I23" s="6">
        <f t="shared" si="2"/>
        <v>868607.30952177115</v>
      </c>
      <c r="J23" s="36">
        <f>VLOOKUP($A23,[29]HISTOJANV24!$A$6:$AQ$42,22,0)</f>
        <v>0</v>
      </c>
      <c r="K23" s="36">
        <f>VLOOKUP($A23,[29]HISTOJANV24!$A$6:$AU$38,45,0)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6"/>
        <v>1000</v>
      </c>
      <c r="O23" s="36">
        <f t="shared" si="7"/>
        <v>4000</v>
      </c>
      <c r="P23" s="36">
        <f>VLOOKUP($A23,[29]HISTOJANV24!$A$6:$AU$38,7,0)</f>
        <v>0</v>
      </c>
      <c r="Q23" s="36">
        <f>VLOOKUP($A23,[29]HISTOJANV24!$A$6:$AU$38,23,0)</f>
        <v>0</v>
      </c>
      <c r="R23" s="36">
        <f>VLOOKUP($A23,[29]HISTOJANV24!$A$6:$AU$38,46,0)</f>
        <v>0</v>
      </c>
      <c r="S23" s="36">
        <f>VLOOKUP($A23,[29]HISTOJANV24!$A$6:$AU$38,26,0)</f>
        <v>0</v>
      </c>
      <c r="T23" s="36">
        <f>VLOOKUP($A23,[29]HISTOJANV24!$A$6:$BG$38,58,0)</f>
        <v>0</v>
      </c>
      <c r="U23" s="36">
        <f>VLOOKUP($A23,[29]HISTOJANV24!$A$6:$AU$38,28,0)</f>
        <v>0</v>
      </c>
      <c r="V23" s="36">
        <f>VLOOKUP($A23,[29]HISTOJANV24!$A$6:$AU$38,19,0)</f>
        <v>0</v>
      </c>
      <c r="W23" s="36">
        <f>VLOOKUP($A23,[29]HISTOJANV24!$A$6:$AU$38,20,0)</f>
        <v>0</v>
      </c>
      <c r="X23" s="36">
        <f>VLOOKUP($A23,[29]HISTOJANV24!$A$6:$AU$38,27,0)</f>
        <v>0</v>
      </c>
      <c r="Y23" s="36">
        <f>VLOOKUP($A23,[29]HISTOJANV24!$A$6:$BM$38,33,0)</f>
        <v>0</v>
      </c>
      <c r="Z23" s="36">
        <f>VLOOKUP($A23,[29]HISTOJANV24!$A$6:$BM$38,65,0)</f>
        <v>0</v>
      </c>
      <c r="AA23" s="36"/>
      <c r="AB23" s="36">
        <f>VLOOKUP($A23,[29]HISTOJANV24!$A$6:$AU$38,43,0)</f>
        <v>0</v>
      </c>
      <c r="AC23" s="36">
        <f>VLOOKUP($A23,[29]HISTOJANV24!$A$6:$AU$38,44,0)</f>
        <v>0</v>
      </c>
      <c r="AD23" s="36">
        <f>VLOOKUP($A23,[29]HISTOJANV24!$A$6:$AU$38,47,0)</f>
        <v>0</v>
      </c>
      <c r="AE23" s="36">
        <f>VLOOKUP(A23,[29]HISTOJANV24!$A$6:$BB$38,54,0)</f>
        <v>0</v>
      </c>
      <c r="AF23" s="36">
        <f>VLOOKUP($A23,[29]HISTOJANV24!$A$6:$CB$38,60,0)</f>
        <v>0</v>
      </c>
      <c r="AG23" s="36">
        <f>VLOOKUP($A23,[29]HISTOJANV24!$A$6:$CB$38,61,0)</f>
        <v>0</v>
      </c>
      <c r="AH23" s="36">
        <f>VLOOKUP($A23,[29]HISTOJANV24!$A$6:$CB$38,62,0)</f>
        <v>0</v>
      </c>
      <c r="AI23" s="36">
        <f>VLOOKUP($A23,[29]HISTOJANV24!$A$6:$CB$38,63,0)</f>
        <v>0</v>
      </c>
      <c r="AJ23" s="36">
        <f>VLOOKUP($A23,[29]HISTOJANV24!$A$6:$CB$38,64,0)</f>
        <v>0</v>
      </c>
      <c r="AK23" s="36">
        <f>VLOOKUP($A23,[29]HISTOJANV24!$A$6:$CB$38,65,0)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MVTDEC23!I24-E24+L24</f>
        <v>1003391.6622572296</v>
      </c>
      <c r="G24" s="5">
        <f>IF(MVTDEC23!I24&gt;700000,(MVTDEC23!I24-E24+L24),0)</f>
        <v>1003391.6622572296</v>
      </c>
      <c r="H24" s="36">
        <f t="shared" si="0"/>
        <v>7494.5316557481055</v>
      </c>
      <c r="I24" s="6">
        <f t="shared" si="2"/>
        <v>1010886.1939129777</v>
      </c>
      <c r="J24" s="36">
        <f>VLOOKUP($A24,[29]HISTOJANV24!$A$6:$AQ$42,22,0)</f>
        <v>0</v>
      </c>
      <c r="K24" s="36">
        <f>VLOOKUP($A24,[29]HISTOJANV24!$A$6:$AU$38,45,0)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6"/>
        <v>1000</v>
      </c>
      <c r="O24" s="36">
        <f t="shared" si="7"/>
        <v>4000</v>
      </c>
      <c r="P24" s="36">
        <f>VLOOKUP($A24,[29]HISTOJANV24!$A$6:$AU$38,7,0)</f>
        <v>0</v>
      </c>
      <c r="Q24" s="36">
        <f>VLOOKUP($A24,[29]HISTOJANV24!$A$6:$AU$38,23,0)</f>
        <v>0</v>
      </c>
      <c r="R24" s="36">
        <f>VLOOKUP($A24,[29]HISTOJANV24!$A$6:$AU$38,46,0)</f>
        <v>0</v>
      </c>
      <c r="S24" s="36">
        <f>VLOOKUP($A24,[29]HISTOJANV24!$A$6:$AU$38,26,0)</f>
        <v>0</v>
      </c>
      <c r="T24" s="36">
        <f>VLOOKUP($A24,[29]HISTOJANV24!$A$6:$BG$38,58,0)</f>
        <v>0</v>
      </c>
      <c r="U24" s="36">
        <f>VLOOKUP($A24,[29]HISTOJANV24!$A$6:$AU$38,28,0)</f>
        <v>0</v>
      </c>
      <c r="V24" s="36">
        <f>VLOOKUP($A24,[29]HISTOJANV24!$A$6:$AU$38,19,0)</f>
        <v>0</v>
      </c>
      <c r="W24" s="36">
        <f>VLOOKUP($A24,[29]HISTOJANV24!$A$6:$AU$38,20,0)</f>
        <v>0</v>
      </c>
      <c r="X24" s="36">
        <f>VLOOKUP($A24,[29]HISTOJANV24!$A$6:$AU$38,27,0)</f>
        <v>0</v>
      </c>
      <c r="Y24" s="36">
        <f>VLOOKUP($A24,[29]HISTOJANV24!$A$6:$BM$38,33,0)</f>
        <v>0</v>
      </c>
      <c r="Z24" s="36">
        <f>VLOOKUP($A24,[29]HISTOJANV24!$A$6:$BM$38,65,0)</f>
        <v>0</v>
      </c>
      <c r="AA24" s="36"/>
      <c r="AB24" s="36">
        <f>VLOOKUP($A24,[29]HISTOJANV24!$A$6:$AU$38,43,0)</f>
        <v>0</v>
      </c>
      <c r="AC24" s="36">
        <f>VLOOKUP($A24,[29]HISTOJANV24!$A$6:$AU$38,44,0)</f>
        <v>0</v>
      </c>
      <c r="AD24" s="36">
        <f>VLOOKUP($A24,[29]HISTOJANV24!$A$6:$AU$38,47,0)</f>
        <v>0</v>
      </c>
      <c r="AE24" s="36">
        <f>VLOOKUP(A24,[29]HISTOJANV24!$A$6:$BB$38,54,0)</f>
        <v>0</v>
      </c>
      <c r="AF24" s="36">
        <f>VLOOKUP($A24,[29]HISTOJANV24!$A$6:$CB$38,60,0)</f>
        <v>0</v>
      </c>
      <c r="AG24" s="36">
        <f>VLOOKUP($A24,[29]HISTOJANV24!$A$6:$CB$38,61,0)</f>
        <v>0</v>
      </c>
      <c r="AH24" s="36">
        <f>VLOOKUP($A24,[29]HISTOJANV24!$A$6:$CB$38,62,0)</f>
        <v>0</v>
      </c>
      <c r="AI24" s="36">
        <f>VLOOKUP($A24,[29]HISTOJANV24!$A$6:$CB$38,63,0)</f>
        <v>0</v>
      </c>
      <c r="AJ24" s="36">
        <f>VLOOKUP($A24,[29]HISTOJANV24!$A$6:$CB$38,64,0)</f>
        <v>0</v>
      </c>
      <c r="AK24" s="36">
        <f>VLOOKUP($A24,[29]HISTOJANV24!$A$6:$CB$38,65,0)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MVTDEC23!I25-E25+L25</f>
        <v>817112.93803521746</v>
      </c>
      <c r="G25" s="5">
        <f>IF(MVTDEC23!I25&gt;700000,(MVTDEC23!I25-E25+L25),0)</f>
        <v>817112.93803521746</v>
      </c>
      <c r="H25" s="36">
        <f t="shared" si="0"/>
        <v>6103.1788590409469</v>
      </c>
      <c r="I25" s="6">
        <f t="shared" si="2"/>
        <v>823216.11689425842</v>
      </c>
      <c r="J25" s="36">
        <f>VLOOKUP($A25,[29]HISTOJANV24!$A$6:$AQ$42,22,0)</f>
        <v>0</v>
      </c>
      <c r="K25" s="36">
        <f>VLOOKUP($A25,[29]HISTOJANV24!$A$6:$AU$38,45,0)</f>
        <v>25000</v>
      </c>
      <c r="L25" s="36">
        <f t="shared" si="4"/>
        <v>19000</v>
      </c>
      <c r="M25" s="36">
        <f t="shared" si="5"/>
        <v>1000</v>
      </c>
      <c r="N25" s="36">
        <f t="shared" si="6"/>
        <v>1000</v>
      </c>
      <c r="O25" s="36">
        <f t="shared" si="7"/>
        <v>4000</v>
      </c>
      <c r="P25" s="36">
        <f>VLOOKUP($A25,[29]HISTOJANV24!$A$6:$AU$38,7,0)</f>
        <v>0</v>
      </c>
      <c r="Q25" s="36">
        <f>VLOOKUP($A25,[29]HISTOJANV24!$A$6:$AU$38,23,0)</f>
        <v>0</v>
      </c>
      <c r="R25" s="36">
        <f>VLOOKUP($A25,[29]HISTOJANV24!$A$6:$AU$38,46,0)</f>
        <v>0</v>
      </c>
      <c r="S25" s="36">
        <f>VLOOKUP($A25,[29]HISTOJANV24!$A$6:$AU$38,26,0)</f>
        <v>0</v>
      </c>
      <c r="T25" s="36">
        <f>VLOOKUP($A25,[29]HISTOJANV24!$A$6:$BG$38,58,0)</f>
        <v>0</v>
      </c>
      <c r="U25" s="36">
        <f>VLOOKUP($A25,[29]HISTOJANV24!$A$6:$AU$38,28,0)</f>
        <v>0</v>
      </c>
      <c r="V25" s="36">
        <f>VLOOKUP($A25,[29]HISTOJANV24!$A$6:$AU$38,19,0)</f>
        <v>0</v>
      </c>
      <c r="W25" s="36">
        <f>VLOOKUP($A25,[29]HISTOJANV24!$A$6:$AU$38,20,0)</f>
        <v>0</v>
      </c>
      <c r="X25" s="36">
        <f>VLOOKUP($A25,[29]HISTOJANV24!$A$6:$AU$38,27,0)</f>
        <v>0</v>
      </c>
      <c r="Y25" s="36">
        <f>VLOOKUP($A25,[29]HISTOJANV24!$A$6:$BM$38,33,0)</f>
        <v>0</v>
      </c>
      <c r="Z25" s="36">
        <f>VLOOKUP($A25,[29]HISTOJANV24!$A$6:$BM$38,65,0)</f>
        <v>0</v>
      </c>
      <c r="AA25" s="36"/>
      <c r="AB25" s="36">
        <f>VLOOKUP($A25,[29]HISTOJANV24!$A$6:$AU$38,43,0)</f>
        <v>0</v>
      </c>
      <c r="AC25" s="36">
        <f>VLOOKUP($A25,[29]HISTOJANV24!$A$6:$AU$38,44,0)</f>
        <v>0</v>
      </c>
      <c r="AD25" s="36">
        <f>VLOOKUP($A25,[29]HISTOJANV24!$A$6:$AU$38,47,0)</f>
        <v>0</v>
      </c>
      <c r="AE25" s="36">
        <f>VLOOKUP(A25,[29]HISTOJANV24!$A$6:$BB$38,54,0)</f>
        <v>0</v>
      </c>
      <c r="AF25" s="36">
        <f>VLOOKUP($A25,[29]HISTOJANV24!$A$6:$CB$38,60,0)</f>
        <v>0</v>
      </c>
      <c r="AG25" s="36">
        <f>VLOOKUP($A25,[29]HISTOJANV24!$A$6:$CB$38,61,0)</f>
        <v>0</v>
      </c>
      <c r="AH25" s="36">
        <f>VLOOKUP($A25,[29]HISTOJANV24!$A$6:$CB$38,62,0)</f>
        <v>0</v>
      </c>
      <c r="AI25" s="36">
        <f>VLOOKUP($A25,[29]HISTOJANV24!$A$6:$CB$38,63,0)</f>
        <v>0</v>
      </c>
      <c r="AJ25" s="36">
        <f>VLOOKUP($A25,[29]HISTOJANV24!$A$6:$CB$38,64,0)</f>
        <v>0</v>
      </c>
      <c r="AK25" s="36">
        <f>VLOOKUP($A25,[29]HISTOJANV24!$A$6:$CB$38,65,0)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MVTDEC23!I26-E26+L26</f>
        <v>777872.73073554703</v>
      </c>
      <c r="G26" s="5">
        <f>IF(MVTDEC23!I26&gt;700000,(MVTDEC23!I26-E26+L26),0)</f>
        <v>777872.73073554703</v>
      </c>
      <c r="H26" s="36">
        <f t="shared" si="0"/>
        <v>5810.0859553946084</v>
      </c>
      <c r="I26" s="6">
        <f t="shared" si="2"/>
        <v>783682.81669094169</v>
      </c>
      <c r="J26" s="36">
        <f>VLOOKUP($A26,[29]HISTOJANV24!$A$6:$AQ$42,22,0)</f>
        <v>0</v>
      </c>
      <c r="K26" s="36">
        <f>VLOOKUP($A26,[29]HISTOJANV24!$A$6:$AU$38,45,0)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6"/>
        <v>1000</v>
      </c>
      <c r="O26" s="36">
        <f t="shared" si="7"/>
        <v>4000</v>
      </c>
      <c r="P26" s="36">
        <f>VLOOKUP($A26,[29]HISTOJANV24!$A$6:$AU$38,7,0)</f>
        <v>0</v>
      </c>
      <c r="Q26" s="36">
        <f>VLOOKUP($A26,[29]HISTOJANV24!$A$6:$AU$38,23,0)</f>
        <v>0</v>
      </c>
      <c r="R26" s="36">
        <f>VLOOKUP($A26,[29]HISTOJANV24!$A$6:$AU$38,46,0)</f>
        <v>0</v>
      </c>
      <c r="S26" s="36">
        <f>VLOOKUP($A26,[29]HISTOJANV24!$A$6:$AU$38,26,0)</f>
        <v>0</v>
      </c>
      <c r="T26" s="36">
        <f>VLOOKUP($A26,[29]HISTOJANV24!$A$6:$BG$38,58,0)</f>
        <v>0</v>
      </c>
      <c r="U26" s="36">
        <f>VLOOKUP($A26,[29]HISTOJANV24!$A$6:$AU$38,28,0)</f>
        <v>0</v>
      </c>
      <c r="V26" s="36">
        <f>VLOOKUP($A26,[29]HISTOJANV24!$A$6:$AU$38,19,0)</f>
        <v>0</v>
      </c>
      <c r="W26" s="36">
        <f>VLOOKUP($A26,[29]HISTOJANV24!$A$6:$AU$38,20,0)</f>
        <v>0</v>
      </c>
      <c r="X26" s="36">
        <f>VLOOKUP($A26,[29]HISTOJANV24!$A$6:$AU$38,27,0)</f>
        <v>0</v>
      </c>
      <c r="Y26" s="36">
        <f>VLOOKUP($A26,[29]HISTOJANV24!$A$6:$BM$38,33,0)</f>
        <v>0</v>
      </c>
      <c r="Z26" s="36">
        <f>VLOOKUP($A26,[29]HISTOJANV24!$A$6:$BM$38,65,0)</f>
        <v>0</v>
      </c>
      <c r="AA26" s="36"/>
      <c r="AB26" s="36">
        <f>VLOOKUP($A26,[29]HISTOJANV24!$A$6:$AU$38,43,0)</f>
        <v>0</v>
      </c>
      <c r="AC26" s="36">
        <f>VLOOKUP($A26,[29]HISTOJANV24!$A$6:$AU$38,44,0)</f>
        <v>0</v>
      </c>
      <c r="AD26" s="36">
        <f>VLOOKUP($A26,[29]HISTOJANV24!$A$6:$AU$38,47,0)</f>
        <v>0</v>
      </c>
      <c r="AE26" s="36">
        <f>VLOOKUP(A26,[29]HISTOJANV24!$A$6:$BB$38,54,0)</f>
        <v>0</v>
      </c>
      <c r="AF26" s="36">
        <f>VLOOKUP($A26,[29]HISTOJANV24!$A$6:$CB$38,60,0)</f>
        <v>0</v>
      </c>
      <c r="AG26" s="36">
        <f>VLOOKUP($A26,[29]HISTOJANV24!$A$6:$CB$38,61,0)</f>
        <v>0</v>
      </c>
      <c r="AH26" s="36">
        <f>VLOOKUP($A26,[29]HISTOJANV24!$A$6:$CB$38,62,0)</f>
        <v>0</v>
      </c>
      <c r="AI26" s="36">
        <f>VLOOKUP($A26,[29]HISTOJANV24!$A$6:$CB$38,63,0)</f>
        <v>0</v>
      </c>
      <c r="AJ26" s="36">
        <f>VLOOKUP($A26,[29]HISTOJANV24!$A$6:$CB$38,64,0)</f>
        <v>0</v>
      </c>
      <c r="AK26" s="36">
        <f>VLOOKUP($A26,[29]HISTOJANV24!$A$6:$CB$38,65,0)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MVTDEC23!I27-E27+L27</f>
        <v>776449.23134549521</v>
      </c>
      <c r="G27" s="5">
        <f>IF(MVTDEC23!I27&gt;700000,(MVTDEC23!I27-E27+L27),0)</f>
        <v>776449.23134549521</v>
      </c>
      <c r="H27" s="36">
        <f t="shared" si="0"/>
        <v>5799.4535556628007</v>
      </c>
      <c r="I27" s="6">
        <f t="shared" si="2"/>
        <v>782248.68490115798</v>
      </c>
      <c r="J27" s="36">
        <f>VLOOKUP($A27,[29]HISTOJANV24!$A$6:$AQ$42,22,0)</f>
        <v>0</v>
      </c>
      <c r="K27" s="36">
        <f>VLOOKUP($A27,[29]HISTOJANV24!$A$6:$AU$38,45,0)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6"/>
        <v>1000</v>
      </c>
      <c r="O27" s="36">
        <f t="shared" si="7"/>
        <v>4000</v>
      </c>
      <c r="P27" s="36">
        <f>VLOOKUP($A27,[29]HISTOJANV24!$A$6:$AU$38,7,0)</f>
        <v>0</v>
      </c>
      <c r="Q27" s="36">
        <f>VLOOKUP($A27,[29]HISTOJANV24!$A$6:$AU$38,23,0)</f>
        <v>0</v>
      </c>
      <c r="R27" s="36">
        <f>VLOOKUP($A27,[29]HISTOJANV24!$A$6:$AU$38,46,0)</f>
        <v>0</v>
      </c>
      <c r="S27" s="36">
        <f>VLOOKUP($A27,[29]HISTOJANV24!$A$6:$AU$38,26,0)</f>
        <v>0</v>
      </c>
      <c r="T27" s="36">
        <f>VLOOKUP($A27,[29]HISTOJANV24!$A$6:$BG$38,58,0)</f>
        <v>0</v>
      </c>
      <c r="U27" s="36">
        <f>VLOOKUP($A27,[29]HISTOJANV24!$A$6:$AU$38,28,0)</f>
        <v>0</v>
      </c>
      <c r="V27" s="36">
        <f>VLOOKUP($A27,[29]HISTOJANV24!$A$6:$AU$38,19,0)</f>
        <v>0</v>
      </c>
      <c r="W27" s="36">
        <f>VLOOKUP($A27,[29]HISTOJANV24!$A$6:$AU$38,20,0)</f>
        <v>0</v>
      </c>
      <c r="X27" s="36">
        <f>VLOOKUP($A27,[29]HISTOJANV24!$A$6:$AU$38,27,0)</f>
        <v>0</v>
      </c>
      <c r="Y27" s="36">
        <f>VLOOKUP($A27,[29]HISTOJANV24!$A$6:$BM$38,33,0)</f>
        <v>0</v>
      </c>
      <c r="Z27" s="36">
        <f>VLOOKUP($A27,[29]HISTOJANV24!$A$6:$BM$38,65,0)</f>
        <v>0</v>
      </c>
      <c r="AA27" s="36"/>
      <c r="AB27" s="36">
        <f>VLOOKUP($A27,[29]HISTOJANV24!$A$6:$AU$38,43,0)</f>
        <v>0</v>
      </c>
      <c r="AC27" s="36">
        <f>VLOOKUP($A27,[29]HISTOJANV24!$A$6:$AU$38,44,0)</f>
        <v>0</v>
      </c>
      <c r="AD27" s="36">
        <f>VLOOKUP($A27,[29]HISTOJANV24!$A$6:$AU$38,47,0)</f>
        <v>0</v>
      </c>
      <c r="AE27" s="36">
        <f>VLOOKUP(A27,[29]HISTOJANV24!$A$6:$BB$38,54,0)</f>
        <v>0</v>
      </c>
      <c r="AF27" s="36">
        <f>VLOOKUP($A27,[29]HISTOJANV24!$A$6:$CB$38,60,0)</f>
        <v>0</v>
      </c>
      <c r="AG27" s="36">
        <f>VLOOKUP($A27,[29]HISTOJANV24!$A$6:$CB$38,61,0)</f>
        <v>0</v>
      </c>
      <c r="AH27" s="36">
        <f>VLOOKUP($A27,[29]HISTOJANV24!$A$6:$CB$38,62,0)</f>
        <v>0</v>
      </c>
      <c r="AI27" s="36">
        <f>VLOOKUP($A27,[29]HISTOJANV24!$A$6:$CB$38,63,0)</f>
        <v>0</v>
      </c>
      <c r="AJ27" s="36">
        <f>VLOOKUP($A27,[29]HISTOJANV24!$A$6:$CB$38,64,0)</f>
        <v>0</v>
      </c>
      <c r="AK27" s="36">
        <f>VLOOKUP($A27,[29]HISTOJANV24!$A$6:$CB$38,65,0)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MVTDEC23!I28-E28+L28</f>
        <v>685019</v>
      </c>
      <c r="G28" s="5">
        <f>IF(MVTDEC23!I28&gt;700000,(MVTDEC23!I28-E28+L28),0)</f>
        <v>0</v>
      </c>
      <c r="H28" s="36">
        <f t="shared" si="0"/>
        <v>0</v>
      </c>
      <c r="I28" s="6">
        <f t="shared" si="2"/>
        <v>685019</v>
      </c>
      <c r="J28" s="36">
        <f>VLOOKUP($A28,[29]HISTOJANV24!$A$6:$AQ$42,22,0)</f>
        <v>0</v>
      </c>
      <c r="K28" s="36">
        <f>VLOOKUP($A28,[29]HISTOJANV24!$A$6:$AU$38,45,0)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6"/>
        <v>1000</v>
      </c>
      <c r="O28" s="36">
        <f t="shared" si="7"/>
        <v>4000</v>
      </c>
      <c r="P28" s="36">
        <f>VLOOKUP($A28,[29]HISTOJANV24!$A$6:$AU$38,7,0)</f>
        <v>0</v>
      </c>
      <c r="Q28" s="36">
        <f>VLOOKUP($A28,[29]HISTOJANV24!$A$6:$AU$38,23,0)</f>
        <v>0</v>
      </c>
      <c r="R28" s="36">
        <f>VLOOKUP($A28,[29]HISTOJANV24!$A$6:$AU$38,46,0)</f>
        <v>0</v>
      </c>
      <c r="S28" s="36">
        <f>VLOOKUP($A28,[29]HISTOJANV24!$A$6:$AU$38,26,0)</f>
        <v>0</v>
      </c>
      <c r="T28" s="36">
        <f>VLOOKUP($A28,[29]HISTOJANV24!$A$6:$BG$38,58,0)</f>
        <v>0</v>
      </c>
      <c r="U28" s="36">
        <f>VLOOKUP($A28,[29]HISTOJANV24!$A$6:$AU$38,28,0)</f>
        <v>0</v>
      </c>
      <c r="V28" s="36">
        <f>VLOOKUP($A28,[29]HISTOJANV24!$A$6:$AU$38,19,0)</f>
        <v>0</v>
      </c>
      <c r="W28" s="36">
        <f>VLOOKUP($A28,[29]HISTOJANV24!$A$6:$AU$38,20,0)</f>
        <v>0</v>
      </c>
      <c r="X28" s="36">
        <f>VLOOKUP($A28,[29]HISTOJANV24!$A$6:$AU$38,27,0)</f>
        <v>0</v>
      </c>
      <c r="Y28" s="36">
        <f>VLOOKUP($A28,[29]HISTOJANV24!$A$6:$BM$38,33,0)</f>
        <v>0</v>
      </c>
      <c r="Z28" s="36">
        <f>VLOOKUP($A28,[29]HISTOJANV24!$A$6:$BM$38,65,0)</f>
        <v>0</v>
      </c>
      <c r="AA28" s="36"/>
      <c r="AB28" s="36">
        <f>VLOOKUP($A28,[29]HISTOJANV24!$A$6:$AU$38,43,0)</f>
        <v>0</v>
      </c>
      <c r="AC28" s="36">
        <f>VLOOKUP($A28,[29]HISTOJANV24!$A$6:$AU$38,44,0)</f>
        <v>0</v>
      </c>
      <c r="AD28" s="36">
        <f>VLOOKUP($A28,[29]HISTOJANV24!$A$6:$AU$38,47,0)</f>
        <v>0</v>
      </c>
      <c r="AE28" s="36">
        <f>VLOOKUP(A28,[29]HISTOJANV24!$A$6:$BB$38,54,0)</f>
        <v>0</v>
      </c>
      <c r="AF28" s="36">
        <f>VLOOKUP($A28,[29]HISTOJANV24!$A$6:$CB$38,60,0)</f>
        <v>0</v>
      </c>
      <c r="AG28" s="36">
        <f>VLOOKUP($A28,[29]HISTOJANV24!$A$6:$CB$38,61,0)</f>
        <v>0</v>
      </c>
      <c r="AH28" s="36">
        <f>VLOOKUP($A28,[29]HISTOJANV24!$A$6:$CB$38,62,0)</f>
        <v>0</v>
      </c>
      <c r="AI28" s="36">
        <f>VLOOKUP($A28,[29]HISTOJANV24!$A$6:$CB$38,63,0)</f>
        <v>0</v>
      </c>
      <c r="AJ28" s="36">
        <f>VLOOKUP($A28,[29]HISTOJANV24!$A$6:$CB$38,64,0)</f>
        <v>0</v>
      </c>
      <c r="AK28" s="36">
        <f>VLOOKUP($A28,[29]HISTOJANV24!$A$6:$CB$38,65,0)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MVTDEC23!I29-E29+L29</f>
        <v>802433.32353387238</v>
      </c>
      <c r="G29" s="5">
        <f>IF(MVTDEC23!I29&gt;700000,(MVTDEC23!I29-E29+L29),0)</f>
        <v>802433.32353387238</v>
      </c>
      <c r="H29" s="36">
        <f t="shared" si="0"/>
        <v>5993.5339021284926</v>
      </c>
      <c r="I29" s="6">
        <f t="shared" si="2"/>
        <v>808426.85743600084</v>
      </c>
      <c r="J29" s="36">
        <f>VLOOKUP($A29,[29]HISTOJANV24!$A$6:$AQ$42,22,0)</f>
        <v>0</v>
      </c>
      <c r="K29" s="36">
        <f>VLOOKUP($A29,[29]HISTOJANV24!$A$6:$AU$38,45,0)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6"/>
        <v>1000</v>
      </c>
      <c r="O29" s="36">
        <f t="shared" si="7"/>
        <v>4000</v>
      </c>
      <c r="P29" s="36">
        <f>VLOOKUP($A29,[29]HISTOJANV24!$A$6:$AU$38,7,0)</f>
        <v>0</v>
      </c>
      <c r="Q29" s="36">
        <f>VLOOKUP($A29,[29]HISTOJANV24!$A$6:$AU$38,23,0)</f>
        <v>0</v>
      </c>
      <c r="R29" s="36">
        <f>VLOOKUP($A29,[29]HISTOJANV24!$A$6:$AU$38,46,0)</f>
        <v>0</v>
      </c>
      <c r="S29" s="36">
        <f>VLOOKUP($A29,[29]HISTOJANV24!$A$6:$AU$38,26,0)</f>
        <v>0</v>
      </c>
      <c r="T29" s="36">
        <f>VLOOKUP($A29,[29]HISTOJANV24!$A$6:$BG$38,58,0)</f>
        <v>0</v>
      </c>
      <c r="U29" s="36">
        <f>VLOOKUP($A29,[29]HISTOJANV24!$A$6:$AU$38,28,0)</f>
        <v>0</v>
      </c>
      <c r="V29" s="36">
        <f>VLOOKUP($A29,[29]HISTOJANV24!$A$6:$AU$38,19,0)</f>
        <v>0</v>
      </c>
      <c r="W29" s="36">
        <f>VLOOKUP($A29,[29]HISTOJANV24!$A$6:$AU$38,20,0)</f>
        <v>0</v>
      </c>
      <c r="X29" s="36">
        <f>VLOOKUP($A29,[29]HISTOJANV24!$A$6:$AU$38,27,0)</f>
        <v>0</v>
      </c>
      <c r="Y29" s="36">
        <f>VLOOKUP($A29,[29]HISTOJANV24!$A$6:$BM$38,33,0)</f>
        <v>0</v>
      </c>
      <c r="Z29" s="36">
        <f>VLOOKUP($A29,[29]HISTOJANV24!$A$6:$BM$38,65,0)</f>
        <v>0</v>
      </c>
      <c r="AA29" s="36"/>
      <c r="AB29" s="36">
        <f>VLOOKUP($A29,[29]HISTOJANV24!$A$6:$AU$38,43,0)</f>
        <v>0</v>
      </c>
      <c r="AC29" s="36">
        <f>VLOOKUP($A29,[29]HISTOJANV24!$A$6:$AU$38,44,0)</f>
        <v>0</v>
      </c>
      <c r="AD29" s="36">
        <f>VLOOKUP($A29,[29]HISTOJANV24!$A$6:$AU$38,47,0)</f>
        <v>0</v>
      </c>
      <c r="AE29" s="36">
        <f>VLOOKUP(A29,[29]HISTOJANV24!$A$6:$BB$38,54,0)</f>
        <v>0</v>
      </c>
      <c r="AF29" s="36">
        <f>VLOOKUP($A29,[29]HISTOJANV24!$A$6:$CB$38,60,0)</f>
        <v>0</v>
      </c>
      <c r="AG29" s="36">
        <f>VLOOKUP($A29,[29]HISTOJANV24!$A$6:$CB$38,61,0)</f>
        <v>0</v>
      </c>
      <c r="AH29" s="36">
        <f>VLOOKUP($A29,[29]HISTOJANV24!$A$6:$CB$38,62,0)</f>
        <v>0</v>
      </c>
      <c r="AI29" s="36">
        <f>VLOOKUP($A29,[29]HISTOJANV24!$A$6:$CB$38,63,0)</f>
        <v>0</v>
      </c>
      <c r="AJ29" s="36">
        <f>VLOOKUP($A29,[29]HISTOJANV24!$A$6:$CB$38,64,0)</f>
        <v>0</v>
      </c>
      <c r="AK29" s="36">
        <f>VLOOKUP($A29,[29]HISTOJANV24!$A$6:$CB$38,65,0)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MVTDEC23!I30-E30+L30</f>
        <v>714500</v>
      </c>
      <c r="G30" s="5">
        <f>IF(MVTDEC23!I30&gt;700000,(MVTDEC23!I30-E30+L30),0)</f>
        <v>0</v>
      </c>
      <c r="H30" s="36">
        <f t="shared" si="0"/>
        <v>0</v>
      </c>
      <c r="I30" s="6">
        <f t="shared" si="2"/>
        <v>714500</v>
      </c>
      <c r="J30" s="36">
        <f>VLOOKUP($A30,[29]HISTOJANV24!$A$6:$AQ$42,22,0)</f>
        <v>0</v>
      </c>
      <c r="K30" s="36">
        <f>VLOOKUP($A30,[29]HISTOJANV24!$A$6:$AU$38,45,0)</f>
        <v>475000</v>
      </c>
      <c r="L30" s="36">
        <f t="shared" si="4"/>
        <v>469000</v>
      </c>
      <c r="M30" s="36">
        <f t="shared" si="5"/>
        <v>1000</v>
      </c>
      <c r="N30" s="36">
        <f t="shared" si="6"/>
        <v>1000</v>
      </c>
      <c r="O30" s="36">
        <f t="shared" si="7"/>
        <v>4000</v>
      </c>
      <c r="P30" s="36">
        <f>VLOOKUP($A30,[29]HISTOJANV24!$A$6:$AU$38,7,0)</f>
        <v>0</v>
      </c>
      <c r="Q30" s="36">
        <f>VLOOKUP($A30,[29]HISTOJANV24!$A$6:$AU$38,23,0)</f>
        <v>0</v>
      </c>
      <c r="R30" s="36">
        <f>VLOOKUP($A30,[29]HISTOJANV24!$A$6:$AU$38,46,0)</f>
        <v>0</v>
      </c>
      <c r="S30" s="36">
        <f>VLOOKUP($A30,[29]HISTOJANV24!$A$6:$AU$38,26,0)</f>
        <v>0</v>
      </c>
      <c r="T30" s="36">
        <f>VLOOKUP($A30,[29]HISTOJANV24!$A$6:$BG$38,58,0)</f>
        <v>0</v>
      </c>
      <c r="U30" s="36">
        <f>VLOOKUP($A30,[29]HISTOJANV24!$A$6:$AU$38,28,0)</f>
        <v>0</v>
      </c>
      <c r="V30" s="36">
        <f>VLOOKUP($A30,[29]HISTOJANV24!$A$6:$AU$38,19,0)</f>
        <v>0</v>
      </c>
      <c r="W30" s="36">
        <f>VLOOKUP($A30,[29]HISTOJANV24!$A$6:$AU$38,20,0)</f>
        <v>0</v>
      </c>
      <c r="X30" s="36">
        <f>VLOOKUP($A30,[29]HISTOJANV24!$A$6:$AU$38,27,0)</f>
        <v>0</v>
      </c>
      <c r="Y30" s="36">
        <f>VLOOKUP($A30,[29]HISTOJANV24!$A$6:$BM$38,33,0)</f>
        <v>0</v>
      </c>
      <c r="Z30" s="36">
        <f>VLOOKUP($A30,[29]HISTOJANV24!$A$6:$BM$38,65,0)</f>
        <v>0</v>
      </c>
      <c r="AA30" s="36"/>
      <c r="AB30" s="36">
        <f>VLOOKUP($A30,[29]HISTOJANV24!$A$6:$AU$38,43,0)</f>
        <v>0</v>
      </c>
      <c r="AC30" s="36">
        <f>VLOOKUP($A30,[29]HISTOJANV24!$A$6:$AU$38,44,0)</f>
        <v>0</v>
      </c>
      <c r="AD30" s="36">
        <f>VLOOKUP($A30,[29]HISTOJANV24!$A$6:$AU$38,47,0)</f>
        <v>0</v>
      </c>
      <c r="AE30" s="36">
        <f>VLOOKUP(A30,[29]HISTOJANV24!$A$6:$BB$38,54,0)</f>
        <v>0</v>
      </c>
      <c r="AF30" s="36">
        <f>VLOOKUP($A30,[29]HISTOJANV24!$A$6:$CB$38,60,0)</f>
        <v>0</v>
      </c>
      <c r="AG30" s="36">
        <f>VLOOKUP($A30,[29]HISTOJANV24!$A$6:$CB$38,61,0)</f>
        <v>0</v>
      </c>
      <c r="AH30" s="36">
        <f>VLOOKUP($A30,[29]HISTOJANV24!$A$6:$CB$38,62,0)</f>
        <v>0</v>
      </c>
      <c r="AI30" s="36">
        <f>VLOOKUP($A30,[29]HISTOJANV24!$A$6:$CB$38,63,0)</f>
        <v>0</v>
      </c>
      <c r="AJ30" s="36">
        <f>VLOOKUP($A30,[29]HISTOJANV24!$A$6:$CB$38,64,0)</f>
        <v>0</v>
      </c>
      <c r="AK30" s="36">
        <f>VLOOKUP($A30,[29]HISTOJANV24!$A$6:$CB$38,65,0)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MVTDEC23!I31-E31+L31</f>
        <v>866341.20913883601</v>
      </c>
      <c r="G31" s="5">
        <f>IF(MVTDEC23!I31&gt;700000,(MVTDEC23!I31-E31+L31),0)</f>
        <v>866341.20913883601</v>
      </c>
      <c r="H31" s="36">
        <f t="shared" si="0"/>
        <v>6470.8745954334991</v>
      </c>
      <c r="I31" s="6">
        <f t="shared" si="2"/>
        <v>872812.08373426949</v>
      </c>
      <c r="J31" s="36">
        <f>VLOOKUP($A31,[29]HISTOJANV24!$A$6:$AQ$42,22,0)</f>
        <v>0</v>
      </c>
      <c r="K31" s="36">
        <f>VLOOKUP($A31,[29]HISTOJANV24!$A$6:$AU$38,45,0)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6"/>
        <v>1000</v>
      </c>
      <c r="O31" s="36">
        <f t="shared" si="7"/>
        <v>4000</v>
      </c>
      <c r="P31" s="36">
        <f>VLOOKUP($A31,[29]HISTOJANV24!$A$6:$AU$38,7,0)</f>
        <v>0</v>
      </c>
      <c r="Q31" s="36">
        <f>VLOOKUP($A31,[29]HISTOJANV24!$A$6:$AU$38,23,0)</f>
        <v>0</v>
      </c>
      <c r="R31" s="36">
        <f>VLOOKUP($A31,[29]HISTOJANV24!$A$6:$AU$38,46,0)</f>
        <v>0</v>
      </c>
      <c r="S31" s="36">
        <f>VLOOKUP($A31,[29]HISTOJANV24!$A$6:$AU$38,26,0)</f>
        <v>0</v>
      </c>
      <c r="T31" s="36">
        <f>VLOOKUP($A31,[29]HISTOJANV24!$A$6:$BG$38,58,0)</f>
        <v>0</v>
      </c>
      <c r="U31" s="36">
        <f>VLOOKUP($A31,[29]HISTOJANV24!$A$6:$AU$38,28,0)</f>
        <v>0</v>
      </c>
      <c r="V31" s="36">
        <f>VLOOKUP($A31,[29]HISTOJANV24!$A$6:$AU$38,19,0)</f>
        <v>0</v>
      </c>
      <c r="W31" s="36">
        <f>VLOOKUP($A31,[29]HISTOJANV24!$A$6:$AU$38,20,0)</f>
        <v>0</v>
      </c>
      <c r="X31" s="36">
        <f>VLOOKUP($A31,[29]HISTOJANV24!$A$6:$AU$38,27,0)</f>
        <v>0</v>
      </c>
      <c r="Y31" s="36">
        <f>VLOOKUP($A31,[29]HISTOJANV24!$A$6:$BM$38,33,0)</f>
        <v>0</v>
      </c>
      <c r="Z31" s="36">
        <f>VLOOKUP($A31,[29]HISTOJANV24!$A$6:$BM$38,65,0)</f>
        <v>0</v>
      </c>
      <c r="AA31" s="36"/>
      <c r="AB31" s="36">
        <f>VLOOKUP($A31,[29]HISTOJANV24!$A$6:$AU$38,43,0)</f>
        <v>0</v>
      </c>
      <c r="AC31" s="36">
        <f>VLOOKUP($A31,[29]HISTOJANV24!$A$6:$AU$38,44,0)</f>
        <v>0</v>
      </c>
      <c r="AD31" s="36">
        <f>VLOOKUP($A31,[29]HISTOJANV24!$A$6:$AU$38,47,0)</f>
        <v>0</v>
      </c>
      <c r="AE31" s="36">
        <f>VLOOKUP(A31,[29]HISTOJANV24!$A$6:$BB$38,54,0)</f>
        <v>0</v>
      </c>
      <c r="AF31" s="36">
        <f>VLOOKUP($A31,[29]HISTOJANV24!$A$6:$CB$38,60,0)</f>
        <v>0</v>
      </c>
      <c r="AG31" s="36">
        <f>VLOOKUP($A31,[29]HISTOJANV24!$A$6:$CB$38,61,0)</f>
        <v>0</v>
      </c>
      <c r="AH31" s="36">
        <f>VLOOKUP($A31,[29]HISTOJANV24!$A$6:$CB$38,62,0)</f>
        <v>0</v>
      </c>
      <c r="AI31" s="36">
        <f>VLOOKUP($A31,[29]HISTOJANV24!$A$6:$CB$38,63,0)</f>
        <v>0</v>
      </c>
      <c r="AJ31" s="36">
        <f>VLOOKUP($A31,[29]HISTOJANV24!$A$6:$CB$38,64,0)</f>
        <v>0</v>
      </c>
      <c r="AK31" s="36">
        <f>VLOOKUP($A31,[29]HISTOJANV24!$A$6:$CB$38,65,0)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MVTDEC23!I32-E32+L32</f>
        <v>757124.19510298676</v>
      </c>
      <c r="G32" s="5">
        <f>IF(MVTDEC23!I32&gt;700000,(MVTDEC23!I32-E32+L32),0)</f>
        <v>757124.19510298676</v>
      </c>
      <c r="H32" s="36">
        <f t="shared" si="0"/>
        <v>5655.1110209220351</v>
      </c>
      <c r="I32" s="6">
        <f t="shared" si="2"/>
        <v>762779.30612390884</v>
      </c>
      <c r="J32" s="36">
        <f>VLOOKUP($A32,[29]HISTOJANV24!$A$6:$AQ$42,22,0)</f>
        <v>0</v>
      </c>
      <c r="K32" s="36">
        <f>VLOOKUP($A32,[29]HISTOJANV24!$A$6:$AU$38,45,0)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6"/>
        <v>1000</v>
      </c>
      <c r="O32" s="36">
        <f t="shared" si="7"/>
        <v>4000</v>
      </c>
      <c r="P32" s="36">
        <f>VLOOKUP($A32,[29]HISTOJANV24!$A$6:$AU$38,7,0)</f>
        <v>0</v>
      </c>
      <c r="Q32" s="36">
        <f>VLOOKUP($A32,[29]HISTOJANV24!$A$6:$AU$38,23,0)</f>
        <v>0</v>
      </c>
      <c r="R32" s="36">
        <f>VLOOKUP($A32,[29]HISTOJANV24!$A$6:$AU$38,46,0)</f>
        <v>0</v>
      </c>
      <c r="S32" s="36">
        <f>VLOOKUP($A32,[29]HISTOJANV24!$A$6:$AU$38,26,0)</f>
        <v>0</v>
      </c>
      <c r="T32" s="36">
        <f>VLOOKUP($A32,[29]HISTOJANV24!$A$6:$BG$38,58,0)</f>
        <v>0</v>
      </c>
      <c r="U32" s="36">
        <f>VLOOKUP($A32,[29]HISTOJANV24!$A$6:$AU$38,28,0)</f>
        <v>0</v>
      </c>
      <c r="V32" s="36">
        <f>VLOOKUP($A32,[29]HISTOJANV24!$A$6:$AU$38,19,0)</f>
        <v>0</v>
      </c>
      <c r="W32" s="36">
        <f>VLOOKUP($A32,[29]HISTOJANV24!$A$6:$AU$38,20,0)</f>
        <v>0</v>
      </c>
      <c r="X32" s="36">
        <f>VLOOKUP($A32,[29]HISTOJANV24!$A$6:$AU$38,27,0)</f>
        <v>0</v>
      </c>
      <c r="Y32" s="36">
        <f>VLOOKUP($A32,[29]HISTOJANV24!$A$6:$BM$38,33,0)</f>
        <v>0</v>
      </c>
      <c r="Z32" s="36">
        <f>VLOOKUP($A32,[29]HISTOJANV24!$A$6:$BM$38,65,0)</f>
        <v>0</v>
      </c>
      <c r="AA32" s="36"/>
      <c r="AB32" s="36">
        <f>VLOOKUP($A32,[29]HISTOJANV24!$A$6:$AU$38,43,0)</f>
        <v>0</v>
      </c>
      <c r="AC32" s="36">
        <f>VLOOKUP($A32,[29]HISTOJANV24!$A$6:$AU$38,44,0)</f>
        <v>0</v>
      </c>
      <c r="AD32" s="36">
        <f>VLOOKUP($A32,[29]HISTOJANV24!$A$6:$AU$38,47,0)</f>
        <v>0</v>
      </c>
      <c r="AE32" s="36">
        <f>VLOOKUP(A32,[29]HISTOJANV24!$A$6:$BB$38,54,0)</f>
        <v>0</v>
      </c>
      <c r="AF32" s="36">
        <f>VLOOKUP($A32,[29]HISTOJANV24!$A$6:$CB$38,60,0)</f>
        <v>0</v>
      </c>
      <c r="AG32" s="36">
        <f>VLOOKUP($A32,[29]HISTOJANV24!$A$6:$CB$38,61,0)</f>
        <v>0</v>
      </c>
      <c r="AH32" s="36">
        <f>VLOOKUP($A32,[29]HISTOJANV24!$A$6:$CB$38,62,0)</f>
        <v>0</v>
      </c>
      <c r="AI32" s="36">
        <f>VLOOKUP($A32,[29]HISTOJANV24!$A$6:$CB$38,63,0)</f>
        <v>0</v>
      </c>
      <c r="AJ32" s="36">
        <f>VLOOKUP($A32,[29]HISTOJANV24!$A$6:$CB$38,64,0)</f>
        <v>0</v>
      </c>
      <c r="AK32" s="36">
        <f>VLOOKUP($A32,[29]HISTOJANV24!$A$6:$CB$38,65,0)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MVTDEC23!I33-E33+L33</f>
        <v>757428.84072076471</v>
      </c>
      <c r="G33" s="5">
        <f>IF(MVTDEC23!I33&gt;700000,(MVTDEC23!I33-E33+L33),0)</f>
        <v>757428.84072076471</v>
      </c>
      <c r="H33" s="36">
        <f t="shared" si="0"/>
        <v>5657.3864795610725</v>
      </c>
      <c r="I33" s="6">
        <f t="shared" si="2"/>
        <v>763086.22720032581</v>
      </c>
      <c r="J33" s="36">
        <f>VLOOKUP($A33,[29]HISTOJANV24!$A$6:$AQ$42,22,0)</f>
        <v>0</v>
      </c>
      <c r="K33" s="36">
        <f>VLOOKUP($A33,[29]HISTOJANV24!$A$6:$AU$38,45,0)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6"/>
        <v>1000</v>
      </c>
      <c r="O33" s="36">
        <f t="shared" si="7"/>
        <v>4000</v>
      </c>
      <c r="P33" s="36">
        <f>VLOOKUP($A33,[29]HISTOJANV24!$A$6:$AU$38,7,0)</f>
        <v>0</v>
      </c>
      <c r="Q33" s="36">
        <f>VLOOKUP($A33,[29]HISTOJANV24!$A$6:$AU$38,23,0)</f>
        <v>0</v>
      </c>
      <c r="R33" s="36">
        <f>VLOOKUP($A33,[29]HISTOJANV24!$A$6:$AU$38,46,0)</f>
        <v>0</v>
      </c>
      <c r="S33" s="36">
        <f>VLOOKUP($A33,[29]HISTOJANV24!$A$6:$AU$38,26,0)</f>
        <v>1000000</v>
      </c>
      <c r="T33" s="36">
        <f>VLOOKUP($A33,[29]HISTOJANV24!$A$6:$BG$38,58,0)</f>
        <v>60000</v>
      </c>
      <c r="U33" s="36">
        <f>VLOOKUP($A33,[29]HISTOJANV24!$A$6:$AU$38,28,0)</f>
        <v>0</v>
      </c>
      <c r="V33" s="36">
        <f>VLOOKUP($A33,[29]HISTOJANV24!$A$6:$AU$38,19,0)</f>
        <v>0</v>
      </c>
      <c r="W33" s="36">
        <f>VLOOKUP($A33,[29]HISTOJANV24!$A$6:$AU$38,20,0)</f>
        <v>0</v>
      </c>
      <c r="X33" s="36">
        <f>VLOOKUP($A33,[29]HISTOJANV24!$A$6:$AU$38,27,0)</f>
        <v>0</v>
      </c>
      <c r="Y33" s="36">
        <f>VLOOKUP($A33,[29]HISTOJANV24!$A$6:$BM$38,33,0)</f>
        <v>0</v>
      </c>
      <c r="Z33" s="36">
        <f>VLOOKUP($A33,[29]HISTOJANV24!$A$6:$BM$38,65,0)</f>
        <v>0</v>
      </c>
      <c r="AA33" s="36"/>
      <c r="AB33" s="36">
        <f>VLOOKUP($A33,[29]HISTOJANV24!$A$6:$AU$38,43,0)</f>
        <v>0</v>
      </c>
      <c r="AC33" s="36">
        <f>VLOOKUP($A33,[29]HISTOJANV24!$A$6:$AU$38,44,0)</f>
        <v>0</v>
      </c>
      <c r="AD33" s="36">
        <f>VLOOKUP($A33,[29]HISTOJANV24!$A$6:$AU$38,47,0)</f>
        <v>0</v>
      </c>
      <c r="AE33" s="36">
        <f>VLOOKUP(A33,[29]HISTOJANV24!$A$6:$BB$38,54,0)</f>
        <v>0</v>
      </c>
      <c r="AF33" s="36">
        <f>VLOOKUP($A33,[29]HISTOJANV24!$A$6:$CB$38,60,0)</f>
        <v>0</v>
      </c>
      <c r="AG33" s="36">
        <f>VLOOKUP($A33,[29]HISTOJANV24!$A$6:$CB$38,61,0)</f>
        <v>0</v>
      </c>
      <c r="AH33" s="36">
        <f>VLOOKUP($A33,[29]HISTOJANV24!$A$6:$CB$38,62,0)</f>
        <v>0</v>
      </c>
      <c r="AI33" s="36">
        <f>VLOOKUP($A33,[29]HISTOJANV24!$A$6:$CB$38,63,0)</f>
        <v>0</v>
      </c>
      <c r="AJ33" s="36">
        <f>VLOOKUP($A33,[29]HISTOJANV24!$A$6:$CB$38,64,0)</f>
        <v>0</v>
      </c>
      <c r="AK33" s="36">
        <f>VLOOKUP($A33,[29]HISTOJANV24!$A$6:$CB$38,65,0)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MVTDEC23!I34-E34+L34</f>
        <v>264000</v>
      </c>
      <c r="G34" s="5">
        <f>IF(MVTDEC23!I34&gt;700000,(MVTDEC23!I34-E34+L34),0)</f>
        <v>0</v>
      </c>
      <c r="H34" s="36">
        <f t="shared" si="0"/>
        <v>0</v>
      </c>
      <c r="I34" s="6">
        <f t="shared" si="2"/>
        <v>264000</v>
      </c>
      <c r="J34" s="36">
        <f>VLOOKUP($A34,[29]HISTOJANV24!$A$6:$AQ$42,22,0)</f>
        <v>0</v>
      </c>
      <c r="K34" s="36">
        <f>VLOOKUP($A34,[29]HISTOJANV24!$A$6:$AU$38,45,0)</f>
        <v>270000</v>
      </c>
      <c r="L34" s="36">
        <f t="shared" ref="L34" si="12">IF(K34=0,0,K34-(M34+N34+O34))</f>
        <v>264000</v>
      </c>
      <c r="M34" s="36">
        <f t="shared" ref="M34" si="13">IF(K34=0,0,1000)</f>
        <v>1000</v>
      </c>
      <c r="N34" s="36">
        <f t="shared" ref="N34" si="14">IF(K34=0,0,1000)</f>
        <v>1000</v>
      </c>
      <c r="O34" s="36">
        <f t="shared" ref="O34" si="15">IF(K34=0,0,4000)</f>
        <v>4000</v>
      </c>
      <c r="P34" s="36">
        <f>VLOOKUP($A34,[29]HISTOJANV24!$A$6:$AU$38,7,0)</f>
        <v>0</v>
      </c>
      <c r="Q34" s="36">
        <f>VLOOKUP($A34,[29]HISTOJANV24!$A$6:$AU$38,23,0)</f>
        <v>25000</v>
      </c>
      <c r="R34" s="36">
        <f>VLOOKUP($A34,[29]HISTOJANV24!$A$6:$AU$38,46,0)</f>
        <v>120000</v>
      </c>
      <c r="S34" s="36">
        <f>VLOOKUP($A34,[29]HISTOJANV24!$A$6:$AU$38,26,0)</f>
        <v>0</v>
      </c>
      <c r="T34" s="36">
        <f>VLOOKUP($A34,[29]HISTOJANV24!$A$6:$BG$38,58,0)</f>
        <v>0</v>
      </c>
      <c r="U34" s="36">
        <f>VLOOKUP($A34,[29]HISTOJANV24!$A$6:$AU$38,28,0)</f>
        <v>0</v>
      </c>
      <c r="V34" s="36">
        <f>VLOOKUP($A34,[29]HISTOJANV24!$A$6:$AU$38,19,0)</f>
        <v>0</v>
      </c>
      <c r="W34" s="36">
        <f>VLOOKUP($A34,[29]HISTOJANV24!$A$6:$AU$38,20,0)</f>
        <v>0</v>
      </c>
      <c r="X34" s="36">
        <f>VLOOKUP($A34,[29]HISTOJANV24!$A$6:$AU$38,27,0)</f>
        <v>0</v>
      </c>
      <c r="Y34" s="36">
        <f>VLOOKUP($A34,[29]HISTOJANV24!$A$6:$BM$38,33,0)</f>
        <v>0</v>
      </c>
      <c r="Z34" s="36">
        <f>VLOOKUP($A34,[29]HISTOJANV24!$A$6:$BM$38,65,0)</f>
        <v>0</v>
      </c>
      <c r="AA34" s="36"/>
      <c r="AB34" s="36">
        <f>VLOOKUP($A34,[29]HISTOJANV24!$A$6:$AU$38,43,0)</f>
        <v>0</v>
      </c>
      <c r="AC34" s="36">
        <f>VLOOKUP($A34,[29]HISTOJANV24!$A$6:$AU$38,44,0)</f>
        <v>0</v>
      </c>
      <c r="AD34" s="36">
        <f>VLOOKUP($A34,[29]HISTOJANV24!$A$6:$AU$38,47,0)</f>
        <v>0</v>
      </c>
      <c r="AE34" s="36">
        <f>VLOOKUP(A34,[29]HISTOJANV24!$A$6:$BB$38,54,0)</f>
        <v>0</v>
      </c>
      <c r="AF34" s="36">
        <f>VLOOKUP($A34,[29]HISTOJANV24!$A$6:$CB$38,60,0)</f>
        <v>0</v>
      </c>
      <c r="AG34" s="36">
        <f>VLOOKUP($A34,[29]HISTOJANV24!$A$6:$CB$38,61,0)</f>
        <v>0</v>
      </c>
      <c r="AH34" s="36">
        <f>VLOOKUP($A34,[29]HISTOJANV24!$A$6:$CB$38,62,0)</f>
        <v>0</v>
      </c>
      <c r="AI34" s="36">
        <f>VLOOKUP($A34,[29]HISTOJANV24!$A$6:$CB$38,63,0)</f>
        <v>0</v>
      </c>
      <c r="AJ34" s="36">
        <f>VLOOKUP($A34,[29]HISTOJANV24!$A$6:$CB$38,64,0)</f>
        <v>0</v>
      </c>
      <c r="AK34" s="36">
        <f>VLOOKUP($A34,[29]HISTOJANV24!$A$6:$CB$38,65,0)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MVTDEC23!I35-E35+L35</f>
        <v>122000</v>
      </c>
      <c r="G35" s="5">
        <f>IF(MVTDEC23!I35&gt;700000,(MVTDEC23!I35-E35+L35),0)</f>
        <v>0</v>
      </c>
      <c r="H35" s="36">
        <f t="shared" si="0"/>
        <v>0</v>
      </c>
      <c r="I35" s="6">
        <f t="shared" si="2"/>
        <v>122000</v>
      </c>
      <c r="J35" s="36">
        <f>VLOOKUP($A35,[29]HISTOJANV24!$A$6:$AQ$42,22,0)</f>
        <v>0</v>
      </c>
      <c r="K35" s="36">
        <f>VLOOKUP($A35,[29]HISTOJANV24!$A$6:$AU$38,45,0)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6"/>
        <v>1000</v>
      </c>
      <c r="O35" s="36">
        <f t="shared" si="7"/>
        <v>4000</v>
      </c>
      <c r="P35" s="36">
        <f>VLOOKUP($A35,[29]HISTOJANV24!$A$6:$AU$38,7,0)</f>
        <v>0</v>
      </c>
      <c r="Q35" s="36">
        <f>VLOOKUP($A35,[29]HISTOJANV24!$A$6:$AU$38,23,0)</f>
        <v>0</v>
      </c>
      <c r="R35" s="36">
        <f>VLOOKUP($A35,[29]HISTOJANV24!$A$6:$AU$38,46,0)</f>
        <v>0</v>
      </c>
      <c r="S35" s="36">
        <f>VLOOKUP($A35,[29]HISTOJANV24!$A$6:$AU$38,26,0)</f>
        <v>0</v>
      </c>
      <c r="T35" s="36">
        <f>VLOOKUP($A35,[29]HISTOJANV24!$A$6:$BG$38,58,0)</f>
        <v>0</v>
      </c>
      <c r="U35" s="36">
        <f>VLOOKUP($A35,[29]HISTOJANV24!$A$6:$AU$38,28,0)</f>
        <v>0</v>
      </c>
      <c r="V35" s="36">
        <f>VLOOKUP($A35,[29]HISTOJANV24!$A$6:$AU$38,19,0)</f>
        <v>0</v>
      </c>
      <c r="W35" s="36">
        <f>VLOOKUP($A35,[29]HISTOJANV24!$A$6:$AU$38,20,0)</f>
        <v>0</v>
      </c>
      <c r="X35" s="36">
        <f>VLOOKUP($A35,[29]HISTOJANV24!$A$6:$AU$38,27,0)</f>
        <v>0</v>
      </c>
      <c r="Y35" s="36">
        <f>VLOOKUP($A35,[29]HISTOJANV24!$A$6:$BM$38,33,0)</f>
        <v>0</v>
      </c>
      <c r="Z35" s="36">
        <f>VLOOKUP($A35,[29]HISTOJANV24!$A$6:$BM$38,65,0)</f>
        <v>0</v>
      </c>
      <c r="AA35" s="36"/>
      <c r="AB35" s="36">
        <f>VLOOKUP($A35,[29]HISTOJANV24!$A$6:$AU$38,43,0)</f>
        <v>0</v>
      </c>
      <c r="AC35" s="36">
        <f>VLOOKUP($A35,[29]HISTOJANV24!$A$6:$AU$38,44,0)</f>
        <v>0</v>
      </c>
      <c r="AD35" s="36">
        <f>VLOOKUP($A35,[29]HISTOJANV24!$A$6:$AU$38,47,0)</f>
        <v>0</v>
      </c>
      <c r="AE35" s="36">
        <f>VLOOKUP(A35,[29]HISTOJANV24!$A$6:$BB$38,54,0)</f>
        <v>0</v>
      </c>
      <c r="AF35" s="36">
        <f>VLOOKUP($A35,[29]HISTOJANV24!$A$6:$CB$38,60,0)</f>
        <v>0</v>
      </c>
      <c r="AG35" s="36">
        <f>VLOOKUP($A35,[29]HISTOJANV24!$A$6:$CB$38,61,0)</f>
        <v>0</v>
      </c>
      <c r="AH35" s="36">
        <f>VLOOKUP($A35,[29]HISTOJANV24!$A$6:$CB$38,62,0)</f>
        <v>0</v>
      </c>
      <c r="AI35" s="36">
        <f>VLOOKUP($A35,[29]HISTOJANV24!$A$6:$CB$38,63,0)</f>
        <v>0</v>
      </c>
      <c r="AJ35" s="36">
        <f>VLOOKUP($A35,[29]HISTOJANV24!$A$6:$CB$38,64,0)</f>
        <v>0</v>
      </c>
      <c r="AK35" s="36">
        <f>VLOOKUP($A35,[29]HISTOJANV24!$A$6:$CB$38,65,0)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MVTDEC23!I36-E36+L36</f>
        <v>764319.3199415718</v>
      </c>
      <c r="G36" s="5">
        <f>IF(MVTDEC23!I36&gt;700000,(MVTDEC23!I36-E36+L36),0)</f>
        <v>764319.3199415718</v>
      </c>
      <c r="H36" s="36">
        <f t="shared" si="0"/>
        <v>5708.8528377002685</v>
      </c>
      <c r="I36" s="6">
        <f t="shared" si="2"/>
        <v>770028.17277927208</v>
      </c>
      <c r="J36" s="36">
        <f>VLOOKUP($A36,[29]HISTOJANV24!$A$6:$AQ$42,22,0)</f>
        <v>0</v>
      </c>
      <c r="K36" s="36">
        <f>VLOOKUP($A36,[29]HISTOJANV24!$A$6:$AU$38,45,0)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6"/>
        <v>1000</v>
      </c>
      <c r="O36" s="36">
        <f t="shared" si="7"/>
        <v>4000</v>
      </c>
      <c r="P36" s="36">
        <f>VLOOKUP($A36,[29]HISTOJANV24!$A$6:$AU$38,7,0)</f>
        <v>0</v>
      </c>
      <c r="Q36" s="36">
        <f>VLOOKUP($A36,[29]HISTOJANV24!$A$6:$AU$38,23,0)</f>
        <v>0</v>
      </c>
      <c r="R36" s="36">
        <f>VLOOKUP($A36,[29]HISTOJANV24!$A$6:$AU$38,46,0)</f>
        <v>0</v>
      </c>
      <c r="S36" s="36">
        <f>VLOOKUP($A36,[29]HISTOJANV24!$A$6:$AU$38,26,0)</f>
        <v>0</v>
      </c>
      <c r="T36" s="36">
        <f>VLOOKUP($A36,[29]HISTOJANV24!$A$6:$BG$38,58,0)</f>
        <v>0</v>
      </c>
      <c r="U36" s="36">
        <f>VLOOKUP($A36,[29]HISTOJANV24!$A$6:$AU$38,28,0)</f>
        <v>0</v>
      </c>
      <c r="V36" s="36">
        <f>VLOOKUP($A36,[29]HISTOJANV24!$A$6:$AU$38,19,0)</f>
        <v>0</v>
      </c>
      <c r="W36" s="36">
        <f>VLOOKUP($A36,[29]HISTOJANV24!$A$6:$AU$38,20,0)</f>
        <v>0</v>
      </c>
      <c r="X36" s="36">
        <f>VLOOKUP($A36,[29]HISTOJANV24!$A$6:$AU$38,27,0)</f>
        <v>0</v>
      </c>
      <c r="Y36" s="36">
        <f>VLOOKUP($A36,[29]HISTOJANV24!$A$6:$BM$38,33,0)</f>
        <v>0</v>
      </c>
      <c r="Z36" s="36">
        <f>VLOOKUP($A36,[29]HISTOJANV24!$A$6:$BM$38,65,0)</f>
        <v>0</v>
      </c>
      <c r="AA36" s="36"/>
      <c r="AB36" s="36">
        <f>VLOOKUP($A36,[29]HISTOJANV24!$A$6:$AU$38,43,0)</f>
        <v>0</v>
      </c>
      <c r="AC36" s="36">
        <f>VLOOKUP($A36,[29]HISTOJANV24!$A$6:$AU$38,44,0)</f>
        <v>0</v>
      </c>
      <c r="AD36" s="36">
        <f>VLOOKUP($A36,[29]HISTOJANV24!$A$6:$AU$38,47,0)</f>
        <v>0</v>
      </c>
      <c r="AE36" s="36">
        <f>VLOOKUP(A36,[29]HISTOJANV24!$A$6:$BB$38,54,0)</f>
        <v>0</v>
      </c>
      <c r="AF36" s="36">
        <f>VLOOKUP($A36,[29]HISTOJANV24!$A$6:$CB$38,60,0)</f>
        <v>0</v>
      </c>
      <c r="AG36" s="36">
        <f>VLOOKUP($A36,[29]HISTOJANV24!$A$6:$CB$38,61,0)</f>
        <v>0</v>
      </c>
      <c r="AH36" s="36">
        <f>VLOOKUP($A36,[29]HISTOJANV24!$A$6:$CB$38,62,0)</f>
        <v>0</v>
      </c>
      <c r="AI36" s="36">
        <f>VLOOKUP($A36,[29]HISTOJANV24!$A$6:$CB$38,63,0)</f>
        <v>0</v>
      </c>
      <c r="AJ36" s="36">
        <f>VLOOKUP($A36,[29]HISTOJANV24!$A$6:$CB$38,64,0)</f>
        <v>0</v>
      </c>
      <c r="AK36" s="36">
        <f>VLOOKUP($A36,[29]HISTOJANV24!$A$6:$CB$38,65,0)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MVTDEC23!I37-E37+L37</f>
        <v>1813335.3513536926</v>
      </c>
      <c r="G37" s="5">
        <f>IF(MVTDEC23!I37&gt;700000,(MVTDEC23!I37-E37+L37),0)</f>
        <v>1813335.3513536926</v>
      </c>
      <c r="H37" s="36">
        <f t="shared" si="0"/>
        <v>13544.161970247071</v>
      </c>
      <c r="I37" s="6">
        <f t="shared" si="2"/>
        <v>1826879.5133239396</v>
      </c>
      <c r="J37" s="36">
        <f>VLOOKUP($A37,[29]HISTOJANV24!$A$6:$AQ$42,22,0)</f>
        <v>0</v>
      </c>
      <c r="K37" s="36">
        <f>VLOOKUP($A37,[29]HISTOJANV24!$A$6:$AU$38,45,0)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6"/>
        <v>1000</v>
      </c>
      <c r="O37" s="36">
        <f t="shared" si="7"/>
        <v>4000</v>
      </c>
      <c r="P37" s="36">
        <f>VLOOKUP($A37,[29]HISTOJANV24!$A$6:$AU$38,7,0)</f>
        <v>-3000</v>
      </c>
      <c r="Q37" s="36">
        <f>VLOOKUP($A37,[29]HISTOJANV24!$A$6:$AU$38,23,0)</f>
        <v>0</v>
      </c>
      <c r="R37" s="36">
        <f>VLOOKUP($A37,[29]HISTOJANV24!$A$6:$AU$38,46,0)</f>
        <v>0</v>
      </c>
      <c r="S37" s="36">
        <f>VLOOKUP($A37,[29]HISTOJANV24!$A$6:$AU$38,26,0)</f>
        <v>0</v>
      </c>
      <c r="T37" s="36">
        <f>VLOOKUP($A37,[29]HISTOJANV24!$A$6:$BG$38,58,0)</f>
        <v>0</v>
      </c>
      <c r="U37" s="36">
        <f>VLOOKUP($A37,[29]HISTOJANV24!$A$6:$AU$38,28,0)</f>
        <v>0</v>
      </c>
      <c r="V37" s="36">
        <f>VLOOKUP($A37,[29]HISTOJANV24!$A$6:$AU$38,19,0)</f>
        <v>0</v>
      </c>
      <c r="W37" s="36">
        <f>VLOOKUP($A37,[29]HISTOJANV24!$A$6:$AU$38,20,0)</f>
        <v>0</v>
      </c>
      <c r="X37" s="36">
        <f>VLOOKUP($A37,[29]HISTOJANV24!$A$6:$AU$38,27,0)</f>
        <v>0</v>
      </c>
      <c r="Y37" s="36">
        <f>VLOOKUP($A37,[29]HISTOJANV24!$A$6:$BM$38,33,0)</f>
        <v>0</v>
      </c>
      <c r="Z37" s="36">
        <f>VLOOKUP($A37,[29]HISTOJANV24!$A$6:$BM$38,65,0)</f>
        <v>0</v>
      </c>
      <c r="AA37" s="36"/>
      <c r="AB37" s="36">
        <f>VLOOKUP($A37,[29]HISTOJANV24!$A$6:$AU$38,43,0)</f>
        <v>0</v>
      </c>
      <c r="AC37" s="36">
        <f>VLOOKUP($A37,[29]HISTOJANV24!$A$6:$AU$38,44,0)</f>
        <v>0</v>
      </c>
      <c r="AD37" s="36">
        <f>VLOOKUP($A37,[29]HISTOJANV24!$A$6:$AU$38,47,0)</f>
        <v>0</v>
      </c>
      <c r="AE37" s="36">
        <f>VLOOKUP(A37,[29]HISTOJANV24!$A$6:$BB$38,54,0)</f>
        <v>0</v>
      </c>
      <c r="AF37" s="36">
        <f>VLOOKUP($A37,[29]HISTOJANV24!$A$6:$CB$38,60,0)</f>
        <v>0</v>
      </c>
      <c r="AG37" s="36">
        <f>VLOOKUP($A37,[29]HISTOJANV24!$A$6:$CB$38,61,0)</f>
        <v>0</v>
      </c>
      <c r="AH37" s="36">
        <f>VLOOKUP($A37,[29]HISTOJANV24!$A$6:$CB$38,62,0)</f>
        <v>0</v>
      </c>
      <c r="AI37" s="36">
        <f>VLOOKUP($A37,[29]HISTOJANV24!$A$6:$CB$38,63,0)</f>
        <v>0</v>
      </c>
      <c r="AJ37" s="36">
        <f>VLOOKUP($A37,[29]HISTOJANV24!$A$6:$CB$38,64,0)</f>
        <v>0</v>
      </c>
      <c r="AK37" s="36">
        <f>VLOOKUP($A37,[29]HISTOJANV24!$A$6:$CB$38,65,0)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MVTDEC23!I38-E38+L38</f>
        <v>19000</v>
      </c>
      <c r="G38" s="5">
        <f>IF(MVTDEC23!I38&gt;700000,(MVTDEC23!I38-E38+L38),0)</f>
        <v>0</v>
      </c>
      <c r="H38" s="36">
        <f t="shared" si="0"/>
        <v>0</v>
      </c>
      <c r="I38" s="6">
        <f t="shared" si="2"/>
        <v>19000</v>
      </c>
      <c r="J38" s="36">
        <f>VLOOKUP($A38,[29]HISTOJANV24!$A$6:$AQ$42,22,0)</f>
        <v>0</v>
      </c>
      <c r="K38" s="36">
        <f>VLOOKUP($A38,[29]HISTOJANV24!$A$6:$AU$38,45,0)</f>
        <v>25000</v>
      </c>
      <c r="L38" s="36">
        <f t="shared" ref="L38" si="16">IF(K38=0,0,K38-(M38+N38+O38))</f>
        <v>19000</v>
      </c>
      <c r="M38" s="36">
        <f t="shared" ref="M38" si="17">IF(K38=0,0,1000)</f>
        <v>1000</v>
      </c>
      <c r="N38" s="36">
        <f t="shared" ref="N38" si="18">IF(K38=0,0,1000)</f>
        <v>1000</v>
      </c>
      <c r="O38" s="36">
        <f t="shared" ref="O38" si="19">IF(K38=0,0,4000)</f>
        <v>4000</v>
      </c>
      <c r="P38" s="36">
        <f>VLOOKUP($A38,[29]HISTOJANV24!$A$6:$AU$38,7,0)</f>
        <v>0</v>
      </c>
      <c r="Q38" s="36">
        <f>VLOOKUP($A38,[29]HISTOJANV24!$A$6:$AU$38,23,0)</f>
        <v>25000</v>
      </c>
      <c r="R38" s="36">
        <f>VLOOKUP($A38,[29]HISTOJANV24!$A$6:$AU$38,46,0)</f>
        <v>0</v>
      </c>
      <c r="S38" s="36">
        <f>VLOOKUP($A38,[29]HISTOJANV24!$A$6:$AU$38,26,0)</f>
        <v>0</v>
      </c>
      <c r="T38" s="36">
        <f>VLOOKUP($A38,[29]HISTOJANV24!$A$6:$BG$38,58,0)</f>
        <v>0</v>
      </c>
      <c r="U38" s="36">
        <f>VLOOKUP($A38,[29]HISTOJANV24!$A$6:$AU$38,28,0)</f>
        <v>0</v>
      </c>
      <c r="V38" s="36">
        <f>VLOOKUP($A38,[29]HISTOJANV24!$A$6:$AU$38,19,0)</f>
        <v>0</v>
      </c>
      <c r="W38" s="36">
        <f>VLOOKUP($A38,[29]HISTOJANV24!$A$6:$AU$38,20,0)</f>
        <v>0</v>
      </c>
      <c r="X38" s="36">
        <f>VLOOKUP($A38,[29]HISTOJANV24!$A$6:$AU$38,27,0)</f>
        <v>0</v>
      </c>
      <c r="Y38" s="36">
        <f>VLOOKUP($A38,[29]HISTOJANV24!$A$6:$BM$38,33,0)</f>
        <v>0</v>
      </c>
      <c r="Z38" s="36">
        <f>VLOOKUP($A38,[29]HISTOJANV24!$A$6:$BM$38,65,0)</f>
        <v>0</v>
      </c>
      <c r="AA38" s="36"/>
      <c r="AB38" s="36">
        <f>VLOOKUP($A38,[29]HISTOJANV24!$A$6:$AU$38,43,0)</f>
        <v>0</v>
      </c>
      <c r="AC38" s="36">
        <f>VLOOKUP($A38,[29]HISTOJANV24!$A$6:$AU$38,44,0)</f>
        <v>0</v>
      </c>
      <c r="AD38" s="36">
        <f>VLOOKUP($A38,[29]HISTOJANV24!$A$6:$AU$38,47,0)</f>
        <v>0</v>
      </c>
      <c r="AE38" s="36">
        <f>VLOOKUP(A38,[29]HISTOJANV24!$A$6:$BB$38,54,0)</f>
        <v>0</v>
      </c>
      <c r="AF38" s="36">
        <f>VLOOKUP($A38,[29]HISTOJANV24!$A$6:$CB$38,60,0)</f>
        <v>0</v>
      </c>
      <c r="AG38" s="36">
        <f>VLOOKUP($A38,[29]HISTOJANV24!$A$6:$CB$38,61,0)</f>
        <v>0</v>
      </c>
      <c r="AH38" s="36">
        <f>VLOOKUP($A38,[29]HISTOJANV24!$A$6:$CB$38,62,0)</f>
        <v>0</v>
      </c>
      <c r="AI38" s="36">
        <f>VLOOKUP($A38,[29]HISTOJANV24!$A$6:$CB$38,63,0)</f>
        <v>0</v>
      </c>
      <c r="AJ38" s="36">
        <f>VLOOKUP($A38,[29]HISTOJANV24!$A$6:$CB$38,64,0)</f>
        <v>0</v>
      </c>
      <c r="AK38" s="36">
        <f>VLOOKUP($A38,[29]HISTOJANV24!$A$6:$CB$38,65,0)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MVTDEC23!I39-E39+L39</f>
        <v>1976098.8197977985</v>
      </c>
      <c r="G39" s="5">
        <f>IF(MVTDEC23!I39&gt;700000,(MVTDEC23!I39-E39+L39),0)</f>
        <v>1976098.8197977985</v>
      </c>
      <c r="H39" s="36">
        <f t="shared" si="0"/>
        <v>14759.874650088927</v>
      </c>
      <c r="I39" s="6">
        <f t="shared" si="2"/>
        <v>1990858.6944478874</v>
      </c>
      <c r="J39" s="36">
        <f>VLOOKUP($A39,[29]HISTOJANV24!$A$6:$AQ$42,22,0)</f>
        <v>0</v>
      </c>
      <c r="K39" s="36">
        <f>VLOOKUP($A39,[29]HISTOJANV24!$A$6:$AU$38,45,0)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6"/>
        <v>1000</v>
      </c>
      <c r="O39" s="36">
        <f t="shared" si="7"/>
        <v>4000</v>
      </c>
      <c r="P39" s="36">
        <f>VLOOKUP($A39,[29]HISTOJANV24!$A$6:$AU$38,7,0)</f>
        <v>0</v>
      </c>
      <c r="Q39" s="36">
        <f>VLOOKUP($A39,[29]HISTOJANV24!$A$6:$AU$38,23,0)</f>
        <v>0</v>
      </c>
      <c r="R39" s="36">
        <f>VLOOKUP($A39,[29]HISTOJANV24!$A$6:$AU$38,46,0)</f>
        <v>0</v>
      </c>
      <c r="S39" s="36">
        <f>VLOOKUP($A39,[29]HISTOJANV24!$A$6:$AU$38,26,0)</f>
        <v>0</v>
      </c>
      <c r="T39" s="36">
        <f>VLOOKUP($A39,[29]HISTOJANV24!$A$6:$BG$38,58,0)</f>
        <v>0</v>
      </c>
      <c r="U39" s="36">
        <f>VLOOKUP($A39,[29]HISTOJANV24!$A$6:$AU$38,28,0)</f>
        <v>0</v>
      </c>
      <c r="V39" s="36">
        <f>VLOOKUP($A39,[29]HISTOJANV24!$A$6:$AU$38,19,0)</f>
        <v>0</v>
      </c>
      <c r="W39" s="36">
        <f>VLOOKUP($A39,[29]HISTOJANV24!$A$6:$AU$38,20,0)</f>
        <v>0</v>
      </c>
      <c r="X39" s="36">
        <f>VLOOKUP($A39,[29]HISTOJANV24!$A$6:$AU$38,27,0)</f>
        <v>0</v>
      </c>
      <c r="Y39" s="36">
        <f>VLOOKUP($A39,[29]HISTOJANV24!$A$6:$BM$38,33,0)</f>
        <v>0</v>
      </c>
      <c r="Z39" s="36">
        <f>VLOOKUP($A39,[29]HISTOJANV24!$A$6:$BM$38,65,0)</f>
        <v>0</v>
      </c>
      <c r="AA39" s="36"/>
      <c r="AB39" s="36">
        <f>VLOOKUP($A39,[29]HISTOJANV24!$A$6:$AU$38,43,0)</f>
        <v>0</v>
      </c>
      <c r="AC39" s="36">
        <f>VLOOKUP($A39,[29]HISTOJANV24!$A$6:$AU$38,44,0)</f>
        <v>0</v>
      </c>
      <c r="AD39" s="36">
        <f>VLOOKUP($A39,[29]HISTOJANV24!$A$6:$AU$38,47,0)</f>
        <v>0</v>
      </c>
      <c r="AE39" s="36">
        <f>VLOOKUP(A39,[29]HISTOJANV24!$A$6:$BB$38,54,0)</f>
        <v>0</v>
      </c>
      <c r="AF39" s="36">
        <f>VLOOKUP($A39,[29]HISTOJANV24!$A$6:$CB$38,60,0)</f>
        <v>0</v>
      </c>
      <c r="AG39" s="36">
        <f>VLOOKUP($A39,[29]HISTOJANV24!$A$6:$CB$38,61,0)</f>
        <v>0</v>
      </c>
      <c r="AH39" s="36">
        <f>VLOOKUP($A39,[29]HISTOJANV24!$A$6:$CB$38,62,0)</f>
        <v>0</v>
      </c>
      <c r="AI39" s="36">
        <f>VLOOKUP($A39,[29]HISTOJANV24!$A$6:$CB$38,63,0)</f>
        <v>0</v>
      </c>
      <c r="AJ39" s="36">
        <f>VLOOKUP($A39,[29]HISTOJANV24!$A$6:$CB$38,64,0)</f>
        <v>0</v>
      </c>
      <c r="AK39" s="36">
        <f>VLOOKUP($A39,[29]HISTOJANV24!$A$6:$CB$38,65,0)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20">SUM(C6:C40)</f>
        <v>0</v>
      </c>
      <c r="D41" s="9">
        <f t="shared" si="20"/>
        <v>0</v>
      </c>
      <c r="E41" s="9">
        <f t="shared" si="20"/>
        <v>0</v>
      </c>
      <c r="F41" s="9">
        <f t="shared" si="20"/>
        <v>26760656.073121928</v>
      </c>
      <c r="G41" s="9">
        <f t="shared" si="20"/>
        <v>23563438.073121924</v>
      </c>
      <c r="H41" s="36">
        <f t="shared" si="20"/>
        <v>175999.99999999994</v>
      </c>
      <c r="I41" s="9">
        <f t="shared" si="20"/>
        <v>26936656.073121924</v>
      </c>
      <c r="J41" s="9">
        <f t="shared" si="20"/>
        <v>0</v>
      </c>
      <c r="K41" s="9">
        <f t="shared" si="20"/>
        <v>1555000</v>
      </c>
      <c r="L41" s="9">
        <f t="shared" si="20"/>
        <v>1363000</v>
      </c>
      <c r="M41" s="9">
        <f t="shared" si="20"/>
        <v>32000</v>
      </c>
      <c r="N41" s="9">
        <f t="shared" si="20"/>
        <v>32000</v>
      </c>
      <c r="O41" s="9">
        <f t="shared" si="20"/>
        <v>128000</v>
      </c>
      <c r="P41" s="9">
        <f t="shared" si="20"/>
        <v>-3000</v>
      </c>
      <c r="Q41" s="9">
        <f t="shared" si="20"/>
        <v>75000</v>
      </c>
      <c r="R41" s="9">
        <f t="shared" si="20"/>
        <v>120000</v>
      </c>
      <c r="S41" s="9">
        <f t="shared" si="20"/>
        <v>2000000</v>
      </c>
      <c r="T41" s="9">
        <f t="shared" si="20"/>
        <v>176000</v>
      </c>
      <c r="U41" s="9">
        <f t="shared" si="20"/>
        <v>0</v>
      </c>
      <c r="V41" s="9">
        <f t="shared" si="20"/>
        <v>0</v>
      </c>
      <c r="W41" s="9">
        <f t="shared" si="20"/>
        <v>0</v>
      </c>
      <c r="X41" s="9">
        <f t="shared" si="20"/>
        <v>0</v>
      </c>
      <c r="Y41" s="9">
        <f t="shared" si="20"/>
        <v>0</v>
      </c>
      <c r="Z41" s="9">
        <f t="shared" si="20"/>
        <v>0</v>
      </c>
      <c r="AA41" s="9">
        <f t="shared" si="20"/>
        <v>0</v>
      </c>
      <c r="AB41" s="9">
        <f t="shared" si="20"/>
        <v>0</v>
      </c>
      <c r="AC41" s="9">
        <f t="shared" si="20"/>
        <v>0</v>
      </c>
      <c r="AD41" s="9">
        <f t="shared" si="20"/>
        <v>0</v>
      </c>
      <c r="AE41" s="9">
        <f t="shared" si="20"/>
        <v>0</v>
      </c>
      <c r="AF41" s="9">
        <f t="shared" si="20"/>
        <v>27000</v>
      </c>
      <c r="AG41" s="9">
        <f t="shared" si="20"/>
        <v>200000</v>
      </c>
      <c r="AH41" s="9">
        <f t="shared" si="20"/>
        <v>0</v>
      </c>
      <c r="AI41" s="9">
        <f t="shared" si="20"/>
        <v>100000</v>
      </c>
      <c r="AJ41" s="9">
        <f t="shared" si="20"/>
        <v>0</v>
      </c>
      <c r="AK41" s="9">
        <f t="shared" si="20"/>
        <v>0</v>
      </c>
      <c r="AL41" s="9">
        <f t="shared" si="20"/>
        <v>300000</v>
      </c>
    </row>
    <row r="44" spans="1:38" x14ac:dyDescent="0.35">
      <c r="G44" s="2"/>
    </row>
  </sheetData>
  <autoFilter ref="A5:V39" xr:uid="{00000000-0009-0000-0000-000006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44"/>
  <sheetViews>
    <sheetView workbookViewId="0">
      <pane xSplit="2" ySplit="5" topLeftCell="H33" activePane="bottomRight" state="frozen"/>
      <selection activeCell="B43" sqref="B43"/>
      <selection pane="topRight" activeCell="B43" sqref="B43"/>
      <selection pane="bottomLeft" activeCell="B43" sqref="B43"/>
      <selection pane="bottomRight" activeCell="F6" sqref="F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4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2">
        <v>45339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VLOOKUP($A6,[29]HISTOFEV24!$A$6:$BA$38,48,0)</f>
        <v>0</v>
      </c>
      <c r="F6" s="36">
        <f>MVTJANV24!I6-E6+L6</f>
        <v>940865.47705203819</v>
      </c>
      <c r="G6" s="5">
        <f>IF(MVTJANV24!I6+L6&gt;700000,(MVTJANV24!I6-E6+L6),0)</f>
        <v>940865.47705203819</v>
      </c>
      <c r="H6" s="36">
        <f t="shared" ref="H6:H39" si="0">$T$41/$G$41*G6</f>
        <v>924.84296142406936</v>
      </c>
      <c r="I6" s="6">
        <f>F6+H6</f>
        <v>941790.32001346222</v>
      </c>
      <c r="J6" s="36">
        <f>VLOOKUP($A6,[29]HISTOFEV24!$A$6:$AQ$42,22,0)</f>
        <v>0</v>
      </c>
      <c r="K6" s="36">
        <f>VLOOKUP($A6,[29]HISTOFEV24!$A$6:$AU$38,45,0)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" si="1">IF(K6=0,0,1000)</f>
        <v>0</v>
      </c>
      <c r="O6" s="36">
        <f>IF(K6=0,0,4000)</f>
        <v>0</v>
      </c>
      <c r="P6" s="36">
        <f>VLOOKUP($A6,[29]HISTOFEV24!$A$6:$AU$38,7,0)</f>
        <v>0</v>
      </c>
      <c r="Q6" s="36">
        <f>VLOOKUP($A6,[29]HISTOFEV24!$A$6:$AU$38,23,0)</f>
        <v>0</v>
      </c>
      <c r="R6" s="36">
        <f>VLOOKUP($A6,[29]HISTOFEV24!$A$6:$AU$38,46,0)</f>
        <v>0</v>
      </c>
      <c r="S6" s="36">
        <f>VLOOKUP($A6,[29]HISTOFEV24!$A$6:$AU$38,26,0)</f>
        <v>0</v>
      </c>
      <c r="T6" s="36">
        <f>VLOOKUP($A6,[29]HISTOFEV24!$A$6:$BG$38,58,0)</f>
        <v>0</v>
      </c>
      <c r="U6" s="36">
        <f>VLOOKUP($A6,[29]HISTOFEV24!$A$6:$AU$38,28,0)</f>
        <v>0</v>
      </c>
      <c r="V6" s="36">
        <f>VLOOKUP($A6,[29]HISTOFEV24!$A$6:$AU$38,19,0)</f>
        <v>0</v>
      </c>
      <c r="W6" s="36">
        <f>VLOOKUP($A6,[29]HISTOFEV24!$A$6:$AU$38,20,0)</f>
        <v>0</v>
      </c>
      <c r="X6" s="36">
        <f>VLOOKUP($A6,[29]HISTOFEV24!$A$6:$AU$38,27,0)</f>
        <v>0</v>
      </c>
      <c r="Y6" s="36">
        <f>VLOOKUP($A6,[29]HISTOFEV24!$A$6:$BM$38,33,0)</f>
        <v>0</v>
      </c>
      <c r="Z6" s="36">
        <f>VLOOKUP($A6,[29]HISTOFEV24!$A$6:$BM$38,65,0)</f>
        <v>0</v>
      </c>
      <c r="AA6" s="36"/>
      <c r="AB6" s="36">
        <f>VLOOKUP($A6,[29]HISTOFEV24!$A$6:$AU$38,43,0)</f>
        <v>0</v>
      </c>
      <c r="AC6" s="36">
        <f>VLOOKUP($A6,[29]HISTOFEV24!$A$6:$AU$38,44,0)</f>
        <v>0</v>
      </c>
      <c r="AD6" s="36">
        <f>VLOOKUP($A6,[29]HISTOFEV24!$A$6:$AU$38,47,0)</f>
        <v>0</v>
      </c>
      <c r="AE6" s="36">
        <f>VLOOKUP(A6,[29]HISTOFEV24!$A$6:$BB$38,54,0)</f>
        <v>0</v>
      </c>
      <c r="AF6" s="36">
        <f>VLOOKUP($A6,[29]HISTOFEV24!$A$6:$CB$38,60,0)</f>
        <v>27000</v>
      </c>
      <c r="AG6" s="36">
        <f>VLOOKUP($A6,[29]HISTOFEV24!$A$6:$CB$38,61,0)</f>
        <v>0</v>
      </c>
      <c r="AH6" s="36">
        <f>VLOOKUP($A6,[29]HISTOFEV24!$A$6:$CB$38,62,0)</f>
        <v>100000</v>
      </c>
      <c r="AI6" s="36">
        <f>VLOOKUP($A6,[29]HISTOFEV24!$A$6:$CB$38,63,0)</f>
        <v>0</v>
      </c>
      <c r="AJ6" s="36">
        <f>VLOOKUP($A6,[29]HISTOFEV24!$A$6:$CB$38,64,0)</f>
        <v>0</v>
      </c>
      <c r="AK6" s="36">
        <f>VLOOKUP($A6,[29]HISTOFEV24!$A$6:$CB$38,65,0)</f>
        <v>0</v>
      </c>
      <c r="AL6" s="36">
        <f>VLOOKUP($A6,[29]HISTOFEV24!$A$6:$CB$38,66,0)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VLOOKUP($A7,[29]HISTOFEV24!$A$6:$BA$38,48,0)</f>
        <v>0</v>
      </c>
      <c r="F7" s="36">
        <f>MVTJANV24!I7-E7+L7</f>
        <v>716482</v>
      </c>
      <c r="G7" s="5">
        <f>IF(MVTJANV24!I7+L7&gt;700000,(MVTJANV24!I7-E7+L7),0)</f>
        <v>716482</v>
      </c>
      <c r="H7" s="36">
        <f t="shared" si="0"/>
        <v>704.28063400012559</v>
      </c>
      <c r="I7" s="6">
        <f t="shared" ref="I7:I39" si="2">F7+H7</f>
        <v>717186.28063400008</v>
      </c>
      <c r="J7" s="36">
        <f>VLOOKUP($A7,[29]HISTOFEV24!$A$6:$AQ$42,22,0)</f>
        <v>0</v>
      </c>
      <c r="K7" s="36">
        <f>VLOOKUP($A7,[29]HISTOFEV24!$A$6:$AU$38,45,0)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ref="N7:N39" si="3">IF(K7=0,0,1000)</f>
        <v>1000</v>
      </c>
      <c r="O7" s="36">
        <f>IF(K7=0,0,4000)</f>
        <v>4000</v>
      </c>
      <c r="P7" s="36">
        <f>VLOOKUP($A7,[29]HISTOFEV24!$A$6:$AU$38,7,0)</f>
        <v>0</v>
      </c>
      <c r="Q7" s="36">
        <f>VLOOKUP($A7,[29]HISTOFEV24!$A$6:$AU$38,23,0)</f>
        <v>0</v>
      </c>
      <c r="R7" s="36">
        <f>VLOOKUP($A7,[29]HISTOFEV24!$A$6:$AU$38,46,0)</f>
        <v>0</v>
      </c>
      <c r="S7" s="36">
        <f>VLOOKUP($A7,[29]HISTOFEV24!$A$6:$AU$38,26,0)</f>
        <v>0</v>
      </c>
      <c r="T7" s="36">
        <f>VLOOKUP($A7,[29]HISTOFEV24!$A$6:$BG$38,58,0)</f>
        <v>6000</v>
      </c>
      <c r="U7" s="36">
        <f>VLOOKUP($A7,[29]HISTOFEV24!$A$6:$AU$38,28,0)</f>
        <v>0</v>
      </c>
      <c r="V7" s="36">
        <f>VLOOKUP($A7,[29]HISTOFEV24!$A$6:$AU$38,19,0)</f>
        <v>0</v>
      </c>
      <c r="W7" s="36">
        <f>VLOOKUP($A7,[29]HISTOFEV24!$A$6:$AU$38,20,0)</f>
        <v>0</v>
      </c>
      <c r="X7" s="36">
        <f>VLOOKUP($A7,[29]HISTOFEV24!$A$6:$AU$38,27,0)</f>
        <v>0</v>
      </c>
      <c r="Y7" s="36">
        <f>VLOOKUP($A7,[29]HISTOFEV24!$A$6:$BM$38,33,0)</f>
        <v>0</v>
      </c>
      <c r="Z7" s="36">
        <f>VLOOKUP($A7,[29]HISTOFEV24!$A$6:$BM$38,65,0)</f>
        <v>0</v>
      </c>
      <c r="AA7" s="36"/>
      <c r="AB7" s="36">
        <f>VLOOKUP($A7,[29]HISTOFEV24!$A$6:$AU$38,43,0)</f>
        <v>0</v>
      </c>
      <c r="AC7" s="36">
        <f>VLOOKUP($A7,[29]HISTOFEV24!$A$6:$AU$38,44,0)</f>
        <v>0</v>
      </c>
      <c r="AD7" s="36">
        <f>VLOOKUP($A7,[29]HISTOFEV24!$A$6:$AU$38,47,0)</f>
        <v>0</v>
      </c>
      <c r="AE7" s="36">
        <f>VLOOKUP(A7,[29]HISTOFEV24!$A$6:$BB$38,54,0)</f>
        <v>0</v>
      </c>
      <c r="AF7" s="36">
        <f>VLOOKUP($A7,[29]HISTOFEV24!$A$6:$CB$38,60,0)</f>
        <v>0</v>
      </c>
      <c r="AG7" s="36">
        <f>VLOOKUP($A7,[29]HISTOFEV24!$A$6:$CB$38,61,0)</f>
        <v>0</v>
      </c>
      <c r="AH7" s="36">
        <f>VLOOKUP($A7,[29]HISTOFEV24!$A$6:$CB$38,62,0)</f>
        <v>0</v>
      </c>
      <c r="AI7" s="36">
        <f>VLOOKUP($A7,[29]HISTOFEV24!$A$6:$CB$38,63,0)</f>
        <v>0</v>
      </c>
      <c r="AJ7" s="36">
        <f>VLOOKUP($A7,[29]HISTOFEV24!$A$6:$CB$38,64,0)</f>
        <v>0</v>
      </c>
      <c r="AK7" s="36">
        <f>VLOOKUP($A7,[29]HISTOFEV24!$A$6:$CB$38,65,0)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VLOOKUP($A8,[29]HISTOFEV24!$A$6:$BA$38,48,0)</f>
        <v>0</v>
      </c>
      <c r="F8" s="36">
        <f>MVTJANV24!I8-E8+L8</f>
        <v>778085.76273913425</v>
      </c>
      <c r="G8" s="5">
        <f>IF(MVTJANV24!I8+L8&gt;700000,(MVTJANV24!I8-E8+L8),0)</f>
        <v>778085.76273913425</v>
      </c>
      <c r="H8" s="36">
        <f t="shared" si="0"/>
        <v>764.8353123852221</v>
      </c>
      <c r="I8" s="6">
        <f t="shared" si="2"/>
        <v>778850.59805151948</v>
      </c>
      <c r="J8" s="36">
        <f>VLOOKUP($A8,[29]HISTOFEV24!$A$6:$AQ$42,22,0)</f>
        <v>0</v>
      </c>
      <c r="K8" s="36">
        <f>VLOOKUP($A8,[29]HISTOFEV24!$A$6:$AU$38,45,0)</f>
        <v>22000</v>
      </c>
      <c r="L8" s="36">
        <f t="shared" ref="L8:L39" si="4">IF(K8=0,0,K8-(M8+N8+O8))</f>
        <v>16000</v>
      </c>
      <c r="M8" s="36">
        <f t="shared" ref="M8:M39" si="5">IF(K8=0,0,1000)</f>
        <v>1000</v>
      </c>
      <c r="N8" s="36">
        <f t="shared" si="3"/>
        <v>1000</v>
      </c>
      <c r="O8" s="36">
        <f t="shared" ref="O8:O39" si="6">IF(K8=0,0,4000)</f>
        <v>4000</v>
      </c>
      <c r="P8" s="36">
        <f>VLOOKUP($A8,[29]HISTOFEV24!$A$6:$AU$38,7,0)</f>
        <v>3000</v>
      </c>
      <c r="Q8" s="36">
        <f>VLOOKUP($A8,[29]HISTOFEV24!$A$6:$AU$38,23,0)</f>
        <v>0</v>
      </c>
      <c r="R8" s="36">
        <f>VLOOKUP($A8,[29]HISTOFEV24!$A$6:$AU$38,46,0)</f>
        <v>0</v>
      </c>
      <c r="S8" s="36">
        <f>VLOOKUP($A8,[29]HISTOFEV24!$A$6:$AU$38,26,0)</f>
        <v>0</v>
      </c>
      <c r="T8" s="36">
        <f>VLOOKUP($A8,[29]HISTOFEV24!$A$6:$BG$38,58,0)</f>
        <v>0</v>
      </c>
      <c r="U8" s="36">
        <f>VLOOKUP($A8,[29]HISTOFEV24!$A$6:$AU$38,28,0)</f>
        <v>0</v>
      </c>
      <c r="V8" s="36">
        <f>VLOOKUP($A8,[29]HISTOFEV24!$A$6:$AU$38,19,0)</f>
        <v>0</v>
      </c>
      <c r="W8" s="36">
        <f>VLOOKUP($A8,[29]HISTOFEV24!$A$6:$AU$38,20,0)</f>
        <v>0</v>
      </c>
      <c r="X8" s="36">
        <f>VLOOKUP($A8,[29]HISTOFEV24!$A$6:$AU$38,27,0)</f>
        <v>0</v>
      </c>
      <c r="Y8" s="36">
        <f>VLOOKUP($A8,[29]HISTOFEV24!$A$6:$BM$38,33,0)</f>
        <v>0</v>
      </c>
      <c r="Z8" s="36">
        <f>VLOOKUP($A8,[29]HISTOFEV24!$A$6:$BM$38,65,0)</f>
        <v>0</v>
      </c>
      <c r="AA8" s="36"/>
      <c r="AB8" s="36">
        <f>VLOOKUP($A8,[29]HISTOFEV24!$A$6:$AU$38,43,0)</f>
        <v>0</v>
      </c>
      <c r="AC8" s="36">
        <f>VLOOKUP($A8,[29]HISTOFEV24!$A$6:$AU$38,44,0)</f>
        <v>0</v>
      </c>
      <c r="AD8" s="36">
        <f>VLOOKUP($A8,[29]HISTOFEV24!$A$6:$AU$38,47,0)</f>
        <v>0</v>
      </c>
      <c r="AE8" s="36">
        <f>VLOOKUP(A8,[29]HISTOFEV24!$A$6:$BB$38,54,0)</f>
        <v>0</v>
      </c>
      <c r="AF8" s="36">
        <f>VLOOKUP($A8,[29]HISTOFEV24!$A$6:$CB$38,60,0)</f>
        <v>0</v>
      </c>
      <c r="AG8" s="36">
        <f>VLOOKUP($A8,[29]HISTOFEV24!$A$6:$CB$38,61,0)</f>
        <v>0</v>
      </c>
      <c r="AH8" s="36">
        <f>VLOOKUP($A8,[29]HISTOFEV24!$A$6:$CB$38,62,0)</f>
        <v>0</v>
      </c>
      <c r="AI8" s="36">
        <f>VLOOKUP($A8,[29]HISTOFEV24!$A$6:$CB$38,63,0)</f>
        <v>0</v>
      </c>
      <c r="AJ8" s="36">
        <f>VLOOKUP($A8,[29]HISTOFEV24!$A$6:$CB$38,64,0)</f>
        <v>0</v>
      </c>
      <c r="AK8" s="36">
        <f>VLOOKUP($A8,[29]HISTOFEV24!$A$6:$CB$38,65,0)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VLOOKUP($A9,[29]HISTOFEV24!$A$6:$BA$38,48,0)</f>
        <v>0</v>
      </c>
      <c r="F9" s="36">
        <f>MVTJANV24!I9-E9+L9</f>
        <v>837679.16711994901</v>
      </c>
      <c r="G9" s="5">
        <f>IF(MVTJANV24!I9+L9&gt;700000,(MVTJANV24!I9-E9+L9),0)</f>
        <v>837679.16711994901</v>
      </c>
      <c r="H9" s="36">
        <f t="shared" si="0"/>
        <v>823.41386791005891</v>
      </c>
      <c r="I9" s="6">
        <f t="shared" si="2"/>
        <v>838502.58098785905</v>
      </c>
      <c r="J9" s="36">
        <f>VLOOKUP($A9,[29]HISTOFEV24!$A$6:$AQ$42,22,0)</f>
        <v>0</v>
      </c>
      <c r="K9" s="36">
        <f>VLOOKUP($A9,[29]HISTOFEV24!$A$6:$AU$38,45,0)</f>
        <v>25000</v>
      </c>
      <c r="L9" s="36">
        <f t="shared" si="4"/>
        <v>19000</v>
      </c>
      <c r="M9" s="36">
        <f t="shared" si="5"/>
        <v>1000</v>
      </c>
      <c r="N9" s="36">
        <f t="shared" si="3"/>
        <v>1000</v>
      </c>
      <c r="O9" s="36">
        <f t="shared" si="6"/>
        <v>4000</v>
      </c>
      <c r="P9" s="36">
        <f>VLOOKUP($A9,[29]HISTOFEV24!$A$6:$AU$38,7,0)</f>
        <v>0</v>
      </c>
      <c r="Q9" s="36">
        <f>VLOOKUP($A9,[29]HISTOFEV24!$A$6:$AU$38,23,0)</f>
        <v>0</v>
      </c>
      <c r="R9" s="36">
        <f>VLOOKUP($A9,[29]HISTOFEV24!$A$6:$AU$38,46,0)</f>
        <v>0</v>
      </c>
      <c r="S9" s="36">
        <f>VLOOKUP($A9,[29]HISTOFEV24!$A$6:$AU$38,26,0)</f>
        <v>0</v>
      </c>
      <c r="T9" s="36">
        <f>VLOOKUP($A9,[29]HISTOFEV24!$A$6:$BG$38,58,0)</f>
        <v>0</v>
      </c>
      <c r="U9" s="36">
        <f>VLOOKUP($A9,[29]HISTOFEV24!$A$6:$AU$38,28,0)</f>
        <v>0</v>
      </c>
      <c r="V9" s="36">
        <f>VLOOKUP($A9,[29]HISTOFEV24!$A$6:$AU$38,19,0)</f>
        <v>0</v>
      </c>
      <c r="W9" s="36">
        <f>VLOOKUP($A9,[29]HISTOFEV24!$A$6:$AU$38,20,0)</f>
        <v>0</v>
      </c>
      <c r="X9" s="36">
        <f>VLOOKUP($A9,[29]HISTOFEV24!$A$6:$AU$38,27,0)</f>
        <v>0</v>
      </c>
      <c r="Y9" s="36">
        <f>VLOOKUP($A9,[29]HISTOFEV24!$A$6:$BM$38,33,0)</f>
        <v>0</v>
      </c>
      <c r="Z9" s="36">
        <f>VLOOKUP($A9,[29]HISTOFEV24!$A$6:$BM$38,65,0)</f>
        <v>0</v>
      </c>
      <c r="AA9" s="36"/>
      <c r="AB9" s="36">
        <f>VLOOKUP($A9,[29]HISTOFEV24!$A$6:$AU$38,43,0)</f>
        <v>0</v>
      </c>
      <c r="AC9" s="36">
        <f>VLOOKUP($A9,[29]HISTOFEV24!$A$6:$AU$38,44,0)</f>
        <v>0</v>
      </c>
      <c r="AD9" s="36">
        <f>VLOOKUP($A9,[29]HISTOFEV24!$A$6:$AU$38,47,0)</f>
        <v>0</v>
      </c>
      <c r="AE9" s="36">
        <f>VLOOKUP(A9,[29]HISTOFEV24!$A$6:$BB$38,54,0)</f>
        <v>0</v>
      </c>
      <c r="AF9" s="36">
        <f>VLOOKUP($A9,[29]HISTOFEV24!$A$6:$CB$38,60,0)</f>
        <v>0</v>
      </c>
      <c r="AG9" s="36">
        <f>VLOOKUP($A9,[29]HISTOFEV24!$A$6:$CB$38,61,0)</f>
        <v>0</v>
      </c>
      <c r="AH9" s="36">
        <f>VLOOKUP($A9,[29]HISTOFEV24!$A$6:$CB$38,62,0)</f>
        <v>0</v>
      </c>
      <c r="AI9" s="36">
        <f>VLOOKUP($A9,[29]HISTOFEV24!$A$6:$CB$38,63,0)</f>
        <v>0</v>
      </c>
      <c r="AJ9" s="36">
        <f>VLOOKUP($A9,[29]HISTOFEV24!$A$6:$CB$38,64,0)</f>
        <v>0</v>
      </c>
      <c r="AK9" s="36">
        <f>VLOOKUP($A9,[29]HISTOFEV24!$A$6:$CB$38,65,0)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VLOOKUP($A10,[29]HISTOFEV24!$A$6:$BA$38,48,0)</f>
        <v>0</v>
      </c>
      <c r="F10" s="36">
        <f>MVTJANV24!I10-E10+L10</f>
        <v>781363.34848368098</v>
      </c>
      <c r="G10" s="5">
        <f>IF(MVTJANV24!I10+L10&gt;700000,(MVTJANV24!I10-E10+L10),0)</f>
        <v>781363.34848368098</v>
      </c>
      <c r="H10" s="36">
        <f t="shared" si="0"/>
        <v>768.05708231965059</v>
      </c>
      <c r="I10" s="6">
        <f t="shared" si="2"/>
        <v>782131.40556600061</v>
      </c>
      <c r="J10" s="36">
        <f>VLOOKUP($A10,[29]HISTOFEV24!$A$6:$AQ$42,22,0)</f>
        <v>0</v>
      </c>
      <c r="K10" s="36">
        <f>VLOOKUP($A10,[29]HISTOFEV24!$A$6:$AU$38,45,0)</f>
        <v>25000</v>
      </c>
      <c r="L10" s="36">
        <f t="shared" si="4"/>
        <v>19000</v>
      </c>
      <c r="M10" s="36">
        <f t="shared" si="5"/>
        <v>1000</v>
      </c>
      <c r="N10" s="36">
        <f t="shared" si="3"/>
        <v>1000</v>
      </c>
      <c r="O10" s="36">
        <f t="shared" si="6"/>
        <v>4000</v>
      </c>
      <c r="P10" s="36">
        <f>VLOOKUP($A10,[29]HISTOFEV24!$A$6:$AU$38,7,0)</f>
        <v>3000</v>
      </c>
      <c r="Q10" s="36">
        <f>VLOOKUP($A10,[29]HISTOFEV24!$A$6:$AU$38,23,0)</f>
        <v>0</v>
      </c>
      <c r="R10" s="36">
        <f>VLOOKUP($A10,[29]HISTOFEV24!$A$6:$AU$38,46,0)</f>
        <v>0</v>
      </c>
      <c r="S10" s="36">
        <f>VLOOKUP($A10,[29]HISTOFEV24!$A$6:$AU$38,26,0)</f>
        <v>0</v>
      </c>
      <c r="T10" s="36">
        <f>VLOOKUP($A10,[29]HISTOFEV24!$A$6:$BG$38,58,0)</f>
        <v>0</v>
      </c>
      <c r="U10" s="36">
        <f>VLOOKUP($A10,[29]HISTOFEV24!$A$6:$AU$38,28,0)</f>
        <v>0</v>
      </c>
      <c r="V10" s="36">
        <f>VLOOKUP($A10,[29]HISTOFEV24!$A$6:$AU$38,19,0)</f>
        <v>0</v>
      </c>
      <c r="W10" s="36">
        <f>VLOOKUP($A10,[29]HISTOFEV24!$A$6:$AU$38,20,0)</f>
        <v>0</v>
      </c>
      <c r="X10" s="36">
        <f>VLOOKUP($A10,[29]HISTOFEV24!$A$6:$AU$38,27,0)</f>
        <v>0</v>
      </c>
      <c r="Y10" s="36">
        <f>VLOOKUP($A10,[29]HISTOFEV24!$A$6:$BM$38,33,0)</f>
        <v>0</v>
      </c>
      <c r="Z10" s="36">
        <f>VLOOKUP($A10,[29]HISTOFEV24!$A$6:$BM$38,65,0)</f>
        <v>0</v>
      </c>
      <c r="AA10" s="36"/>
      <c r="AB10" s="36">
        <f>VLOOKUP($A10,[29]HISTOFEV24!$A$6:$AU$38,43,0)</f>
        <v>0</v>
      </c>
      <c r="AC10" s="36">
        <f>VLOOKUP($A10,[29]HISTOFEV24!$A$6:$AU$38,44,0)</f>
        <v>0</v>
      </c>
      <c r="AD10" s="36">
        <f>VLOOKUP($A10,[29]HISTOFEV24!$A$6:$AU$38,47,0)</f>
        <v>0</v>
      </c>
      <c r="AE10" s="36">
        <f>VLOOKUP(A10,[29]HISTOFEV24!$A$6:$BB$38,54,0)</f>
        <v>0</v>
      </c>
      <c r="AF10" s="36">
        <f>VLOOKUP($A10,[29]HISTOFEV24!$A$6:$CB$38,60,0)</f>
        <v>0</v>
      </c>
      <c r="AG10" s="36">
        <f>VLOOKUP($A10,[29]HISTOFEV24!$A$6:$CB$38,61,0)</f>
        <v>0</v>
      </c>
      <c r="AH10" s="36">
        <f>VLOOKUP($A10,[29]HISTOFEV24!$A$6:$CB$38,62,0)</f>
        <v>0</v>
      </c>
      <c r="AI10" s="36">
        <f>VLOOKUP($A10,[29]HISTOFEV24!$A$6:$CB$38,63,0)</f>
        <v>0</v>
      </c>
      <c r="AJ10" s="36">
        <f>VLOOKUP($A10,[29]HISTOFEV24!$A$6:$CB$38,64,0)</f>
        <v>0</v>
      </c>
      <c r="AK10" s="36">
        <f>VLOOKUP($A10,[29]HISTOFEV24!$A$6:$CB$38,65,0)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VLOOKUP($A11,[29]HISTOFEV24!$A$6:$BA$38,48,0)</f>
        <v>0</v>
      </c>
      <c r="F11" s="36">
        <f>MVTJANV24!I11-E11+L11</f>
        <v>783382.0315598842</v>
      </c>
      <c r="G11" s="5">
        <f>IF(MVTJANV24!I11+L11&gt;700000,(MVTJANV24!I11-E11+L11),0)</f>
        <v>783382.0315598842</v>
      </c>
      <c r="H11" s="36">
        <f t="shared" si="0"/>
        <v>770.04138813159523</v>
      </c>
      <c r="I11" s="6">
        <f t="shared" si="2"/>
        <v>784152.07294801576</v>
      </c>
      <c r="J11" s="36">
        <f>VLOOKUP($A11,[29]HISTOFEV24!$A$6:$AQ$42,22,0)</f>
        <v>0</v>
      </c>
      <c r="K11" s="36">
        <f>VLOOKUP($A11,[29]HISTOFEV24!$A$6:$AU$38,45,0)</f>
        <v>25000</v>
      </c>
      <c r="L11" s="36">
        <f t="shared" si="4"/>
        <v>19000</v>
      </c>
      <c r="M11" s="36">
        <f t="shared" si="5"/>
        <v>1000</v>
      </c>
      <c r="N11" s="36">
        <f t="shared" si="3"/>
        <v>1000</v>
      </c>
      <c r="O11" s="36">
        <f t="shared" si="6"/>
        <v>4000</v>
      </c>
      <c r="P11" s="36">
        <f>VLOOKUP($A11,[29]HISTOFEV24!$A$6:$AU$38,7,0)</f>
        <v>0</v>
      </c>
      <c r="Q11" s="36">
        <f>VLOOKUP($A11,[29]HISTOFEV24!$A$6:$AU$38,23,0)</f>
        <v>0</v>
      </c>
      <c r="R11" s="36">
        <f>VLOOKUP($A11,[29]HISTOFEV24!$A$6:$AU$38,46,0)</f>
        <v>0</v>
      </c>
      <c r="S11" s="36">
        <f>VLOOKUP($A11,[29]HISTOFEV24!$A$6:$AU$38,26,0)</f>
        <v>1000000</v>
      </c>
      <c r="T11" s="36">
        <f>VLOOKUP($A11,[29]HISTOFEV24!$A$6:$BG$38,58,0)</f>
        <v>20000</v>
      </c>
      <c r="U11" s="36">
        <f>VLOOKUP($A11,[29]HISTOFEV24!$A$6:$AU$38,28,0)</f>
        <v>0</v>
      </c>
      <c r="V11" s="36">
        <f>VLOOKUP($A11,[29]HISTOFEV24!$A$6:$AU$38,19,0)</f>
        <v>1000000</v>
      </c>
      <c r="W11" s="36">
        <f>VLOOKUP($A11,[29]HISTOFEV24!$A$6:$AU$38,20,0)</f>
        <v>0</v>
      </c>
      <c r="X11" s="36">
        <f>VLOOKUP($A11,[29]HISTOFEV24!$A$6:$AU$38,27,0)</f>
        <v>0</v>
      </c>
      <c r="Y11" s="36">
        <f>VLOOKUP($A11,[29]HISTOFEV24!$A$6:$BM$38,33,0)</f>
        <v>0</v>
      </c>
      <c r="Z11" s="36">
        <f>VLOOKUP($A11,[29]HISTOFEV24!$A$6:$BM$38,65,0)</f>
        <v>0</v>
      </c>
      <c r="AA11" s="36"/>
      <c r="AB11" s="36">
        <f>VLOOKUP($A11,[29]HISTOFEV24!$A$6:$AU$38,43,0)</f>
        <v>0</v>
      </c>
      <c r="AC11" s="36">
        <f>VLOOKUP($A11,[29]HISTOFEV24!$A$6:$AU$38,44,0)</f>
        <v>0</v>
      </c>
      <c r="AD11" s="36">
        <f>VLOOKUP($A11,[29]HISTOFEV24!$A$6:$AU$38,47,0)</f>
        <v>0</v>
      </c>
      <c r="AE11" s="36">
        <f>VLOOKUP(A11,[29]HISTOFEV24!$A$6:$BB$38,54,0)</f>
        <v>0</v>
      </c>
      <c r="AF11" s="36">
        <f>VLOOKUP($A11,[29]HISTOFEV24!$A$6:$CB$38,60,0)</f>
        <v>0</v>
      </c>
      <c r="AG11" s="36">
        <f>VLOOKUP($A11,[29]HISTOFEV24!$A$6:$CB$38,61,0)</f>
        <v>0</v>
      </c>
      <c r="AH11" s="36">
        <f>VLOOKUP($A11,[29]HISTOFEV24!$A$6:$CB$38,62,0)</f>
        <v>0</v>
      </c>
      <c r="AI11" s="36">
        <f>VLOOKUP($A11,[29]HISTOFEV24!$A$6:$CB$38,63,0)</f>
        <v>0</v>
      </c>
      <c r="AJ11" s="36">
        <f>VLOOKUP($A11,[29]HISTOFEV24!$A$6:$CB$38,64,0)</f>
        <v>0</v>
      </c>
      <c r="AK11" s="36">
        <f>VLOOKUP($A11,[29]HISTOFEV24!$A$6:$CB$38,65,0)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VLOOKUP($A12,[29]HISTOFEV24!$A$6:$BA$38,48,0)</f>
        <v>0</v>
      </c>
      <c r="F12" s="36">
        <f>MVTJANV24!I12-E12+L12</f>
        <v>806490.8661133534</v>
      </c>
      <c r="G12" s="5">
        <f>IF(MVTJANV24!I12+L12&gt;700000,(MVTJANV24!I12-E12+L12),0)</f>
        <v>806490.8661133534</v>
      </c>
      <c r="H12" s="36">
        <f t="shared" si="0"/>
        <v>792.75668963298858</v>
      </c>
      <c r="I12" s="6">
        <f t="shared" si="2"/>
        <v>807283.62280298641</v>
      </c>
      <c r="J12" s="36">
        <f>VLOOKUP($A12,[29]HISTOFEV24!$A$6:$AQ$42,22,0)</f>
        <v>0</v>
      </c>
      <c r="K12" s="36">
        <f>VLOOKUP($A12,[29]HISTOFEV24!$A$6:$AU$38,45,0)</f>
        <v>30000</v>
      </c>
      <c r="L12" s="36">
        <f t="shared" si="4"/>
        <v>24000</v>
      </c>
      <c r="M12" s="36">
        <f t="shared" si="5"/>
        <v>1000</v>
      </c>
      <c r="N12" s="36">
        <f t="shared" si="3"/>
        <v>1000</v>
      </c>
      <c r="O12" s="36">
        <f t="shared" si="6"/>
        <v>4000</v>
      </c>
      <c r="P12" s="36">
        <f>VLOOKUP($A12,[29]HISTOFEV24!$A$6:$AU$38,7,0)</f>
        <v>0</v>
      </c>
      <c r="Q12" s="36">
        <f>VLOOKUP($A12,[29]HISTOFEV24!$A$6:$AU$38,23,0)</f>
        <v>0</v>
      </c>
      <c r="R12" s="36">
        <f>VLOOKUP($A12,[29]HISTOFEV24!$A$6:$AU$38,46,0)</f>
        <v>0</v>
      </c>
      <c r="S12" s="36">
        <f>VLOOKUP($A12,[29]HISTOFEV24!$A$6:$AU$38,26,0)</f>
        <v>0</v>
      </c>
      <c r="T12" s="36">
        <f>VLOOKUP($A12,[29]HISTOFEV24!$A$6:$BG$38,58,0)</f>
        <v>0</v>
      </c>
      <c r="U12" s="36">
        <f>VLOOKUP($A12,[29]HISTOFEV24!$A$6:$AU$38,28,0)</f>
        <v>0</v>
      </c>
      <c r="V12" s="36">
        <f>VLOOKUP($A12,[29]HISTOFEV24!$A$6:$AU$38,19,0)</f>
        <v>0</v>
      </c>
      <c r="W12" s="36">
        <f>VLOOKUP($A12,[29]HISTOFEV24!$A$6:$AU$38,20,0)</f>
        <v>0</v>
      </c>
      <c r="X12" s="36">
        <f>VLOOKUP($A12,[29]HISTOFEV24!$A$6:$AU$38,27,0)</f>
        <v>0</v>
      </c>
      <c r="Y12" s="36">
        <f>VLOOKUP($A12,[29]HISTOFEV24!$A$6:$BM$38,33,0)</f>
        <v>0</v>
      </c>
      <c r="Z12" s="36">
        <f>VLOOKUP($A12,[29]HISTOFEV24!$A$6:$BM$38,65,0)</f>
        <v>0</v>
      </c>
      <c r="AA12" s="36"/>
      <c r="AB12" s="36">
        <f>VLOOKUP($A12,[29]HISTOFEV24!$A$6:$AU$38,43,0)</f>
        <v>0</v>
      </c>
      <c r="AC12" s="36">
        <f>VLOOKUP($A12,[29]HISTOFEV24!$A$6:$AU$38,44,0)</f>
        <v>0</v>
      </c>
      <c r="AD12" s="36">
        <f>VLOOKUP($A12,[29]HISTOFEV24!$A$6:$AU$38,47,0)</f>
        <v>0</v>
      </c>
      <c r="AE12" s="36">
        <f>VLOOKUP(A12,[29]HISTOFEV24!$A$6:$BB$38,54,0)</f>
        <v>0</v>
      </c>
      <c r="AF12" s="36">
        <f>VLOOKUP($A12,[29]HISTOFEV24!$A$6:$CB$38,60,0)</f>
        <v>0</v>
      </c>
      <c r="AG12" s="36">
        <f>VLOOKUP($A12,[29]HISTOFEV24!$A$6:$CB$38,61,0)</f>
        <v>0</v>
      </c>
      <c r="AH12" s="36">
        <f>VLOOKUP($A12,[29]HISTOFEV24!$A$6:$CB$38,62,0)</f>
        <v>0</v>
      </c>
      <c r="AI12" s="36">
        <f>VLOOKUP($A12,[29]HISTOFEV24!$A$6:$CB$38,63,0)</f>
        <v>0</v>
      </c>
      <c r="AJ12" s="36">
        <f>VLOOKUP($A12,[29]HISTOFEV24!$A$6:$CB$38,64,0)</f>
        <v>0</v>
      </c>
      <c r="AK12" s="36">
        <f>VLOOKUP($A12,[29]HISTOFEV24!$A$6:$CB$38,65,0)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VLOOKUP($A13,[29]HISTOFEV24!$A$6:$BA$38,48,0)</f>
        <v>0</v>
      </c>
      <c r="F13" s="36">
        <f>MVTJANV24!I13-E13+L13</f>
        <v>781094.36938164337</v>
      </c>
      <c r="G13" s="5">
        <f>IF(MVTJANV24!I13+L13&gt;700000,(MVTJANV24!I13-E13+L13),0)</f>
        <v>781094.36938164337</v>
      </c>
      <c r="H13" s="36">
        <f t="shared" si="0"/>
        <v>767.79268381066379</v>
      </c>
      <c r="I13" s="6">
        <f t="shared" si="2"/>
        <v>781862.16206545406</v>
      </c>
      <c r="J13" s="36">
        <f>VLOOKUP($A13,[29]HISTOFEV24!$A$6:$AQ$42,22,0)</f>
        <v>0</v>
      </c>
      <c r="K13" s="36">
        <f>VLOOKUP($A13,[29]HISTOFEV24!$A$6:$AU$38,45,0)</f>
        <v>25000</v>
      </c>
      <c r="L13" s="36">
        <f t="shared" si="4"/>
        <v>19000</v>
      </c>
      <c r="M13" s="36">
        <f t="shared" si="5"/>
        <v>1000</v>
      </c>
      <c r="N13" s="36">
        <f t="shared" si="3"/>
        <v>1000</v>
      </c>
      <c r="O13" s="36">
        <f t="shared" si="6"/>
        <v>4000</v>
      </c>
      <c r="P13" s="36">
        <f>VLOOKUP($A13,[29]HISTOFEV24!$A$6:$AU$38,7,0)</f>
        <v>0</v>
      </c>
      <c r="Q13" s="36">
        <f>VLOOKUP($A13,[29]HISTOFEV24!$A$6:$AU$38,23,0)</f>
        <v>0</v>
      </c>
      <c r="R13" s="36">
        <f>VLOOKUP($A13,[29]HISTOFEV24!$A$6:$AU$38,46,0)</f>
        <v>0</v>
      </c>
      <c r="S13" s="36">
        <f>VLOOKUP($A13,[29]HISTOFEV24!$A$6:$AU$38,26,0)</f>
        <v>0</v>
      </c>
      <c r="T13" s="36">
        <f>VLOOKUP($A13,[29]HISTOFEV24!$A$6:$BG$38,58,0)</f>
        <v>0</v>
      </c>
      <c r="U13" s="36">
        <f>VLOOKUP($A13,[29]HISTOFEV24!$A$6:$AU$38,28,0)</f>
        <v>0</v>
      </c>
      <c r="V13" s="36">
        <f>VLOOKUP($A13,[29]HISTOFEV24!$A$6:$AU$38,19,0)</f>
        <v>0</v>
      </c>
      <c r="W13" s="36">
        <f>VLOOKUP($A13,[29]HISTOFEV24!$A$6:$AU$38,20,0)</f>
        <v>0</v>
      </c>
      <c r="X13" s="36">
        <f>VLOOKUP($A13,[29]HISTOFEV24!$A$6:$AU$38,27,0)</f>
        <v>0</v>
      </c>
      <c r="Y13" s="36">
        <f>VLOOKUP($A13,[29]HISTOFEV24!$A$6:$BM$38,33,0)</f>
        <v>0</v>
      </c>
      <c r="Z13" s="36">
        <f>VLOOKUP($A13,[29]HISTOFEV24!$A$6:$BM$38,65,0)</f>
        <v>0</v>
      </c>
      <c r="AA13" s="36"/>
      <c r="AB13" s="36">
        <f>VLOOKUP($A13,[29]HISTOFEV24!$A$6:$AU$38,43,0)</f>
        <v>0</v>
      </c>
      <c r="AC13" s="36">
        <f>VLOOKUP($A13,[29]HISTOFEV24!$A$6:$AU$38,44,0)</f>
        <v>0</v>
      </c>
      <c r="AD13" s="36">
        <f>VLOOKUP($A13,[29]HISTOFEV24!$A$6:$AU$38,47,0)</f>
        <v>0</v>
      </c>
      <c r="AE13" s="36">
        <f>VLOOKUP(A13,[29]HISTOFEV24!$A$6:$BB$38,54,0)</f>
        <v>0</v>
      </c>
      <c r="AF13" s="36">
        <f>VLOOKUP($A13,[29]HISTOFEV24!$A$6:$CB$38,60,0)</f>
        <v>0</v>
      </c>
      <c r="AG13" s="36">
        <f>VLOOKUP($A13,[29]HISTOFEV24!$A$6:$CB$38,61,0)</f>
        <v>0</v>
      </c>
      <c r="AH13" s="36">
        <f>VLOOKUP($A13,[29]HISTOFEV24!$A$6:$CB$38,62,0)</f>
        <v>0</v>
      </c>
      <c r="AI13" s="36">
        <f>VLOOKUP($A13,[29]HISTOFEV24!$A$6:$CB$38,63,0)</f>
        <v>0</v>
      </c>
      <c r="AJ13" s="36">
        <f>VLOOKUP($A13,[29]HISTOFEV24!$A$6:$CB$38,64,0)</f>
        <v>0</v>
      </c>
      <c r="AK13" s="36">
        <f>VLOOKUP($A13,[29]HISTOFEV24!$A$6:$CB$38,65,0)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VLOOKUP($A14,[29]HISTOFEV24!$A$6:$BA$38,48,0)</f>
        <v>0</v>
      </c>
      <c r="F14" s="36">
        <f>MVTJANV24!I14-E14+L14</f>
        <v>1330836.2464266766</v>
      </c>
      <c r="G14" s="5">
        <f>IF(MVTJANV24!I14+L14&gt;700000,(MVTJANV24!I14-E14+L14),0)</f>
        <v>1330836.2464266766</v>
      </c>
      <c r="H14" s="36">
        <f t="shared" si="0"/>
        <v>1308.1727041066308</v>
      </c>
      <c r="I14" s="6">
        <f t="shared" si="2"/>
        <v>1332144.4191307833</v>
      </c>
      <c r="J14" s="36">
        <f>VLOOKUP($A14,[29]HISTOFEV24!$A$6:$AQ$42,22,0)</f>
        <v>0</v>
      </c>
      <c r="K14" s="36">
        <f>VLOOKUP($A14,[29]HISTOFEV24!$A$6:$AU$38,45,0)</f>
        <v>25000</v>
      </c>
      <c r="L14" s="36">
        <f t="shared" si="4"/>
        <v>19000</v>
      </c>
      <c r="M14" s="36">
        <f t="shared" si="5"/>
        <v>1000</v>
      </c>
      <c r="N14" s="36">
        <f t="shared" si="3"/>
        <v>1000</v>
      </c>
      <c r="O14" s="36">
        <f t="shared" si="6"/>
        <v>4000</v>
      </c>
      <c r="P14" s="36">
        <f>VLOOKUP($A14,[29]HISTOFEV24!$A$6:$AU$38,7,0)</f>
        <v>0</v>
      </c>
      <c r="Q14" s="36">
        <f>VLOOKUP($A14,[29]HISTOFEV24!$A$6:$AU$38,23,0)</f>
        <v>0</v>
      </c>
      <c r="R14" s="36">
        <f>VLOOKUP($A14,[29]HISTOFEV24!$A$6:$AU$38,46,0)</f>
        <v>0</v>
      </c>
      <c r="S14" s="36">
        <f>VLOOKUP($A14,[29]HISTOFEV24!$A$6:$AU$38,26,0)</f>
        <v>0</v>
      </c>
      <c r="T14" s="36">
        <f>VLOOKUP($A14,[29]HISTOFEV24!$A$6:$BG$38,58,0)</f>
        <v>0</v>
      </c>
      <c r="U14" s="36">
        <f>VLOOKUP($A14,[29]HISTOFEV24!$A$6:$AU$38,28,0)</f>
        <v>0</v>
      </c>
      <c r="V14" s="36">
        <f>VLOOKUP($A14,[29]HISTOFEV24!$A$6:$AU$38,19,0)</f>
        <v>0</v>
      </c>
      <c r="W14" s="36">
        <f>VLOOKUP($A14,[29]HISTOFEV24!$A$6:$AU$38,20,0)</f>
        <v>0</v>
      </c>
      <c r="X14" s="36">
        <f>VLOOKUP($A14,[29]HISTOFEV24!$A$6:$AU$38,27,0)</f>
        <v>0</v>
      </c>
      <c r="Y14" s="36">
        <f>VLOOKUP($A14,[29]HISTOFEV24!$A$6:$BM$38,33,0)</f>
        <v>0</v>
      </c>
      <c r="Z14" s="36">
        <f>VLOOKUP($A14,[29]HISTOFEV24!$A$6:$BM$38,65,0)</f>
        <v>0</v>
      </c>
      <c r="AA14" s="36"/>
      <c r="AB14" s="36">
        <f>VLOOKUP($A14,[29]HISTOFEV24!$A$6:$AU$38,43,0)</f>
        <v>0</v>
      </c>
      <c r="AC14" s="36">
        <f>VLOOKUP($A14,[29]HISTOFEV24!$A$6:$AU$38,44,0)</f>
        <v>0</v>
      </c>
      <c r="AD14" s="36">
        <f>VLOOKUP($A14,[29]HISTOFEV24!$A$6:$AU$38,47,0)</f>
        <v>0</v>
      </c>
      <c r="AE14" s="36">
        <f>VLOOKUP(A14,[29]HISTOFEV24!$A$6:$BB$38,54,0)</f>
        <v>0</v>
      </c>
      <c r="AF14" s="36">
        <f>VLOOKUP($A14,[29]HISTOFEV24!$A$6:$CB$38,60,0)</f>
        <v>0</v>
      </c>
      <c r="AG14" s="36">
        <f>VLOOKUP($A14,[29]HISTOFEV24!$A$6:$CB$38,61,0)</f>
        <v>0</v>
      </c>
      <c r="AH14" s="36">
        <f>VLOOKUP($A14,[29]HISTOFEV24!$A$6:$CB$38,62,0)</f>
        <v>0</v>
      </c>
      <c r="AI14" s="36">
        <f>VLOOKUP($A14,[29]HISTOFEV24!$A$6:$CB$38,63,0)</f>
        <v>0</v>
      </c>
      <c r="AJ14" s="36">
        <f>VLOOKUP($A14,[29]HISTOFEV24!$A$6:$CB$38,64,0)</f>
        <v>0</v>
      </c>
      <c r="AK14" s="36">
        <f>VLOOKUP($A14,[29]HISTOFEV24!$A$6:$CB$38,65,0)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VLOOKUP($A15,[29]HISTOFEV24!$A$6:$BA$38,48,0)</f>
        <v>0</v>
      </c>
      <c r="F15" s="36">
        <f>MVTJANV24!I15-E15+L15</f>
        <v>842499.34683141671</v>
      </c>
      <c r="G15" s="5">
        <f>IF(MVTJANV24!I15+L15&gt;700000,(MVTJANV24!I15-E15+L15),0)</f>
        <v>842499.34683141671</v>
      </c>
      <c r="H15" s="36">
        <f t="shared" si="0"/>
        <v>828.15196213041202</v>
      </c>
      <c r="I15" s="6">
        <f t="shared" si="2"/>
        <v>843327.49879354716</v>
      </c>
      <c r="J15" s="36">
        <f>VLOOKUP($A15,[29]HISTOFEV24!$A$6:$AQ$42,22,0)</f>
        <v>0</v>
      </c>
      <c r="K15" s="36">
        <f>VLOOKUP($A15,[29]HISTOFEV24!$A$6:$AU$38,45,0)</f>
        <v>25000</v>
      </c>
      <c r="L15" s="36">
        <f t="shared" si="4"/>
        <v>19000</v>
      </c>
      <c r="M15" s="36">
        <f t="shared" si="5"/>
        <v>1000</v>
      </c>
      <c r="N15" s="36">
        <f t="shared" si="3"/>
        <v>1000</v>
      </c>
      <c r="O15" s="36">
        <f t="shared" si="6"/>
        <v>4000</v>
      </c>
      <c r="P15" s="36">
        <f>VLOOKUP($A15,[29]HISTOFEV24!$A$6:$AU$38,7,0)</f>
        <v>0</v>
      </c>
      <c r="Q15" s="36">
        <f>VLOOKUP($A15,[29]HISTOFEV24!$A$6:$AU$38,23,0)</f>
        <v>0</v>
      </c>
      <c r="R15" s="36">
        <f>VLOOKUP($A15,[29]HISTOFEV24!$A$6:$AU$38,46,0)</f>
        <v>0</v>
      </c>
      <c r="S15" s="36">
        <f>VLOOKUP($A15,[29]HISTOFEV24!$A$6:$AU$38,26,0)</f>
        <v>0</v>
      </c>
      <c r="T15" s="36">
        <f>VLOOKUP($A15,[29]HISTOFEV24!$A$6:$BG$38,58,0)</f>
        <v>0</v>
      </c>
      <c r="U15" s="36">
        <f>VLOOKUP($A15,[29]HISTOFEV24!$A$6:$AU$38,28,0)</f>
        <v>0</v>
      </c>
      <c r="V15" s="36">
        <f>VLOOKUP($A15,[29]HISTOFEV24!$A$6:$AU$38,19,0)</f>
        <v>0</v>
      </c>
      <c r="W15" s="36">
        <f>VLOOKUP($A15,[29]HISTOFEV24!$A$6:$AU$38,20,0)</f>
        <v>0</v>
      </c>
      <c r="X15" s="36">
        <f>VLOOKUP($A15,[29]HISTOFEV24!$A$6:$AU$38,27,0)</f>
        <v>0</v>
      </c>
      <c r="Y15" s="36">
        <f>VLOOKUP($A15,[29]HISTOFEV24!$A$6:$BM$38,33,0)</f>
        <v>0</v>
      </c>
      <c r="Z15" s="36">
        <f>VLOOKUP($A15,[29]HISTOFEV24!$A$6:$BM$38,65,0)</f>
        <v>0</v>
      </c>
      <c r="AA15" s="36"/>
      <c r="AB15" s="36">
        <f>VLOOKUP($A15,[29]HISTOFEV24!$A$6:$AU$38,43,0)</f>
        <v>0</v>
      </c>
      <c r="AC15" s="36">
        <f>VLOOKUP($A15,[29]HISTOFEV24!$A$6:$AU$38,44,0)</f>
        <v>0</v>
      </c>
      <c r="AD15" s="36">
        <f>VLOOKUP($A15,[29]HISTOFEV24!$A$6:$AU$38,47,0)</f>
        <v>0</v>
      </c>
      <c r="AE15" s="36">
        <f>VLOOKUP(A15,[29]HISTOFEV24!$A$6:$BB$38,54,0)</f>
        <v>0</v>
      </c>
      <c r="AF15" s="36">
        <f>VLOOKUP($A15,[29]HISTOFEV24!$A$6:$CB$38,60,0)</f>
        <v>0</v>
      </c>
      <c r="AG15" s="36">
        <f>VLOOKUP($A15,[29]HISTOFEV24!$A$6:$CB$38,61,0)</f>
        <v>0</v>
      </c>
      <c r="AH15" s="36">
        <f>VLOOKUP($A15,[29]HISTOFEV24!$A$6:$CB$38,62,0)</f>
        <v>0</v>
      </c>
      <c r="AI15" s="36">
        <f>VLOOKUP($A15,[29]HISTOFEV24!$A$6:$CB$38,63,0)</f>
        <v>0</v>
      </c>
      <c r="AJ15" s="36">
        <f>VLOOKUP($A15,[29]HISTOFEV24!$A$6:$CB$38,64,0)</f>
        <v>0</v>
      </c>
      <c r="AK15" s="36">
        <f>VLOOKUP($A15,[29]HISTOFEV24!$A$6:$CB$38,65,0)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VLOOKUP($A16,[29]HISTOFEV24!$A$6:$BA$38,48,0)</f>
        <v>0</v>
      </c>
      <c r="F16" s="36">
        <f>MVTJANV24!I16-E16+L16</f>
        <v>882791.41255057021</v>
      </c>
      <c r="G16" s="5">
        <f>IF(MVTJANV24!I16+L16&gt;700000,(MVTJANV24!I16-E16+L16),0)</f>
        <v>882791.41255057021</v>
      </c>
      <c r="H16" s="36">
        <f t="shared" si="0"/>
        <v>867.75787210422868</v>
      </c>
      <c r="I16" s="6">
        <f t="shared" si="2"/>
        <v>883659.17042267439</v>
      </c>
      <c r="J16" s="36">
        <f>VLOOKUP($A16,[29]HISTOFEV24!$A$6:$AQ$42,22,0)</f>
        <v>0</v>
      </c>
      <c r="K16" s="36">
        <f>VLOOKUP($A16,[29]HISTOFEV24!$A$6:$AU$38,45,0)</f>
        <v>60000</v>
      </c>
      <c r="L16" s="36">
        <f t="shared" si="4"/>
        <v>54000</v>
      </c>
      <c r="M16" s="36">
        <f t="shared" si="5"/>
        <v>1000</v>
      </c>
      <c r="N16" s="36">
        <f t="shared" si="3"/>
        <v>1000</v>
      </c>
      <c r="O16" s="36">
        <f t="shared" si="6"/>
        <v>4000</v>
      </c>
      <c r="P16" s="36">
        <f>VLOOKUP($A16,[29]HISTOFEV24!$A$6:$AU$38,7,0)</f>
        <v>0</v>
      </c>
      <c r="Q16" s="36">
        <f>VLOOKUP($A16,[29]HISTOFEV24!$A$6:$AU$38,23,0)</f>
        <v>0</v>
      </c>
      <c r="R16" s="36">
        <f>VLOOKUP($A16,[29]HISTOFEV24!$A$6:$AU$38,46,0)</f>
        <v>0</v>
      </c>
      <c r="S16" s="36">
        <f>VLOOKUP($A16,[29]HISTOFEV24!$A$6:$AU$38,26,0)</f>
        <v>0</v>
      </c>
      <c r="T16" s="36">
        <f>VLOOKUP($A16,[29]HISTOFEV24!$A$6:$BG$38,58,0)</f>
        <v>0</v>
      </c>
      <c r="U16" s="36">
        <f>VLOOKUP($A16,[29]HISTOFEV24!$A$6:$AU$38,28,0)</f>
        <v>0</v>
      </c>
      <c r="V16" s="36">
        <f>VLOOKUP($A16,[29]HISTOFEV24!$A$6:$AU$38,19,0)</f>
        <v>0</v>
      </c>
      <c r="W16" s="36">
        <f>VLOOKUP($A16,[29]HISTOFEV24!$A$6:$AU$38,20,0)</f>
        <v>0</v>
      </c>
      <c r="X16" s="36">
        <f>VLOOKUP($A16,[29]HISTOFEV24!$A$6:$AU$38,27,0)</f>
        <v>0</v>
      </c>
      <c r="Y16" s="36">
        <f>VLOOKUP($A16,[29]HISTOFEV24!$A$6:$BM$38,33,0)</f>
        <v>0</v>
      </c>
      <c r="Z16" s="36">
        <f>VLOOKUP($A16,[29]HISTOFEV24!$A$6:$BM$38,65,0)</f>
        <v>0</v>
      </c>
      <c r="AA16" s="36"/>
      <c r="AB16" s="36">
        <f>VLOOKUP($A16,[29]HISTOFEV24!$A$6:$AU$38,43,0)</f>
        <v>0</v>
      </c>
      <c r="AC16" s="36">
        <f>VLOOKUP($A16,[29]HISTOFEV24!$A$6:$AU$38,44,0)</f>
        <v>0</v>
      </c>
      <c r="AD16" s="36">
        <f>VLOOKUP($A16,[29]HISTOFEV24!$A$6:$AU$38,47,0)</f>
        <v>0</v>
      </c>
      <c r="AE16" s="36">
        <f>VLOOKUP(A16,[29]HISTOFEV24!$A$6:$BB$38,54,0)</f>
        <v>0</v>
      </c>
      <c r="AF16" s="36">
        <f>VLOOKUP($A16,[29]HISTOFEV24!$A$6:$CB$38,60,0)</f>
        <v>0</v>
      </c>
      <c r="AG16" s="36">
        <f>VLOOKUP($A16,[29]HISTOFEV24!$A$6:$CB$38,61,0)</f>
        <v>0</v>
      </c>
      <c r="AH16" s="36">
        <f>VLOOKUP($A16,[29]HISTOFEV24!$A$6:$CB$38,62,0)</f>
        <v>0</v>
      </c>
      <c r="AI16" s="36">
        <f>VLOOKUP($A16,[29]HISTOFEV24!$A$6:$CB$38,63,0)</f>
        <v>0</v>
      </c>
      <c r="AJ16" s="36">
        <f>VLOOKUP($A16,[29]HISTOFEV24!$A$6:$CB$38,64,0)</f>
        <v>0</v>
      </c>
      <c r="AK16" s="36">
        <f>VLOOKUP($A16,[29]HISTOFEV24!$A$6:$CB$38,65,0)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VLOOKUP($A17,[29]HISTOFEV24!$A$6:$BA$38,48,0)</f>
        <v>0</v>
      </c>
      <c r="F17" s="36">
        <f>MVTJANV24!I17-E17+L17</f>
        <v>790886.19178808515</v>
      </c>
      <c r="G17" s="5">
        <f>IF(MVTJANV24!I17+L17&gt;700000,(MVTJANV24!I17-E17+L17),0)</f>
        <v>790886.19178808515</v>
      </c>
      <c r="H17" s="36">
        <f t="shared" si="0"/>
        <v>777.41775588843473</v>
      </c>
      <c r="I17" s="6">
        <f t="shared" si="2"/>
        <v>791663.60954397358</v>
      </c>
      <c r="J17" s="36">
        <f>VLOOKUP($A17,[29]HISTOFEV24!$A$6:$AQ$42,22,0)</f>
        <v>0</v>
      </c>
      <c r="K17" s="36">
        <f>VLOOKUP($A17,[29]HISTOFEV24!$A$6:$AU$38,45,0)</f>
        <v>25000</v>
      </c>
      <c r="L17" s="36">
        <f t="shared" si="4"/>
        <v>19000</v>
      </c>
      <c r="M17" s="36">
        <f t="shared" si="5"/>
        <v>1000</v>
      </c>
      <c r="N17" s="36">
        <f t="shared" si="3"/>
        <v>1000</v>
      </c>
      <c r="O17" s="36">
        <f t="shared" si="6"/>
        <v>4000</v>
      </c>
      <c r="P17" s="36">
        <f>VLOOKUP($A17,[29]HISTOFEV24!$A$6:$AU$38,7,0)</f>
        <v>0</v>
      </c>
      <c r="Q17" s="36">
        <f>VLOOKUP($A17,[29]HISTOFEV24!$A$6:$AU$38,23,0)</f>
        <v>0</v>
      </c>
      <c r="R17" s="36">
        <f>VLOOKUP($A17,[29]HISTOFEV24!$A$6:$AU$38,46,0)</f>
        <v>0</v>
      </c>
      <c r="S17" s="36">
        <f>VLOOKUP($A17,[29]HISTOFEV24!$A$6:$AU$38,26,0)</f>
        <v>0</v>
      </c>
      <c r="T17" s="36">
        <f>VLOOKUP($A17,[29]HISTOFEV24!$A$6:$BG$38,58,0)</f>
        <v>0</v>
      </c>
      <c r="U17" s="36">
        <f>VLOOKUP($A17,[29]HISTOFEV24!$A$6:$AU$38,28,0)</f>
        <v>0</v>
      </c>
      <c r="V17" s="36">
        <f>VLOOKUP($A17,[29]HISTOFEV24!$A$6:$AU$38,19,0)</f>
        <v>0</v>
      </c>
      <c r="W17" s="36">
        <f>VLOOKUP($A17,[29]HISTOFEV24!$A$6:$AU$38,20,0)</f>
        <v>0</v>
      </c>
      <c r="X17" s="36">
        <f>VLOOKUP($A17,[29]HISTOFEV24!$A$6:$AU$38,27,0)</f>
        <v>0</v>
      </c>
      <c r="Y17" s="36">
        <f>VLOOKUP($A17,[29]HISTOFEV24!$A$6:$BM$38,33,0)</f>
        <v>0</v>
      </c>
      <c r="Z17" s="36">
        <f>VLOOKUP($A17,[29]HISTOFEV24!$A$6:$BM$38,65,0)</f>
        <v>0</v>
      </c>
      <c r="AA17" s="36"/>
      <c r="AB17" s="36">
        <f>VLOOKUP($A17,[29]HISTOFEV24!$A$6:$AU$38,43,0)</f>
        <v>0</v>
      </c>
      <c r="AC17" s="36">
        <f>VLOOKUP($A17,[29]HISTOFEV24!$A$6:$AU$38,44,0)</f>
        <v>0</v>
      </c>
      <c r="AD17" s="36">
        <f>VLOOKUP($A17,[29]HISTOFEV24!$A$6:$AU$38,47,0)</f>
        <v>0</v>
      </c>
      <c r="AE17" s="36">
        <f>VLOOKUP(A17,[29]HISTOFEV24!$A$6:$BB$38,54,0)</f>
        <v>0</v>
      </c>
      <c r="AF17" s="36">
        <f>VLOOKUP($A17,[29]HISTOFEV24!$A$6:$CB$38,60,0)</f>
        <v>0</v>
      </c>
      <c r="AG17" s="36">
        <f>VLOOKUP($A17,[29]HISTOFEV24!$A$6:$CB$38,61,0)</f>
        <v>0</v>
      </c>
      <c r="AH17" s="36">
        <f>VLOOKUP($A17,[29]HISTOFEV24!$A$6:$CB$38,62,0)</f>
        <v>0</v>
      </c>
      <c r="AI17" s="36">
        <f>VLOOKUP($A17,[29]HISTOFEV24!$A$6:$CB$38,63,0)</f>
        <v>0</v>
      </c>
      <c r="AJ17" s="36">
        <f>VLOOKUP($A17,[29]HISTOFEV24!$A$6:$CB$38,64,0)</f>
        <v>0</v>
      </c>
      <c r="AK17" s="36">
        <f>VLOOKUP($A17,[29]HISTOFEV24!$A$6:$CB$38,65,0)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VLOOKUP($A18,[29]HISTOFEV24!$A$6:$BA$38,48,0)</f>
        <v>0</v>
      </c>
      <c r="F18" s="36">
        <f>MVTJANV24!I18-E18+L18</f>
        <v>816976.66318635363</v>
      </c>
      <c r="G18" s="5">
        <f>IF(MVTJANV24!I18+L18&gt;700000,(MVTJANV24!I18-E18+L18),0)</f>
        <v>816976.66318635363</v>
      </c>
      <c r="H18" s="36">
        <f t="shared" si="0"/>
        <v>803.06391830107691</v>
      </c>
      <c r="I18" s="6">
        <f t="shared" si="2"/>
        <v>817779.72710465465</v>
      </c>
      <c r="J18" s="36">
        <f>VLOOKUP($A18,[29]HISTOFEV24!$A$6:$AQ$42,22,0)</f>
        <v>0</v>
      </c>
      <c r="K18" s="36">
        <f>VLOOKUP($A18,[29]HISTOFEV24!$A$6:$AU$38,45,0)</f>
        <v>35000</v>
      </c>
      <c r="L18" s="36">
        <f t="shared" si="4"/>
        <v>29000</v>
      </c>
      <c r="M18" s="36">
        <f t="shared" si="5"/>
        <v>1000</v>
      </c>
      <c r="N18" s="36">
        <f t="shared" si="3"/>
        <v>1000</v>
      </c>
      <c r="O18" s="36">
        <f t="shared" si="6"/>
        <v>4000</v>
      </c>
      <c r="P18" s="36">
        <f>VLOOKUP($A18,[29]HISTOFEV24!$A$6:$AU$38,7,0)</f>
        <v>0</v>
      </c>
      <c r="Q18" s="36">
        <f>VLOOKUP($A18,[29]HISTOFEV24!$A$6:$AU$38,23,0)</f>
        <v>0</v>
      </c>
      <c r="R18" s="36">
        <f>VLOOKUP($A18,[29]HISTOFEV24!$A$6:$AU$38,46,0)</f>
        <v>0</v>
      </c>
      <c r="S18" s="36">
        <f>VLOOKUP($A18,[29]HISTOFEV24!$A$6:$AU$38,26,0)</f>
        <v>0</v>
      </c>
      <c r="T18" s="36">
        <f>VLOOKUP($A18,[29]HISTOFEV24!$A$6:$BG$38,58,0)</f>
        <v>0</v>
      </c>
      <c r="U18" s="36">
        <f>VLOOKUP($A18,[29]HISTOFEV24!$A$6:$AU$38,28,0)</f>
        <v>0</v>
      </c>
      <c r="V18" s="36">
        <f>VLOOKUP($A18,[29]HISTOFEV24!$A$6:$AU$38,19,0)</f>
        <v>0</v>
      </c>
      <c r="W18" s="36">
        <f>VLOOKUP($A18,[29]HISTOFEV24!$A$6:$AU$38,20,0)</f>
        <v>0</v>
      </c>
      <c r="X18" s="36">
        <f>VLOOKUP($A18,[29]HISTOFEV24!$A$6:$AU$38,27,0)</f>
        <v>0</v>
      </c>
      <c r="Y18" s="36">
        <f>VLOOKUP($A18,[29]HISTOFEV24!$A$6:$BM$38,33,0)</f>
        <v>0</v>
      </c>
      <c r="Z18" s="36">
        <f>VLOOKUP($A18,[29]HISTOFEV24!$A$6:$BM$38,65,0)</f>
        <v>0</v>
      </c>
      <c r="AA18" s="36"/>
      <c r="AB18" s="36">
        <f>VLOOKUP($A18,[29]HISTOFEV24!$A$6:$AU$38,43,0)</f>
        <v>0</v>
      </c>
      <c r="AC18" s="36">
        <f>VLOOKUP($A18,[29]HISTOFEV24!$A$6:$AU$38,44,0)</f>
        <v>0</v>
      </c>
      <c r="AD18" s="36">
        <f>VLOOKUP($A18,[29]HISTOFEV24!$A$6:$AU$38,47,0)</f>
        <v>0</v>
      </c>
      <c r="AE18" s="36">
        <f>VLOOKUP(A18,[29]HISTOFEV24!$A$6:$BB$38,54,0)</f>
        <v>0</v>
      </c>
      <c r="AF18" s="36">
        <f>VLOOKUP($A18,[29]HISTOFEV24!$A$6:$CB$38,60,0)</f>
        <v>0</v>
      </c>
      <c r="AG18" s="36">
        <f>VLOOKUP($A18,[29]HISTOFEV24!$A$6:$CB$38,61,0)</f>
        <v>0</v>
      </c>
      <c r="AH18" s="36">
        <f>VLOOKUP($A18,[29]HISTOFEV24!$A$6:$CB$38,62,0)</f>
        <v>0</v>
      </c>
      <c r="AI18" s="36">
        <f>VLOOKUP($A18,[29]HISTOFEV24!$A$6:$CB$38,63,0)</f>
        <v>0</v>
      </c>
      <c r="AJ18" s="36">
        <f>VLOOKUP($A18,[29]HISTOFEV24!$A$6:$CB$38,64,0)</f>
        <v>0</v>
      </c>
      <c r="AK18" s="36">
        <f>VLOOKUP($A18,[29]HISTOFEV24!$A$6:$CB$38,65,0)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MVTJANV24!I19-E19+L19</f>
        <v>676217</v>
      </c>
      <c r="G19" s="5">
        <f>IF(MVTJANV24!I19+L19&gt;700000,(MVTJANV24!I19-E19+L19),0)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MVTJANV24!I20-E20+L20</f>
        <v>38000</v>
      </c>
      <c r="G20" s="5">
        <f>IF(MVTJANV24!I20+L20&gt;700000,(MVTJANV24!I20-E20+L20),0)</f>
        <v>0</v>
      </c>
      <c r="H20" s="36">
        <f t="shared" si="0"/>
        <v>0</v>
      </c>
      <c r="I20" s="6">
        <f t="shared" si="2"/>
        <v>38000</v>
      </c>
      <c r="J20" s="36">
        <f>VLOOKUP($A20,[29]HISTOFEV24!$A$6:$AQ$42,22,0)</f>
        <v>0</v>
      </c>
      <c r="K20" s="36">
        <f>VLOOKUP($A20,[29]HISTOFEV24!$A$6:$AU$38,45,0)</f>
        <v>25000</v>
      </c>
      <c r="L20" s="36">
        <f t="shared" ref="L20" si="7">IF(K20=0,0,K20-(M20+N20+O20))</f>
        <v>19000</v>
      </c>
      <c r="M20" s="36">
        <f t="shared" ref="M20" si="8">IF(K20=0,0,1000)</f>
        <v>1000</v>
      </c>
      <c r="N20" s="36">
        <f t="shared" ref="N20" si="9">IF(K20=0,0,1000)</f>
        <v>1000</v>
      </c>
      <c r="O20" s="36">
        <f t="shared" ref="O20" si="10">IF(K20=0,0,4000)</f>
        <v>4000</v>
      </c>
      <c r="P20" s="36">
        <f>VLOOKUP($A20,[29]HISTOFEV24!$A$6:$AU$38,7,0)</f>
        <v>0</v>
      </c>
      <c r="Q20" s="36">
        <f>VLOOKUP($A20,[29]HISTOFEV24!$A$6:$AU$38,23,0)</f>
        <v>0</v>
      </c>
      <c r="R20" s="36">
        <f>VLOOKUP($A20,[29]HISTOFEV24!$A$6:$AU$38,46,0)</f>
        <v>0</v>
      </c>
      <c r="S20" s="36">
        <f>VLOOKUP($A20,[29]HISTOFEV24!$A$6:$AU$38,26,0)</f>
        <v>0</v>
      </c>
      <c r="T20" s="36">
        <f>VLOOKUP($A20,[29]HISTOFEV24!$A$6:$BG$38,58,0)</f>
        <v>0</v>
      </c>
      <c r="U20" s="36">
        <f>VLOOKUP($A20,[29]HISTOFEV24!$A$6:$AU$38,28,0)</f>
        <v>0</v>
      </c>
      <c r="V20" s="36">
        <f>VLOOKUP($A20,[29]HISTOFEV24!$A$6:$AU$38,19,0)</f>
        <v>0</v>
      </c>
      <c r="W20" s="36">
        <f>VLOOKUP($A20,[29]HISTOFEV24!$A$6:$AU$38,20,0)</f>
        <v>0</v>
      </c>
      <c r="X20" s="36">
        <f>VLOOKUP($A20,[29]HISTOFEV24!$A$6:$AU$38,27,0)</f>
        <v>0</v>
      </c>
      <c r="Y20" s="36">
        <f>VLOOKUP($A20,[29]HISTOFEV24!$A$6:$BM$38,33,0)</f>
        <v>0</v>
      </c>
      <c r="Z20" s="36">
        <f>VLOOKUP($A20,[29]HISTOFEV24!$A$6:$BM$38,65,0)</f>
        <v>0</v>
      </c>
      <c r="AA20" s="36"/>
      <c r="AB20" s="36">
        <f>VLOOKUP($A20,[29]HISTOFEV24!$A$6:$AU$38,43,0)</f>
        <v>0</v>
      </c>
      <c r="AC20" s="36">
        <f>VLOOKUP($A20,[29]HISTOFEV24!$A$6:$AU$38,44,0)</f>
        <v>0</v>
      </c>
      <c r="AD20" s="36">
        <f>VLOOKUP($A20,[29]HISTOFEV24!$A$6:$AU$38,47,0)</f>
        <v>0</v>
      </c>
      <c r="AE20" s="36">
        <f>VLOOKUP(A20,[29]HISTOFEV24!$A$6:$BB$38,54,0)</f>
        <v>0</v>
      </c>
      <c r="AF20" s="36">
        <f>VLOOKUP($A20,[29]HISTOFEV24!$A$6:$CB$38,60,0)</f>
        <v>0</v>
      </c>
      <c r="AG20" s="36">
        <f>VLOOKUP($A20,[29]HISTOFEV24!$A$6:$CB$38,61,0)</f>
        <v>0</v>
      </c>
      <c r="AH20" s="36">
        <f>VLOOKUP($A20,[29]HISTOFEV24!$A$6:$CB$38,62,0)</f>
        <v>0</v>
      </c>
      <c r="AI20" s="36">
        <f>VLOOKUP($A20,[29]HISTOFEV24!$A$6:$CB$38,63,0)</f>
        <v>0</v>
      </c>
      <c r="AJ20" s="36">
        <f>VLOOKUP($A20,[29]HISTOFEV24!$A$6:$CB$38,64,0)</f>
        <v>0</v>
      </c>
      <c r="AK20" s="36">
        <f>VLOOKUP($A20,[29]HISTOFEV24!$A$6:$CB$38,65,0)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MVTJANV24!I21-E21+L21</f>
        <v>814703.7298990218</v>
      </c>
      <c r="G21" s="5">
        <f>IF(MVTJANV24!I21+L21&gt;700000,(MVTJANV24!I21-E21+L21),0)</f>
        <v>814703.7298990218</v>
      </c>
      <c r="H21" s="36">
        <f t="shared" si="0"/>
        <v>800.82969204467122</v>
      </c>
      <c r="I21" s="6">
        <f t="shared" si="2"/>
        <v>815504.55959106644</v>
      </c>
      <c r="J21" s="36">
        <f>VLOOKUP($A21,[29]HISTOFEV24!$A$6:$AQ$42,22,0)</f>
        <v>0</v>
      </c>
      <c r="K21" s="36">
        <f>VLOOKUP($A21,[29]HISTOFEV24!$A$6:$AU$38,45,0)</f>
        <v>25000</v>
      </c>
      <c r="L21" s="36">
        <f t="shared" si="4"/>
        <v>19000</v>
      </c>
      <c r="M21" s="36">
        <f t="shared" si="5"/>
        <v>1000</v>
      </c>
      <c r="N21" s="36">
        <f t="shared" si="3"/>
        <v>1000</v>
      </c>
      <c r="O21" s="36">
        <f t="shared" si="6"/>
        <v>4000</v>
      </c>
      <c r="P21" s="36">
        <f>VLOOKUP($A21,[29]HISTOFEV24!$A$6:$AU$38,7,0)</f>
        <v>0</v>
      </c>
      <c r="Q21" s="36">
        <f>VLOOKUP($A21,[29]HISTOFEV24!$A$6:$AU$38,23,0)</f>
        <v>0</v>
      </c>
      <c r="R21" s="36">
        <f>VLOOKUP($A21,[29]HISTOFEV24!$A$6:$AU$38,46,0)</f>
        <v>0</v>
      </c>
      <c r="S21" s="36">
        <f>VLOOKUP($A21,[29]HISTOFEV24!$A$6:$AU$38,26,0)</f>
        <v>0</v>
      </c>
      <c r="T21" s="36">
        <f>VLOOKUP($A21,[29]HISTOFEV24!$A$6:$BG$38,58,0)</f>
        <v>0</v>
      </c>
      <c r="U21" s="36">
        <f>VLOOKUP($A21,[29]HISTOFEV24!$A$6:$AU$38,28,0)</f>
        <v>0</v>
      </c>
      <c r="V21" s="36">
        <f>VLOOKUP($A21,[29]HISTOFEV24!$A$6:$AU$38,19,0)</f>
        <v>0</v>
      </c>
      <c r="W21" s="36">
        <f>VLOOKUP($A21,[29]HISTOFEV24!$A$6:$AU$38,20,0)</f>
        <v>0</v>
      </c>
      <c r="X21" s="36">
        <f>VLOOKUP($A21,[29]HISTOFEV24!$A$6:$AU$38,27,0)</f>
        <v>0</v>
      </c>
      <c r="Y21" s="36">
        <f>VLOOKUP($A21,[29]HISTOFEV24!$A$6:$BM$38,33,0)</f>
        <v>0</v>
      </c>
      <c r="Z21" s="36">
        <f>VLOOKUP($A21,[29]HISTOFEV24!$A$6:$BM$38,65,0)</f>
        <v>0</v>
      </c>
      <c r="AA21" s="36"/>
      <c r="AB21" s="36">
        <f>VLOOKUP($A21,[29]HISTOFEV24!$A$6:$AU$38,43,0)</f>
        <v>0</v>
      </c>
      <c r="AC21" s="36">
        <f>VLOOKUP($A21,[29]HISTOFEV24!$A$6:$AU$38,44,0)</f>
        <v>0</v>
      </c>
      <c r="AD21" s="36">
        <f>VLOOKUP($A21,[29]HISTOFEV24!$A$6:$AU$38,47,0)</f>
        <v>0</v>
      </c>
      <c r="AE21" s="36">
        <f>VLOOKUP(A21,[29]HISTOFEV24!$A$6:$BB$38,54,0)</f>
        <v>0</v>
      </c>
      <c r="AF21" s="36">
        <f>VLOOKUP($A21,[29]HISTOFEV24!$A$6:$CB$38,60,0)</f>
        <v>0</v>
      </c>
      <c r="AG21" s="36">
        <f>VLOOKUP($A21,[29]HISTOFEV24!$A$6:$CB$38,61,0)</f>
        <v>0</v>
      </c>
      <c r="AH21" s="36">
        <f>VLOOKUP($A21,[29]HISTOFEV24!$A$6:$CB$38,62,0)</f>
        <v>0</v>
      </c>
      <c r="AI21" s="36">
        <f>VLOOKUP($A21,[29]HISTOFEV24!$A$6:$CB$38,63,0)</f>
        <v>0</v>
      </c>
      <c r="AJ21" s="36">
        <f>VLOOKUP($A21,[29]HISTOFEV24!$A$6:$CB$38,64,0)</f>
        <v>0</v>
      </c>
      <c r="AK21" s="36">
        <f>VLOOKUP($A21,[29]HISTOFEV24!$A$6:$CB$38,65,0)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MVTJANV24!I22-E22+L22</f>
        <v>782271.48302340053</v>
      </c>
      <c r="G22" s="5">
        <f>IF(MVTJANV24!I22+L22&gt;700000,(MVTJANV24!I22-E22+L22),0)</f>
        <v>782271.48302340053</v>
      </c>
      <c r="H22" s="36">
        <f t="shared" si="0"/>
        <v>768.94975173687408</v>
      </c>
      <c r="I22" s="6">
        <f t="shared" si="2"/>
        <v>783040.43277513736</v>
      </c>
      <c r="J22" s="36">
        <f>VLOOKUP($A22,[29]HISTOFEV24!$A$6:$AQ$42,22,0)</f>
        <v>0</v>
      </c>
      <c r="K22" s="36">
        <f>VLOOKUP($A22,[29]HISTOFEV24!$A$6:$AU$38,45,0)</f>
        <v>25000</v>
      </c>
      <c r="L22" s="36">
        <f t="shared" si="4"/>
        <v>19000</v>
      </c>
      <c r="M22" s="36">
        <f t="shared" si="5"/>
        <v>1000</v>
      </c>
      <c r="N22" s="36">
        <f t="shared" si="3"/>
        <v>1000</v>
      </c>
      <c r="O22" s="36">
        <f t="shared" si="6"/>
        <v>4000</v>
      </c>
      <c r="P22" s="36">
        <f>VLOOKUP($A22,[29]HISTOFEV24!$A$6:$AU$38,7,0)</f>
        <v>0</v>
      </c>
      <c r="Q22" s="36">
        <f>VLOOKUP($A22,[29]HISTOFEV24!$A$6:$AU$38,23,0)</f>
        <v>0</v>
      </c>
      <c r="R22" s="36">
        <f>VLOOKUP($A22,[29]HISTOFEV24!$A$6:$AU$38,46,0)</f>
        <v>0</v>
      </c>
      <c r="S22" s="36">
        <f>VLOOKUP($A22,[29]HISTOFEV24!$A$6:$AU$38,26,0)</f>
        <v>0</v>
      </c>
      <c r="T22" s="36">
        <f>VLOOKUP($A22,[29]HISTOFEV24!$A$6:$BG$38,58,0)</f>
        <v>0</v>
      </c>
      <c r="U22" s="36">
        <f>VLOOKUP($A22,[29]HISTOFEV24!$A$6:$AU$38,28,0)</f>
        <v>0</v>
      </c>
      <c r="V22" s="36">
        <f>VLOOKUP($A22,[29]HISTOFEV24!$A$6:$AU$38,19,0)</f>
        <v>0</v>
      </c>
      <c r="W22" s="36">
        <f>VLOOKUP($A22,[29]HISTOFEV24!$A$6:$AU$38,20,0)</f>
        <v>0</v>
      </c>
      <c r="X22" s="36">
        <f>VLOOKUP($A22,[29]HISTOFEV24!$A$6:$AU$38,27,0)</f>
        <v>0</v>
      </c>
      <c r="Y22" s="36">
        <f>VLOOKUP($A22,[29]HISTOFEV24!$A$6:$BM$38,33,0)</f>
        <v>0</v>
      </c>
      <c r="Z22" s="36">
        <f>VLOOKUP($A22,[29]HISTOFEV24!$A$6:$BM$38,65,0)</f>
        <v>0</v>
      </c>
      <c r="AA22" s="36"/>
      <c r="AB22" s="36">
        <f>VLOOKUP($A22,[29]HISTOFEV24!$A$6:$AU$38,43,0)</f>
        <v>0</v>
      </c>
      <c r="AC22" s="36">
        <f>VLOOKUP($A22,[29]HISTOFEV24!$A$6:$AU$38,44,0)</f>
        <v>0</v>
      </c>
      <c r="AD22" s="36">
        <f>VLOOKUP($A22,[29]HISTOFEV24!$A$6:$AU$38,47,0)</f>
        <v>0</v>
      </c>
      <c r="AE22" s="36">
        <f>VLOOKUP(A22,[29]HISTOFEV24!$A$6:$BB$38,54,0)</f>
        <v>0</v>
      </c>
      <c r="AF22" s="36">
        <f>VLOOKUP($A22,[29]HISTOFEV24!$A$6:$CB$38,60,0)</f>
        <v>0</v>
      </c>
      <c r="AG22" s="36">
        <f>VLOOKUP($A22,[29]HISTOFEV24!$A$6:$CB$38,61,0)</f>
        <v>0</v>
      </c>
      <c r="AH22" s="36">
        <f>VLOOKUP($A22,[29]HISTOFEV24!$A$6:$CB$38,62,0)</f>
        <v>0</v>
      </c>
      <c r="AI22" s="36">
        <f>VLOOKUP($A22,[29]HISTOFEV24!$A$6:$CB$38,63,0)</f>
        <v>0</v>
      </c>
      <c r="AJ22" s="36">
        <f>VLOOKUP($A22,[29]HISTOFEV24!$A$6:$CB$38,64,0)</f>
        <v>0</v>
      </c>
      <c r="AK22" s="36">
        <f>VLOOKUP($A22,[29]HISTOFEV24!$A$6:$CB$38,65,0)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MVTJANV24!I23-E23+L23</f>
        <v>887607.30952177115</v>
      </c>
      <c r="G23" s="5">
        <f>IF(MVTJANV24!I23+L23&gt;700000,(MVTJANV24!I23-E23+L23),0)</f>
        <v>887607.30952177115</v>
      </c>
      <c r="H23" s="36">
        <f t="shared" si="0"/>
        <v>872.49175651745429</v>
      </c>
      <c r="I23" s="6">
        <f t="shared" si="2"/>
        <v>888479.80127828859</v>
      </c>
      <c r="J23" s="36">
        <f>VLOOKUP($A23,[29]HISTOFEV24!$A$6:$AQ$42,22,0)</f>
        <v>0</v>
      </c>
      <c r="K23" s="36">
        <f>VLOOKUP($A23,[29]HISTOFEV24!$A$6:$AU$38,45,0)</f>
        <v>25000</v>
      </c>
      <c r="L23" s="36">
        <f t="shared" si="4"/>
        <v>19000</v>
      </c>
      <c r="M23" s="36">
        <f t="shared" si="5"/>
        <v>1000</v>
      </c>
      <c r="N23" s="36">
        <f t="shared" si="3"/>
        <v>1000</v>
      </c>
      <c r="O23" s="36">
        <f t="shared" si="6"/>
        <v>4000</v>
      </c>
      <c r="P23" s="36">
        <f>VLOOKUP($A23,[29]HISTOFEV24!$A$6:$AU$38,7,0)</f>
        <v>0</v>
      </c>
      <c r="Q23" s="36">
        <f>VLOOKUP($A23,[29]HISTOFEV24!$A$6:$AU$38,23,0)</f>
        <v>0</v>
      </c>
      <c r="R23" s="36">
        <f>VLOOKUP($A23,[29]HISTOFEV24!$A$6:$AU$38,46,0)</f>
        <v>0</v>
      </c>
      <c r="S23" s="36">
        <f>VLOOKUP($A23,[29]HISTOFEV24!$A$6:$AU$38,26,0)</f>
        <v>0</v>
      </c>
      <c r="T23" s="36">
        <f>VLOOKUP($A23,[29]HISTOFEV24!$A$6:$BG$38,58,0)</f>
        <v>0</v>
      </c>
      <c r="U23" s="36">
        <f>VLOOKUP($A23,[29]HISTOFEV24!$A$6:$AU$38,28,0)</f>
        <v>0</v>
      </c>
      <c r="V23" s="36">
        <f>VLOOKUP($A23,[29]HISTOFEV24!$A$6:$AU$38,19,0)</f>
        <v>0</v>
      </c>
      <c r="W23" s="36">
        <f>VLOOKUP($A23,[29]HISTOFEV24!$A$6:$AU$38,20,0)</f>
        <v>0</v>
      </c>
      <c r="X23" s="36">
        <f>VLOOKUP($A23,[29]HISTOFEV24!$A$6:$AU$38,27,0)</f>
        <v>0</v>
      </c>
      <c r="Y23" s="36">
        <f>VLOOKUP($A23,[29]HISTOFEV24!$A$6:$BM$38,33,0)</f>
        <v>0</v>
      </c>
      <c r="Z23" s="36">
        <f>VLOOKUP($A23,[29]HISTOFEV24!$A$6:$BM$38,65,0)</f>
        <v>0</v>
      </c>
      <c r="AA23" s="36"/>
      <c r="AB23" s="36">
        <f>VLOOKUP($A23,[29]HISTOFEV24!$A$6:$AU$38,43,0)</f>
        <v>0</v>
      </c>
      <c r="AC23" s="36">
        <f>VLOOKUP($A23,[29]HISTOFEV24!$A$6:$AU$38,44,0)</f>
        <v>0</v>
      </c>
      <c r="AD23" s="36">
        <f>VLOOKUP($A23,[29]HISTOFEV24!$A$6:$AU$38,47,0)</f>
        <v>0</v>
      </c>
      <c r="AE23" s="36">
        <f>VLOOKUP(A23,[29]HISTOFEV24!$A$6:$BB$38,54,0)</f>
        <v>0</v>
      </c>
      <c r="AF23" s="36">
        <f>VLOOKUP($A23,[29]HISTOFEV24!$A$6:$CB$38,60,0)</f>
        <v>0</v>
      </c>
      <c r="AG23" s="36">
        <f>VLOOKUP($A23,[29]HISTOFEV24!$A$6:$CB$38,61,0)</f>
        <v>0</v>
      </c>
      <c r="AH23" s="36">
        <f>VLOOKUP($A23,[29]HISTOFEV24!$A$6:$CB$38,62,0)</f>
        <v>0</v>
      </c>
      <c r="AI23" s="36">
        <f>VLOOKUP($A23,[29]HISTOFEV24!$A$6:$CB$38,63,0)</f>
        <v>0</v>
      </c>
      <c r="AJ23" s="36">
        <f>VLOOKUP($A23,[29]HISTOFEV24!$A$6:$CB$38,64,0)</f>
        <v>0</v>
      </c>
      <c r="AK23" s="36">
        <f>VLOOKUP($A23,[29]HISTOFEV24!$A$6:$CB$38,65,0)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MVTJANV24!I24-E24+L24</f>
        <v>1039886.1939129777</v>
      </c>
      <c r="G24" s="5">
        <f>IF(MVTJANV24!I24+L24&gt;700000,(MVTJANV24!I24-E24+L24),0)</f>
        <v>1039886.1939129777</v>
      </c>
      <c r="H24" s="36">
        <f t="shared" si="0"/>
        <v>1022.1774000421635</v>
      </c>
      <c r="I24" s="6">
        <f t="shared" si="2"/>
        <v>1040908.3713130199</v>
      </c>
      <c r="J24" s="36">
        <f>VLOOKUP($A24,[29]HISTOFEV24!$A$6:$AQ$42,22,0)</f>
        <v>0</v>
      </c>
      <c r="K24" s="36">
        <f>VLOOKUP($A24,[29]HISTOFEV24!$A$6:$AU$38,45,0)</f>
        <v>35000</v>
      </c>
      <c r="L24" s="36">
        <f t="shared" si="4"/>
        <v>29000</v>
      </c>
      <c r="M24" s="36">
        <f t="shared" si="5"/>
        <v>1000</v>
      </c>
      <c r="N24" s="36">
        <f t="shared" si="3"/>
        <v>1000</v>
      </c>
      <c r="O24" s="36">
        <f t="shared" si="6"/>
        <v>4000</v>
      </c>
      <c r="P24" s="36">
        <f>VLOOKUP($A24,[29]HISTOFEV24!$A$6:$AU$38,7,0)</f>
        <v>0</v>
      </c>
      <c r="Q24" s="36">
        <f>VLOOKUP($A24,[29]HISTOFEV24!$A$6:$AU$38,23,0)</f>
        <v>0</v>
      </c>
      <c r="R24" s="36">
        <f>VLOOKUP($A24,[29]HISTOFEV24!$A$6:$AU$38,46,0)</f>
        <v>0</v>
      </c>
      <c r="S24" s="36">
        <f>VLOOKUP($A24,[29]HISTOFEV24!$A$6:$AU$38,26,0)</f>
        <v>0</v>
      </c>
      <c r="T24" s="36">
        <f>VLOOKUP($A24,[29]HISTOFEV24!$A$6:$BG$38,58,0)</f>
        <v>0</v>
      </c>
      <c r="U24" s="36">
        <f>VLOOKUP($A24,[29]HISTOFEV24!$A$6:$AU$38,28,0)</f>
        <v>0</v>
      </c>
      <c r="V24" s="36">
        <f>VLOOKUP($A24,[29]HISTOFEV24!$A$6:$AU$38,19,0)</f>
        <v>0</v>
      </c>
      <c r="W24" s="36">
        <f>VLOOKUP($A24,[29]HISTOFEV24!$A$6:$AU$38,20,0)</f>
        <v>0</v>
      </c>
      <c r="X24" s="36">
        <f>VLOOKUP($A24,[29]HISTOFEV24!$A$6:$AU$38,27,0)</f>
        <v>0</v>
      </c>
      <c r="Y24" s="36">
        <f>VLOOKUP($A24,[29]HISTOFEV24!$A$6:$BM$38,33,0)</f>
        <v>0</v>
      </c>
      <c r="Z24" s="36">
        <f>VLOOKUP($A24,[29]HISTOFEV24!$A$6:$BM$38,65,0)</f>
        <v>0</v>
      </c>
      <c r="AA24" s="36"/>
      <c r="AB24" s="36">
        <f>VLOOKUP($A24,[29]HISTOFEV24!$A$6:$AU$38,43,0)</f>
        <v>0</v>
      </c>
      <c r="AC24" s="36">
        <f>VLOOKUP($A24,[29]HISTOFEV24!$A$6:$AU$38,44,0)</f>
        <v>0</v>
      </c>
      <c r="AD24" s="36">
        <f>VLOOKUP($A24,[29]HISTOFEV24!$A$6:$AU$38,47,0)</f>
        <v>0</v>
      </c>
      <c r="AE24" s="36">
        <f>VLOOKUP(A24,[29]HISTOFEV24!$A$6:$BB$38,54,0)</f>
        <v>0</v>
      </c>
      <c r="AF24" s="36">
        <f>VLOOKUP($A24,[29]HISTOFEV24!$A$6:$CB$38,60,0)</f>
        <v>0</v>
      </c>
      <c r="AG24" s="36">
        <f>VLOOKUP($A24,[29]HISTOFEV24!$A$6:$CB$38,61,0)</f>
        <v>0</v>
      </c>
      <c r="AH24" s="36">
        <f>VLOOKUP($A24,[29]HISTOFEV24!$A$6:$CB$38,62,0)</f>
        <v>0</v>
      </c>
      <c r="AI24" s="36">
        <f>VLOOKUP($A24,[29]HISTOFEV24!$A$6:$CB$38,63,0)</f>
        <v>0</v>
      </c>
      <c r="AJ24" s="36">
        <f>VLOOKUP($A24,[29]HISTOFEV24!$A$6:$CB$38,64,0)</f>
        <v>0</v>
      </c>
      <c r="AK24" s="36">
        <f>VLOOKUP($A24,[29]HISTOFEV24!$A$6:$CB$38,65,0)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MVTJANV24!I25-E25+L25</f>
        <v>857216.11689425842</v>
      </c>
      <c r="G25" s="5">
        <f>IF(MVTJANV24!I25+L25&gt;700000,(MVTJANV24!I25-E25+L25),0)</f>
        <v>857216.11689425842</v>
      </c>
      <c r="H25" s="36">
        <f t="shared" si="0"/>
        <v>842.61811222251788</v>
      </c>
      <c r="I25" s="6">
        <f t="shared" si="2"/>
        <v>858058.73500648094</v>
      </c>
      <c r="J25" s="36">
        <f>VLOOKUP($A25,[29]HISTOFEV24!$A$6:$AQ$42,22,0)</f>
        <v>0</v>
      </c>
      <c r="K25" s="36">
        <f>VLOOKUP($A25,[29]HISTOFEV24!$A$6:$AU$38,45,0)</f>
        <v>40000</v>
      </c>
      <c r="L25" s="36">
        <f t="shared" si="4"/>
        <v>34000</v>
      </c>
      <c r="M25" s="36">
        <f t="shared" si="5"/>
        <v>1000</v>
      </c>
      <c r="N25" s="36">
        <f t="shared" si="3"/>
        <v>1000</v>
      </c>
      <c r="O25" s="36">
        <f t="shared" si="6"/>
        <v>4000</v>
      </c>
      <c r="P25" s="36">
        <f>VLOOKUP($A25,[29]HISTOFEV24!$A$6:$AU$38,7,0)</f>
        <v>0</v>
      </c>
      <c r="Q25" s="36">
        <f>VLOOKUP($A25,[29]HISTOFEV24!$A$6:$AU$38,23,0)</f>
        <v>0</v>
      </c>
      <c r="R25" s="36">
        <f>VLOOKUP($A25,[29]HISTOFEV24!$A$6:$AU$38,46,0)</f>
        <v>0</v>
      </c>
      <c r="S25" s="36">
        <f>VLOOKUP($A25,[29]HISTOFEV24!$A$6:$AU$38,26,0)</f>
        <v>0</v>
      </c>
      <c r="T25" s="36">
        <f>VLOOKUP($A25,[29]HISTOFEV24!$A$6:$BG$38,58,0)</f>
        <v>0</v>
      </c>
      <c r="U25" s="36">
        <f>VLOOKUP($A25,[29]HISTOFEV24!$A$6:$AU$38,28,0)</f>
        <v>0</v>
      </c>
      <c r="V25" s="36">
        <f>VLOOKUP($A25,[29]HISTOFEV24!$A$6:$AU$38,19,0)</f>
        <v>0</v>
      </c>
      <c r="W25" s="36">
        <f>VLOOKUP($A25,[29]HISTOFEV24!$A$6:$AU$38,20,0)</f>
        <v>0</v>
      </c>
      <c r="X25" s="36">
        <f>VLOOKUP($A25,[29]HISTOFEV24!$A$6:$AU$38,27,0)</f>
        <v>0</v>
      </c>
      <c r="Y25" s="36">
        <f>VLOOKUP($A25,[29]HISTOFEV24!$A$6:$BM$38,33,0)</f>
        <v>0</v>
      </c>
      <c r="Z25" s="36">
        <f>VLOOKUP($A25,[29]HISTOFEV24!$A$6:$BM$38,65,0)</f>
        <v>0</v>
      </c>
      <c r="AA25" s="36"/>
      <c r="AB25" s="36">
        <f>VLOOKUP($A25,[29]HISTOFEV24!$A$6:$AU$38,43,0)</f>
        <v>0</v>
      </c>
      <c r="AC25" s="36">
        <f>VLOOKUP($A25,[29]HISTOFEV24!$A$6:$AU$38,44,0)</f>
        <v>0</v>
      </c>
      <c r="AD25" s="36">
        <f>VLOOKUP($A25,[29]HISTOFEV24!$A$6:$AU$38,47,0)</f>
        <v>0</v>
      </c>
      <c r="AE25" s="36">
        <f>VLOOKUP(A25,[29]HISTOFEV24!$A$6:$BB$38,54,0)</f>
        <v>0</v>
      </c>
      <c r="AF25" s="36">
        <f>VLOOKUP($A25,[29]HISTOFEV24!$A$6:$CB$38,60,0)</f>
        <v>0</v>
      </c>
      <c r="AG25" s="36">
        <f>VLOOKUP($A25,[29]HISTOFEV24!$A$6:$CB$38,61,0)</f>
        <v>0</v>
      </c>
      <c r="AH25" s="36">
        <f>VLOOKUP($A25,[29]HISTOFEV24!$A$6:$CB$38,62,0)</f>
        <v>0</v>
      </c>
      <c r="AI25" s="36">
        <f>VLOOKUP($A25,[29]HISTOFEV24!$A$6:$CB$38,63,0)</f>
        <v>100000</v>
      </c>
      <c r="AJ25" s="36">
        <f>VLOOKUP($A25,[29]HISTOFEV24!$A$6:$CB$38,64,0)</f>
        <v>0</v>
      </c>
      <c r="AK25" s="36">
        <f>VLOOKUP($A25,[29]HISTOFEV24!$A$6:$CB$38,65,0)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MVTJANV24!I26-E26+L26</f>
        <v>802682.81669094169</v>
      </c>
      <c r="G26" s="5">
        <f>IF(MVTJANV24!I26+L26&gt;700000,(MVTJANV24!I26-E26+L26),0)</f>
        <v>802682.81669094169</v>
      </c>
      <c r="H26" s="36">
        <f t="shared" si="0"/>
        <v>789.01348957838854</v>
      </c>
      <c r="I26" s="6">
        <f t="shared" si="2"/>
        <v>803471.83018052008</v>
      </c>
      <c r="J26" s="36">
        <f>VLOOKUP($A26,[29]HISTOFEV24!$A$6:$AQ$42,22,0)</f>
        <v>0</v>
      </c>
      <c r="K26" s="36">
        <f>VLOOKUP($A26,[29]HISTOFEV24!$A$6:$AU$38,45,0)</f>
        <v>25000</v>
      </c>
      <c r="L26" s="36">
        <f t="shared" si="4"/>
        <v>19000</v>
      </c>
      <c r="M26" s="36">
        <f t="shared" si="5"/>
        <v>1000</v>
      </c>
      <c r="N26" s="36">
        <f t="shared" si="3"/>
        <v>1000</v>
      </c>
      <c r="O26" s="36">
        <f t="shared" si="6"/>
        <v>4000</v>
      </c>
      <c r="P26" s="36">
        <f>VLOOKUP($A26,[29]HISTOFEV24!$A$6:$AU$38,7,0)</f>
        <v>0</v>
      </c>
      <c r="Q26" s="36">
        <f>VLOOKUP($A26,[29]HISTOFEV24!$A$6:$AU$38,23,0)</f>
        <v>0</v>
      </c>
      <c r="R26" s="36">
        <f>VLOOKUP($A26,[29]HISTOFEV24!$A$6:$AU$38,46,0)</f>
        <v>0</v>
      </c>
      <c r="S26" s="36">
        <f>VLOOKUP($A26,[29]HISTOFEV24!$A$6:$AU$38,26,0)</f>
        <v>0</v>
      </c>
      <c r="T26" s="36">
        <f>VLOOKUP($A26,[29]HISTOFEV24!$A$6:$BG$38,58,0)</f>
        <v>0</v>
      </c>
      <c r="U26" s="36">
        <f>VLOOKUP($A26,[29]HISTOFEV24!$A$6:$AU$38,28,0)</f>
        <v>0</v>
      </c>
      <c r="V26" s="36">
        <f>VLOOKUP($A26,[29]HISTOFEV24!$A$6:$AU$38,19,0)</f>
        <v>0</v>
      </c>
      <c r="W26" s="36">
        <f>VLOOKUP($A26,[29]HISTOFEV24!$A$6:$AU$38,20,0)</f>
        <v>0</v>
      </c>
      <c r="X26" s="36">
        <f>VLOOKUP($A26,[29]HISTOFEV24!$A$6:$AU$38,27,0)</f>
        <v>0</v>
      </c>
      <c r="Y26" s="36">
        <f>VLOOKUP($A26,[29]HISTOFEV24!$A$6:$BM$38,33,0)</f>
        <v>0</v>
      </c>
      <c r="Z26" s="36">
        <f>VLOOKUP($A26,[29]HISTOFEV24!$A$6:$BM$38,65,0)</f>
        <v>0</v>
      </c>
      <c r="AA26" s="36"/>
      <c r="AB26" s="36">
        <f>VLOOKUP($A26,[29]HISTOFEV24!$A$6:$AU$38,43,0)</f>
        <v>0</v>
      </c>
      <c r="AC26" s="36">
        <f>VLOOKUP($A26,[29]HISTOFEV24!$A$6:$AU$38,44,0)</f>
        <v>0</v>
      </c>
      <c r="AD26" s="36">
        <f>VLOOKUP($A26,[29]HISTOFEV24!$A$6:$AU$38,47,0)</f>
        <v>0</v>
      </c>
      <c r="AE26" s="36">
        <f>VLOOKUP(A26,[29]HISTOFEV24!$A$6:$BB$38,54,0)</f>
        <v>0</v>
      </c>
      <c r="AF26" s="36">
        <f>VLOOKUP($A26,[29]HISTOFEV24!$A$6:$CB$38,60,0)</f>
        <v>0</v>
      </c>
      <c r="AG26" s="36">
        <f>VLOOKUP($A26,[29]HISTOFEV24!$A$6:$CB$38,61,0)</f>
        <v>0</v>
      </c>
      <c r="AH26" s="36">
        <f>VLOOKUP($A26,[29]HISTOFEV24!$A$6:$CB$38,62,0)</f>
        <v>0</v>
      </c>
      <c r="AI26" s="36">
        <f>VLOOKUP($A26,[29]HISTOFEV24!$A$6:$CB$38,63,0)</f>
        <v>0</v>
      </c>
      <c r="AJ26" s="36">
        <f>VLOOKUP($A26,[29]HISTOFEV24!$A$6:$CB$38,64,0)</f>
        <v>0</v>
      </c>
      <c r="AK26" s="36">
        <f>VLOOKUP($A26,[29]HISTOFEV24!$A$6:$CB$38,65,0)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MVTJANV24!I27-E27+L27</f>
        <v>801248.68490115798</v>
      </c>
      <c r="G27" s="5">
        <f>IF(MVTJANV24!I27+L27&gt;700000,(MVTJANV24!I27-E27+L27),0)</f>
        <v>801248.68490115798</v>
      </c>
      <c r="H27" s="36">
        <f t="shared" si="0"/>
        <v>787.60378040753903</v>
      </c>
      <c r="I27" s="6">
        <f t="shared" si="2"/>
        <v>802036.28868156555</v>
      </c>
      <c r="J27" s="36">
        <f>VLOOKUP($A27,[29]HISTOFEV24!$A$6:$AQ$42,22,0)</f>
        <v>0</v>
      </c>
      <c r="K27" s="36">
        <f>VLOOKUP($A27,[29]HISTOFEV24!$A$6:$AU$38,45,0)</f>
        <v>25000</v>
      </c>
      <c r="L27" s="36">
        <f t="shared" si="4"/>
        <v>19000</v>
      </c>
      <c r="M27" s="36">
        <f t="shared" si="5"/>
        <v>1000</v>
      </c>
      <c r="N27" s="36">
        <f t="shared" si="3"/>
        <v>1000</v>
      </c>
      <c r="O27" s="36">
        <f t="shared" si="6"/>
        <v>4000</v>
      </c>
      <c r="P27" s="36">
        <f>VLOOKUP($A27,[29]HISTOFEV24!$A$6:$AU$38,7,0)</f>
        <v>0</v>
      </c>
      <c r="Q27" s="36">
        <f>VLOOKUP($A27,[29]HISTOFEV24!$A$6:$AU$38,23,0)</f>
        <v>0</v>
      </c>
      <c r="R27" s="36">
        <f>VLOOKUP($A27,[29]HISTOFEV24!$A$6:$AU$38,46,0)</f>
        <v>0</v>
      </c>
      <c r="S27" s="36">
        <f>VLOOKUP($A27,[29]HISTOFEV24!$A$6:$AU$38,26,0)</f>
        <v>0</v>
      </c>
      <c r="T27" s="36">
        <f>VLOOKUP($A27,[29]HISTOFEV24!$A$6:$BG$38,58,0)</f>
        <v>0</v>
      </c>
      <c r="U27" s="36">
        <f>VLOOKUP($A27,[29]HISTOFEV24!$A$6:$AU$38,28,0)</f>
        <v>0</v>
      </c>
      <c r="V27" s="36">
        <f>VLOOKUP($A27,[29]HISTOFEV24!$A$6:$AU$38,19,0)</f>
        <v>0</v>
      </c>
      <c r="W27" s="36">
        <f>VLOOKUP($A27,[29]HISTOFEV24!$A$6:$AU$38,20,0)</f>
        <v>0</v>
      </c>
      <c r="X27" s="36">
        <f>VLOOKUP($A27,[29]HISTOFEV24!$A$6:$AU$38,27,0)</f>
        <v>0</v>
      </c>
      <c r="Y27" s="36">
        <f>VLOOKUP($A27,[29]HISTOFEV24!$A$6:$BM$38,33,0)</f>
        <v>0</v>
      </c>
      <c r="Z27" s="36">
        <f>VLOOKUP($A27,[29]HISTOFEV24!$A$6:$BM$38,65,0)</f>
        <v>0</v>
      </c>
      <c r="AA27" s="36"/>
      <c r="AB27" s="36">
        <f>VLOOKUP($A27,[29]HISTOFEV24!$A$6:$AU$38,43,0)</f>
        <v>0</v>
      </c>
      <c r="AC27" s="36">
        <f>VLOOKUP($A27,[29]HISTOFEV24!$A$6:$AU$38,44,0)</f>
        <v>0</v>
      </c>
      <c r="AD27" s="36">
        <f>VLOOKUP($A27,[29]HISTOFEV24!$A$6:$AU$38,47,0)</f>
        <v>0</v>
      </c>
      <c r="AE27" s="36">
        <f>VLOOKUP(A27,[29]HISTOFEV24!$A$6:$BB$38,54,0)</f>
        <v>0</v>
      </c>
      <c r="AF27" s="36">
        <f>VLOOKUP($A27,[29]HISTOFEV24!$A$6:$CB$38,60,0)</f>
        <v>0</v>
      </c>
      <c r="AG27" s="36">
        <f>VLOOKUP($A27,[29]HISTOFEV24!$A$6:$CB$38,61,0)</f>
        <v>0</v>
      </c>
      <c r="AH27" s="36">
        <f>VLOOKUP($A27,[29]HISTOFEV24!$A$6:$CB$38,62,0)</f>
        <v>0</v>
      </c>
      <c r="AI27" s="36">
        <f>VLOOKUP($A27,[29]HISTOFEV24!$A$6:$CB$38,63,0)</f>
        <v>0</v>
      </c>
      <c r="AJ27" s="36">
        <f>VLOOKUP($A27,[29]HISTOFEV24!$A$6:$CB$38,64,0)</f>
        <v>0</v>
      </c>
      <c r="AK27" s="36">
        <f>VLOOKUP($A27,[29]HISTOFEV24!$A$6:$CB$38,65,0)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MVTJANV24!I28-E28+L28</f>
        <v>704019</v>
      </c>
      <c r="G28" s="5">
        <f>IF(MVTJANV24!I28+L28&gt;700000,(MVTJANV24!I28-E28+L28),0)</f>
        <v>704019</v>
      </c>
      <c r="H28" s="36">
        <f t="shared" si="0"/>
        <v>692.0298732810237</v>
      </c>
      <c r="I28" s="6">
        <f t="shared" si="2"/>
        <v>704711.02987328102</v>
      </c>
      <c r="J28" s="36">
        <f>VLOOKUP($A28,[29]HISTOFEV24!$A$6:$AQ$42,22,0)</f>
        <v>0</v>
      </c>
      <c r="K28" s="36">
        <f>VLOOKUP($A28,[29]HISTOFEV24!$A$6:$AU$38,45,0)</f>
        <v>25000</v>
      </c>
      <c r="L28" s="36">
        <f t="shared" si="4"/>
        <v>19000</v>
      </c>
      <c r="M28" s="36">
        <f t="shared" si="5"/>
        <v>1000</v>
      </c>
      <c r="N28" s="36">
        <f t="shared" si="3"/>
        <v>1000</v>
      </c>
      <c r="O28" s="36">
        <f t="shared" si="6"/>
        <v>4000</v>
      </c>
      <c r="P28" s="36">
        <f>VLOOKUP($A28,[29]HISTOFEV24!$A$6:$AU$38,7,0)</f>
        <v>0</v>
      </c>
      <c r="Q28" s="36">
        <f>VLOOKUP($A28,[29]HISTOFEV24!$A$6:$AU$38,23,0)</f>
        <v>0</v>
      </c>
      <c r="R28" s="36">
        <f>VLOOKUP($A28,[29]HISTOFEV24!$A$6:$AU$38,46,0)</f>
        <v>0</v>
      </c>
      <c r="S28" s="36">
        <f>VLOOKUP($A28,[29]HISTOFEV24!$A$6:$AU$38,26,0)</f>
        <v>0</v>
      </c>
      <c r="T28" s="36">
        <f>VLOOKUP($A28,[29]HISTOFEV24!$A$6:$BG$38,58,0)</f>
        <v>0</v>
      </c>
      <c r="U28" s="36">
        <f>VLOOKUP($A28,[29]HISTOFEV24!$A$6:$AU$38,28,0)</f>
        <v>0</v>
      </c>
      <c r="V28" s="36">
        <f>VLOOKUP($A28,[29]HISTOFEV24!$A$6:$AU$38,19,0)</f>
        <v>0</v>
      </c>
      <c r="W28" s="36">
        <f>VLOOKUP($A28,[29]HISTOFEV24!$A$6:$AU$38,20,0)</f>
        <v>0</v>
      </c>
      <c r="X28" s="36">
        <f>VLOOKUP($A28,[29]HISTOFEV24!$A$6:$AU$38,27,0)</f>
        <v>0</v>
      </c>
      <c r="Y28" s="36">
        <f>VLOOKUP($A28,[29]HISTOFEV24!$A$6:$BM$38,33,0)</f>
        <v>0</v>
      </c>
      <c r="Z28" s="36">
        <f>VLOOKUP($A28,[29]HISTOFEV24!$A$6:$BM$38,65,0)</f>
        <v>0</v>
      </c>
      <c r="AA28" s="36"/>
      <c r="AB28" s="36">
        <f>VLOOKUP($A28,[29]HISTOFEV24!$A$6:$AU$38,43,0)</f>
        <v>0</v>
      </c>
      <c r="AC28" s="36">
        <f>VLOOKUP($A28,[29]HISTOFEV24!$A$6:$AU$38,44,0)</f>
        <v>0</v>
      </c>
      <c r="AD28" s="36">
        <f>VLOOKUP($A28,[29]HISTOFEV24!$A$6:$AU$38,47,0)</f>
        <v>0</v>
      </c>
      <c r="AE28" s="36">
        <f>VLOOKUP(A28,[29]HISTOFEV24!$A$6:$BB$38,54,0)</f>
        <v>0</v>
      </c>
      <c r="AF28" s="36">
        <f>VLOOKUP($A28,[29]HISTOFEV24!$A$6:$CB$38,60,0)</f>
        <v>0</v>
      </c>
      <c r="AG28" s="36">
        <f>VLOOKUP($A28,[29]HISTOFEV24!$A$6:$CB$38,61,0)</f>
        <v>0</v>
      </c>
      <c r="AH28" s="36">
        <f>VLOOKUP($A28,[29]HISTOFEV24!$A$6:$CB$38,62,0)</f>
        <v>0</v>
      </c>
      <c r="AI28" s="36">
        <f>VLOOKUP($A28,[29]HISTOFEV24!$A$6:$CB$38,63,0)</f>
        <v>0</v>
      </c>
      <c r="AJ28" s="36">
        <f>VLOOKUP($A28,[29]HISTOFEV24!$A$6:$CB$38,64,0)</f>
        <v>0</v>
      </c>
      <c r="AK28" s="36">
        <f>VLOOKUP($A28,[29]HISTOFEV24!$A$6:$CB$38,65,0)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MVTJANV24!I29-E29+L29</f>
        <v>827426.85743600084</v>
      </c>
      <c r="G29" s="5">
        <f>IF(MVTJANV24!I29+L29&gt;700000,(MVTJANV24!I29-E29+L29),0)</f>
        <v>827426.85743600084</v>
      </c>
      <c r="H29" s="36">
        <f t="shared" si="0"/>
        <v>813.33615044587043</v>
      </c>
      <c r="I29" s="6">
        <f t="shared" si="2"/>
        <v>828240.19358644669</v>
      </c>
      <c r="J29" s="36">
        <f>VLOOKUP($A29,[29]HISTOFEV24!$A$6:$AQ$42,22,0)</f>
        <v>0</v>
      </c>
      <c r="K29" s="36">
        <f>VLOOKUP($A29,[29]HISTOFEV24!$A$6:$AU$38,45,0)</f>
        <v>25000</v>
      </c>
      <c r="L29" s="36">
        <f t="shared" si="4"/>
        <v>19000</v>
      </c>
      <c r="M29" s="36">
        <f t="shared" si="5"/>
        <v>1000</v>
      </c>
      <c r="N29" s="36">
        <f t="shared" si="3"/>
        <v>1000</v>
      </c>
      <c r="O29" s="36">
        <f t="shared" si="6"/>
        <v>4000</v>
      </c>
      <c r="P29" s="36">
        <f>VLOOKUP($A29,[29]HISTOFEV24!$A$6:$AU$38,7,0)</f>
        <v>0</v>
      </c>
      <c r="Q29" s="36">
        <f>VLOOKUP($A29,[29]HISTOFEV24!$A$6:$AU$38,23,0)</f>
        <v>0</v>
      </c>
      <c r="R29" s="36">
        <f>VLOOKUP($A29,[29]HISTOFEV24!$A$6:$AU$38,46,0)</f>
        <v>0</v>
      </c>
      <c r="S29" s="36">
        <f>VLOOKUP($A29,[29]HISTOFEV24!$A$6:$AU$38,26,0)</f>
        <v>0</v>
      </c>
      <c r="T29" s="36">
        <f>VLOOKUP($A29,[29]HISTOFEV24!$A$6:$BG$38,58,0)</f>
        <v>0</v>
      </c>
      <c r="U29" s="36">
        <f>VLOOKUP($A29,[29]HISTOFEV24!$A$6:$AU$38,28,0)</f>
        <v>0</v>
      </c>
      <c r="V29" s="36">
        <f>VLOOKUP($A29,[29]HISTOFEV24!$A$6:$AU$38,19,0)</f>
        <v>0</v>
      </c>
      <c r="W29" s="36">
        <f>VLOOKUP($A29,[29]HISTOFEV24!$A$6:$AU$38,20,0)</f>
        <v>0</v>
      </c>
      <c r="X29" s="36">
        <f>VLOOKUP($A29,[29]HISTOFEV24!$A$6:$AU$38,27,0)</f>
        <v>0</v>
      </c>
      <c r="Y29" s="36">
        <f>VLOOKUP($A29,[29]HISTOFEV24!$A$6:$BM$38,33,0)</f>
        <v>0</v>
      </c>
      <c r="Z29" s="36">
        <f>VLOOKUP($A29,[29]HISTOFEV24!$A$6:$BM$38,65,0)</f>
        <v>0</v>
      </c>
      <c r="AA29" s="36"/>
      <c r="AB29" s="36">
        <f>VLOOKUP($A29,[29]HISTOFEV24!$A$6:$AU$38,43,0)</f>
        <v>0</v>
      </c>
      <c r="AC29" s="36">
        <f>VLOOKUP($A29,[29]HISTOFEV24!$A$6:$AU$38,44,0)</f>
        <v>0</v>
      </c>
      <c r="AD29" s="36">
        <f>VLOOKUP($A29,[29]HISTOFEV24!$A$6:$AU$38,47,0)</f>
        <v>0</v>
      </c>
      <c r="AE29" s="36">
        <f>VLOOKUP(A29,[29]HISTOFEV24!$A$6:$BB$38,54,0)</f>
        <v>0</v>
      </c>
      <c r="AF29" s="36">
        <f>VLOOKUP($A29,[29]HISTOFEV24!$A$6:$CB$38,60,0)</f>
        <v>0</v>
      </c>
      <c r="AG29" s="36">
        <f>VLOOKUP($A29,[29]HISTOFEV24!$A$6:$CB$38,61,0)</f>
        <v>0</v>
      </c>
      <c r="AH29" s="36">
        <f>VLOOKUP($A29,[29]HISTOFEV24!$A$6:$CB$38,62,0)</f>
        <v>0</v>
      </c>
      <c r="AI29" s="36">
        <f>VLOOKUP($A29,[29]HISTOFEV24!$A$6:$CB$38,63,0)</f>
        <v>0</v>
      </c>
      <c r="AJ29" s="36">
        <f>VLOOKUP($A29,[29]HISTOFEV24!$A$6:$CB$38,64,0)</f>
        <v>0</v>
      </c>
      <c r="AK29" s="36">
        <f>VLOOKUP($A29,[29]HISTOFEV24!$A$6:$CB$38,65,0)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MVTJANV24!I30-E30+L30</f>
        <v>733500</v>
      </c>
      <c r="G30" s="5">
        <f>IF(MVTJANV24!I30+L30&gt;700000,(MVTJANV24!I30-E30+L30),0)</f>
        <v>733500</v>
      </c>
      <c r="H30" s="36">
        <f t="shared" si="0"/>
        <v>721.00882511925226</v>
      </c>
      <c r="I30" s="6">
        <f t="shared" si="2"/>
        <v>734221.00882511924</v>
      </c>
      <c r="J30" s="36">
        <f>VLOOKUP($A30,[29]HISTOFEV24!$A$6:$AQ$42,22,0)</f>
        <v>0</v>
      </c>
      <c r="K30" s="36">
        <f>VLOOKUP($A30,[29]HISTOFEV24!$A$6:$AU$38,45,0)</f>
        <v>25000</v>
      </c>
      <c r="L30" s="36">
        <f t="shared" si="4"/>
        <v>19000</v>
      </c>
      <c r="M30" s="36">
        <f t="shared" si="5"/>
        <v>1000</v>
      </c>
      <c r="N30" s="36">
        <f t="shared" si="3"/>
        <v>1000</v>
      </c>
      <c r="O30" s="36">
        <f t="shared" si="6"/>
        <v>4000</v>
      </c>
      <c r="P30" s="36">
        <f>VLOOKUP($A30,[29]HISTOFEV24!$A$6:$AU$38,7,0)</f>
        <v>0</v>
      </c>
      <c r="Q30" s="36">
        <f>VLOOKUP($A30,[29]HISTOFEV24!$A$6:$AU$38,23,0)</f>
        <v>0</v>
      </c>
      <c r="R30" s="36">
        <f>VLOOKUP($A30,[29]HISTOFEV24!$A$6:$AU$38,46,0)</f>
        <v>0</v>
      </c>
      <c r="S30" s="36">
        <f>VLOOKUP($A30,[29]HISTOFEV24!$A$6:$AU$38,26,0)</f>
        <v>0</v>
      </c>
      <c r="T30" s="36">
        <f>VLOOKUP($A30,[29]HISTOFEV24!$A$6:$BG$38,58,0)</f>
        <v>0</v>
      </c>
      <c r="U30" s="36">
        <f>VLOOKUP($A30,[29]HISTOFEV24!$A$6:$AU$38,28,0)</f>
        <v>0</v>
      </c>
      <c r="V30" s="36">
        <f>VLOOKUP($A30,[29]HISTOFEV24!$A$6:$AU$38,19,0)</f>
        <v>0</v>
      </c>
      <c r="W30" s="36">
        <f>VLOOKUP($A30,[29]HISTOFEV24!$A$6:$AU$38,20,0)</f>
        <v>0</v>
      </c>
      <c r="X30" s="36">
        <f>VLOOKUP($A30,[29]HISTOFEV24!$A$6:$AU$38,27,0)</f>
        <v>0</v>
      </c>
      <c r="Y30" s="36">
        <f>VLOOKUP($A30,[29]HISTOFEV24!$A$6:$BM$38,33,0)</f>
        <v>0</v>
      </c>
      <c r="Z30" s="36">
        <f>VLOOKUP($A30,[29]HISTOFEV24!$A$6:$BM$38,65,0)</f>
        <v>0</v>
      </c>
      <c r="AA30" s="36"/>
      <c r="AB30" s="36">
        <f>VLOOKUP($A30,[29]HISTOFEV24!$A$6:$AU$38,43,0)</f>
        <v>0</v>
      </c>
      <c r="AC30" s="36">
        <f>VLOOKUP($A30,[29]HISTOFEV24!$A$6:$AU$38,44,0)</f>
        <v>0</v>
      </c>
      <c r="AD30" s="36">
        <f>VLOOKUP($A30,[29]HISTOFEV24!$A$6:$AU$38,47,0)</f>
        <v>0</v>
      </c>
      <c r="AE30" s="36">
        <f>VLOOKUP(A30,[29]HISTOFEV24!$A$6:$BB$38,54,0)</f>
        <v>0</v>
      </c>
      <c r="AF30" s="36">
        <f>VLOOKUP($A30,[29]HISTOFEV24!$A$6:$CB$38,60,0)</f>
        <v>0</v>
      </c>
      <c r="AG30" s="36">
        <f>VLOOKUP($A30,[29]HISTOFEV24!$A$6:$CB$38,61,0)</f>
        <v>0</v>
      </c>
      <c r="AH30" s="36">
        <f>VLOOKUP($A30,[29]HISTOFEV24!$A$6:$CB$38,62,0)</f>
        <v>0</v>
      </c>
      <c r="AI30" s="36">
        <f>VLOOKUP($A30,[29]HISTOFEV24!$A$6:$CB$38,63,0)</f>
        <v>0</v>
      </c>
      <c r="AJ30" s="36">
        <f>VLOOKUP($A30,[29]HISTOFEV24!$A$6:$CB$38,64,0)</f>
        <v>0</v>
      </c>
      <c r="AK30" s="36">
        <f>VLOOKUP($A30,[29]HISTOFEV24!$A$6:$CB$38,65,0)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MVTJANV24!I31-E31+L31</f>
        <v>891812.08373426949</v>
      </c>
      <c r="G31" s="5">
        <f>IF(MVTJANV24!I31+L31&gt;700000,(MVTJANV24!I31-E31+L31),0)</f>
        <v>891812.08373426949</v>
      </c>
      <c r="H31" s="36">
        <f t="shared" si="0"/>
        <v>876.62492531751582</v>
      </c>
      <c r="I31" s="6">
        <f t="shared" si="2"/>
        <v>892688.70865958696</v>
      </c>
      <c r="J31" s="36">
        <f>VLOOKUP($A31,[29]HISTOFEV24!$A$6:$AQ$42,22,0)</f>
        <v>0</v>
      </c>
      <c r="K31" s="36">
        <f>VLOOKUP($A31,[29]HISTOFEV24!$A$6:$AU$38,45,0)</f>
        <v>25000</v>
      </c>
      <c r="L31" s="36">
        <f t="shared" si="4"/>
        <v>19000</v>
      </c>
      <c r="M31" s="36">
        <f t="shared" si="5"/>
        <v>1000</v>
      </c>
      <c r="N31" s="36">
        <f t="shared" si="3"/>
        <v>1000</v>
      </c>
      <c r="O31" s="36">
        <f t="shared" si="6"/>
        <v>4000</v>
      </c>
      <c r="P31" s="36">
        <f>VLOOKUP($A31,[29]HISTOFEV24!$A$6:$AU$38,7,0)</f>
        <v>0</v>
      </c>
      <c r="Q31" s="36">
        <f>VLOOKUP($A31,[29]HISTOFEV24!$A$6:$AU$38,23,0)</f>
        <v>0</v>
      </c>
      <c r="R31" s="36">
        <f>VLOOKUP($A31,[29]HISTOFEV24!$A$6:$AU$38,46,0)</f>
        <v>0</v>
      </c>
      <c r="S31" s="36">
        <f>VLOOKUP($A31,[29]HISTOFEV24!$A$6:$AU$38,26,0)</f>
        <v>0</v>
      </c>
      <c r="T31" s="36">
        <f>VLOOKUP($A31,[29]HISTOFEV24!$A$6:$BG$38,58,0)</f>
        <v>0</v>
      </c>
      <c r="U31" s="36">
        <f>VLOOKUP($A31,[29]HISTOFEV24!$A$6:$AU$38,28,0)</f>
        <v>0</v>
      </c>
      <c r="V31" s="36">
        <f>VLOOKUP($A31,[29]HISTOFEV24!$A$6:$AU$38,19,0)</f>
        <v>0</v>
      </c>
      <c r="W31" s="36">
        <f>VLOOKUP($A31,[29]HISTOFEV24!$A$6:$AU$38,20,0)</f>
        <v>0</v>
      </c>
      <c r="X31" s="36">
        <f>VLOOKUP($A31,[29]HISTOFEV24!$A$6:$AU$38,27,0)</f>
        <v>0</v>
      </c>
      <c r="Y31" s="36">
        <f>VLOOKUP($A31,[29]HISTOFEV24!$A$6:$BM$38,33,0)</f>
        <v>0</v>
      </c>
      <c r="Z31" s="36">
        <f>VLOOKUP($A31,[29]HISTOFEV24!$A$6:$BM$38,65,0)</f>
        <v>0</v>
      </c>
      <c r="AA31" s="36"/>
      <c r="AB31" s="36">
        <f>VLOOKUP($A31,[29]HISTOFEV24!$A$6:$AU$38,43,0)</f>
        <v>0</v>
      </c>
      <c r="AC31" s="36">
        <f>VLOOKUP($A31,[29]HISTOFEV24!$A$6:$AU$38,44,0)</f>
        <v>0</v>
      </c>
      <c r="AD31" s="36">
        <f>VLOOKUP($A31,[29]HISTOFEV24!$A$6:$AU$38,47,0)</f>
        <v>0</v>
      </c>
      <c r="AE31" s="36">
        <f>VLOOKUP(A31,[29]HISTOFEV24!$A$6:$BB$38,54,0)</f>
        <v>0</v>
      </c>
      <c r="AF31" s="36">
        <f>VLOOKUP($A31,[29]HISTOFEV24!$A$6:$CB$38,60,0)</f>
        <v>0</v>
      </c>
      <c r="AG31" s="36">
        <f>VLOOKUP($A31,[29]HISTOFEV24!$A$6:$CB$38,61,0)</f>
        <v>0</v>
      </c>
      <c r="AH31" s="36">
        <f>VLOOKUP($A31,[29]HISTOFEV24!$A$6:$CB$38,62,0)</f>
        <v>0</v>
      </c>
      <c r="AI31" s="36">
        <f>VLOOKUP($A31,[29]HISTOFEV24!$A$6:$CB$38,63,0)</f>
        <v>0</v>
      </c>
      <c r="AJ31" s="36">
        <f>VLOOKUP($A31,[29]HISTOFEV24!$A$6:$CB$38,64,0)</f>
        <v>0</v>
      </c>
      <c r="AK31" s="36">
        <f>VLOOKUP($A31,[29]HISTOFEV24!$A$6:$CB$38,65,0)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MVTJANV24!I32-E32+L32</f>
        <v>781779.30612390884</v>
      </c>
      <c r="G32" s="5">
        <f>IF(MVTJANV24!I32+L32&gt;700000,(MVTJANV24!I32-E32+L32),0)</f>
        <v>781779.30612390884</v>
      </c>
      <c r="H32" s="36">
        <f t="shared" si="0"/>
        <v>768.46595638847134</v>
      </c>
      <c r="I32" s="6">
        <f t="shared" si="2"/>
        <v>782547.77208029735</v>
      </c>
      <c r="J32" s="36">
        <f>VLOOKUP($A32,[29]HISTOFEV24!$A$6:$AQ$42,22,0)</f>
        <v>0</v>
      </c>
      <c r="K32" s="36">
        <f>VLOOKUP($A32,[29]HISTOFEV24!$A$6:$AU$38,45,0)</f>
        <v>25000</v>
      </c>
      <c r="L32" s="36">
        <f t="shared" si="4"/>
        <v>19000</v>
      </c>
      <c r="M32" s="36">
        <f t="shared" si="5"/>
        <v>1000</v>
      </c>
      <c r="N32" s="36">
        <f t="shared" si="3"/>
        <v>1000</v>
      </c>
      <c r="O32" s="36">
        <f t="shared" si="6"/>
        <v>4000</v>
      </c>
      <c r="P32" s="36">
        <f>VLOOKUP($A32,[29]HISTOFEV24!$A$6:$AU$38,7,0)</f>
        <v>0</v>
      </c>
      <c r="Q32" s="36">
        <f>VLOOKUP($A32,[29]HISTOFEV24!$A$6:$AU$38,23,0)</f>
        <v>0</v>
      </c>
      <c r="R32" s="36">
        <f>VLOOKUP($A32,[29]HISTOFEV24!$A$6:$AU$38,46,0)</f>
        <v>0</v>
      </c>
      <c r="S32" s="36">
        <f>VLOOKUP($A32,[29]HISTOFEV24!$A$6:$AU$38,26,0)</f>
        <v>0</v>
      </c>
      <c r="T32" s="36">
        <f>VLOOKUP($A32,[29]HISTOFEV24!$A$6:$BG$38,58,0)</f>
        <v>0</v>
      </c>
      <c r="U32" s="36">
        <f>VLOOKUP($A32,[29]HISTOFEV24!$A$6:$AU$38,28,0)</f>
        <v>0</v>
      </c>
      <c r="V32" s="36">
        <f>VLOOKUP($A32,[29]HISTOFEV24!$A$6:$AU$38,19,0)</f>
        <v>0</v>
      </c>
      <c r="W32" s="36">
        <f>VLOOKUP($A32,[29]HISTOFEV24!$A$6:$AU$38,20,0)</f>
        <v>0</v>
      </c>
      <c r="X32" s="36">
        <f>VLOOKUP($A32,[29]HISTOFEV24!$A$6:$AU$38,27,0)</f>
        <v>0</v>
      </c>
      <c r="Y32" s="36">
        <f>VLOOKUP($A32,[29]HISTOFEV24!$A$6:$BM$38,33,0)</f>
        <v>0</v>
      </c>
      <c r="Z32" s="36">
        <f>VLOOKUP($A32,[29]HISTOFEV24!$A$6:$BM$38,65,0)</f>
        <v>0</v>
      </c>
      <c r="AA32" s="36"/>
      <c r="AB32" s="36">
        <f>VLOOKUP($A32,[29]HISTOFEV24!$A$6:$AU$38,43,0)</f>
        <v>0</v>
      </c>
      <c r="AC32" s="36">
        <f>VLOOKUP($A32,[29]HISTOFEV24!$A$6:$AU$38,44,0)</f>
        <v>0</v>
      </c>
      <c r="AD32" s="36">
        <f>VLOOKUP($A32,[29]HISTOFEV24!$A$6:$AU$38,47,0)</f>
        <v>0</v>
      </c>
      <c r="AE32" s="36">
        <f>VLOOKUP(A32,[29]HISTOFEV24!$A$6:$BB$38,54,0)</f>
        <v>0</v>
      </c>
      <c r="AF32" s="36">
        <f>VLOOKUP($A32,[29]HISTOFEV24!$A$6:$CB$38,60,0)</f>
        <v>0</v>
      </c>
      <c r="AG32" s="36">
        <f>VLOOKUP($A32,[29]HISTOFEV24!$A$6:$CB$38,61,0)</f>
        <v>0</v>
      </c>
      <c r="AH32" s="36">
        <f>VLOOKUP($A32,[29]HISTOFEV24!$A$6:$CB$38,62,0)</f>
        <v>0</v>
      </c>
      <c r="AI32" s="36">
        <f>VLOOKUP($A32,[29]HISTOFEV24!$A$6:$CB$38,63,0)</f>
        <v>0</v>
      </c>
      <c r="AJ32" s="36">
        <f>VLOOKUP($A32,[29]HISTOFEV24!$A$6:$CB$38,64,0)</f>
        <v>0</v>
      </c>
      <c r="AK32" s="36">
        <f>VLOOKUP($A32,[29]HISTOFEV24!$A$6:$CB$38,65,0)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MVTJANV24!I33-E33+L33</f>
        <v>782086.22720032581</v>
      </c>
      <c r="G33" s="5">
        <f>IF(MVTJANV24!I33+L33&gt;700000,(MVTJANV24!I33-E33+L33),0)</f>
        <v>782086.22720032581</v>
      </c>
      <c r="H33" s="36">
        <f t="shared" si="0"/>
        <v>768.76765073708998</v>
      </c>
      <c r="I33" s="6">
        <f t="shared" si="2"/>
        <v>782854.99485106289</v>
      </c>
      <c r="J33" s="36">
        <f>VLOOKUP($A33,[29]HISTOFEV24!$A$6:$AQ$42,22,0)</f>
        <v>0</v>
      </c>
      <c r="K33" s="36">
        <f>VLOOKUP($A33,[29]HISTOFEV24!$A$6:$AU$38,45,0)</f>
        <v>25000</v>
      </c>
      <c r="L33" s="36">
        <f t="shared" si="4"/>
        <v>19000</v>
      </c>
      <c r="M33" s="36">
        <f t="shared" si="5"/>
        <v>1000</v>
      </c>
      <c r="N33" s="36">
        <f t="shared" si="3"/>
        <v>1000</v>
      </c>
      <c r="O33" s="36">
        <f t="shared" si="6"/>
        <v>4000</v>
      </c>
      <c r="P33" s="36">
        <f>VLOOKUP($A33,[29]HISTOFEV24!$A$6:$AU$38,7,0)</f>
        <v>0</v>
      </c>
      <c r="Q33" s="36">
        <f>VLOOKUP($A33,[29]HISTOFEV24!$A$6:$AU$38,23,0)</f>
        <v>0</v>
      </c>
      <c r="R33" s="36">
        <f>VLOOKUP($A33,[29]HISTOFEV24!$A$6:$AU$38,46,0)</f>
        <v>0</v>
      </c>
      <c r="S33" s="36">
        <f>VLOOKUP($A33,[29]HISTOFEV24!$A$6:$AU$38,26,0)</f>
        <v>0</v>
      </c>
      <c r="T33" s="36">
        <f>VLOOKUP($A33,[29]HISTOFEV24!$A$6:$BG$38,58,0)</f>
        <v>0</v>
      </c>
      <c r="U33" s="36">
        <f>VLOOKUP($A33,[29]HISTOFEV24!$A$6:$AU$38,28,0)</f>
        <v>0</v>
      </c>
      <c r="V33" s="36">
        <f>VLOOKUP($A33,[29]HISTOFEV24!$A$6:$AU$38,19,0)</f>
        <v>0</v>
      </c>
      <c r="W33" s="36">
        <f>VLOOKUP($A33,[29]HISTOFEV24!$A$6:$AU$38,20,0)</f>
        <v>0</v>
      </c>
      <c r="X33" s="36">
        <f>VLOOKUP($A33,[29]HISTOFEV24!$A$6:$AU$38,27,0)</f>
        <v>0</v>
      </c>
      <c r="Y33" s="36">
        <f>VLOOKUP($A33,[29]HISTOFEV24!$A$6:$BM$38,33,0)</f>
        <v>0</v>
      </c>
      <c r="Z33" s="36">
        <f>VLOOKUP($A33,[29]HISTOFEV24!$A$6:$BM$38,65,0)</f>
        <v>0</v>
      </c>
      <c r="AA33" s="36"/>
      <c r="AB33" s="36">
        <f>VLOOKUP($A33,[29]HISTOFEV24!$A$6:$AU$38,43,0)</f>
        <v>0</v>
      </c>
      <c r="AC33" s="36">
        <f>VLOOKUP($A33,[29]HISTOFEV24!$A$6:$AU$38,44,0)</f>
        <v>0</v>
      </c>
      <c r="AD33" s="36">
        <f>VLOOKUP($A33,[29]HISTOFEV24!$A$6:$AU$38,47,0)</f>
        <v>0</v>
      </c>
      <c r="AE33" s="36">
        <f>VLOOKUP(A33,[29]HISTOFEV24!$A$6:$BB$38,54,0)</f>
        <v>0</v>
      </c>
      <c r="AF33" s="36">
        <f>VLOOKUP($A33,[29]HISTOFEV24!$A$6:$CB$38,60,0)</f>
        <v>0</v>
      </c>
      <c r="AG33" s="36">
        <f>VLOOKUP($A33,[29]HISTOFEV24!$A$6:$CB$38,61,0)</f>
        <v>0</v>
      </c>
      <c r="AH33" s="36">
        <f>VLOOKUP($A33,[29]HISTOFEV24!$A$6:$CB$38,62,0)</f>
        <v>0</v>
      </c>
      <c r="AI33" s="36">
        <f>VLOOKUP($A33,[29]HISTOFEV24!$A$6:$CB$38,63,0)</f>
        <v>0</v>
      </c>
      <c r="AJ33" s="36">
        <f>VLOOKUP($A33,[29]HISTOFEV24!$A$6:$CB$38,64,0)</f>
        <v>0</v>
      </c>
      <c r="AK33" s="36">
        <f>VLOOKUP($A33,[29]HISTOFEV24!$A$6:$CB$38,65,0)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MVTJANV24!I34-E34+L34</f>
        <v>313000</v>
      </c>
      <c r="G34" s="5">
        <f>IF(MVTJANV24!I34+L34&gt;700000,(MVTJANV24!I34-E34+L34),0)</f>
        <v>0</v>
      </c>
      <c r="H34" s="36">
        <f t="shared" si="0"/>
        <v>0</v>
      </c>
      <c r="I34" s="6">
        <f t="shared" si="2"/>
        <v>313000</v>
      </c>
      <c r="J34" s="36">
        <f>VLOOKUP($A34,[29]HISTOFEV24!$A$6:$AQ$42,22,0)</f>
        <v>0</v>
      </c>
      <c r="K34" s="36">
        <f>VLOOKUP($A34,[29]HISTOFEV24!$A$6:$AU$38,45,0)</f>
        <v>55000</v>
      </c>
      <c r="L34" s="36">
        <f t="shared" si="4"/>
        <v>49000</v>
      </c>
      <c r="M34" s="36">
        <f t="shared" si="5"/>
        <v>1000</v>
      </c>
      <c r="N34" s="36">
        <f t="shared" si="3"/>
        <v>1000</v>
      </c>
      <c r="O34" s="36">
        <f t="shared" si="6"/>
        <v>4000</v>
      </c>
      <c r="P34" s="36">
        <f>VLOOKUP($A34,[29]HISTOFEV24!$A$6:$AU$38,7,0)</f>
        <v>0</v>
      </c>
      <c r="Q34" s="36">
        <f>VLOOKUP($A34,[29]HISTOFEV24!$A$6:$AU$38,23,0)</f>
        <v>0</v>
      </c>
      <c r="R34" s="36">
        <f>VLOOKUP($A34,[29]HISTOFEV24!$A$6:$AU$38,46,0)</f>
        <v>0</v>
      </c>
      <c r="S34" s="36">
        <f>VLOOKUP($A34,[29]HISTOFEV24!$A$6:$AU$38,26,0)</f>
        <v>0</v>
      </c>
      <c r="T34" s="36">
        <f>VLOOKUP($A34,[29]HISTOFEV24!$A$6:$BG$38,58,0)</f>
        <v>0</v>
      </c>
      <c r="U34" s="36">
        <f>VLOOKUP($A34,[29]HISTOFEV24!$A$6:$AU$38,28,0)</f>
        <v>0</v>
      </c>
      <c r="V34" s="36">
        <f>VLOOKUP($A34,[29]HISTOFEV24!$A$6:$AU$38,19,0)</f>
        <v>0</v>
      </c>
      <c r="W34" s="36">
        <f>VLOOKUP($A34,[29]HISTOFEV24!$A$6:$AU$38,20,0)</f>
        <v>0</v>
      </c>
      <c r="X34" s="36">
        <f>VLOOKUP($A34,[29]HISTOFEV24!$A$6:$AU$38,27,0)</f>
        <v>0</v>
      </c>
      <c r="Y34" s="36">
        <f>VLOOKUP($A34,[29]HISTOFEV24!$A$6:$BM$38,33,0)</f>
        <v>0</v>
      </c>
      <c r="Z34" s="36">
        <f>VLOOKUP($A34,[29]HISTOFEV24!$A$6:$BM$38,65,0)</f>
        <v>0</v>
      </c>
      <c r="AA34" s="36"/>
      <c r="AB34" s="36">
        <f>VLOOKUP($A34,[29]HISTOFEV24!$A$6:$AU$38,43,0)</f>
        <v>0</v>
      </c>
      <c r="AC34" s="36">
        <f>VLOOKUP($A34,[29]HISTOFEV24!$A$6:$AU$38,44,0)</f>
        <v>0</v>
      </c>
      <c r="AD34" s="36">
        <f>VLOOKUP($A34,[29]HISTOFEV24!$A$6:$AU$38,47,0)</f>
        <v>0</v>
      </c>
      <c r="AE34" s="36">
        <f>VLOOKUP(A34,[29]HISTOFEV24!$A$6:$BB$38,54,0)</f>
        <v>0</v>
      </c>
      <c r="AF34" s="36">
        <f>VLOOKUP($A34,[29]HISTOFEV24!$A$6:$CB$38,60,0)</f>
        <v>0</v>
      </c>
      <c r="AG34" s="36">
        <f>VLOOKUP($A34,[29]HISTOFEV24!$A$6:$CB$38,61,0)</f>
        <v>0</v>
      </c>
      <c r="AH34" s="36">
        <f>VLOOKUP($A34,[29]HISTOFEV24!$A$6:$CB$38,62,0)</f>
        <v>0</v>
      </c>
      <c r="AI34" s="36">
        <f>VLOOKUP($A34,[29]HISTOFEV24!$A$6:$CB$38,63,0)</f>
        <v>0</v>
      </c>
      <c r="AJ34" s="36">
        <f>VLOOKUP($A34,[29]HISTOFEV24!$A$6:$CB$38,64,0)</f>
        <v>0</v>
      </c>
      <c r="AK34" s="36">
        <f>VLOOKUP($A34,[29]HISTOFEV24!$A$6:$CB$38,65,0)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MVTJANV24!I35-E35+L35</f>
        <v>141000</v>
      </c>
      <c r="G35" s="5">
        <f>IF(MVTJANV24!I35+L35&gt;700000,(MVTJANV24!I35-E35+L35),0)</f>
        <v>0</v>
      </c>
      <c r="H35" s="36">
        <f t="shared" si="0"/>
        <v>0</v>
      </c>
      <c r="I35" s="6">
        <f t="shared" si="2"/>
        <v>141000</v>
      </c>
      <c r="J35" s="36">
        <f>VLOOKUP($A35,[29]HISTOFEV24!$A$6:$AQ$42,22,0)</f>
        <v>0</v>
      </c>
      <c r="K35" s="36">
        <f>VLOOKUP($A35,[29]HISTOFEV24!$A$6:$AU$38,45,0)</f>
        <v>25000</v>
      </c>
      <c r="L35" s="36">
        <f t="shared" si="4"/>
        <v>19000</v>
      </c>
      <c r="M35" s="36">
        <f t="shared" si="5"/>
        <v>1000</v>
      </c>
      <c r="N35" s="36">
        <f t="shared" si="3"/>
        <v>1000</v>
      </c>
      <c r="O35" s="36">
        <f t="shared" si="6"/>
        <v>4000</v>
      </c>
      <c r="P35" s="36">
        <f>VLOOKUP($A35,[29]HISTOFEV24!$A$6:$AU$38,7,0)</f>
        <v>0</v>
      </c>
      <c r="Q35" s="36">
        <f>VLOOKUP($A35,[29]HISTOFEV24!$A$6:$AU$38,23,0)</f>
        <v>0</v>
      </c>
      <c r="R35" s="36">
        <f>VLOOKUP($A35,[29]HISTOFEV24!$A$6:$AU$38,46,0)</f>
        <v>0</v>
      </c>
      <c r="S35" s="36">
        <f>VLOOKUP($A35,[29]HISTOFEV24!$A$6:$AU$38,26,0)</f>
        <v>0</v>
      </c>
      <c r="T35" s="36">
        <f>VLOOKUP($A35,[29]HISTOFEV24!$A$6:$BG$38,58,0)</f>
        <v>0</v>
      </c>
      <c r="U35" s="36">
        <f>VLOOKUP($A35,[29]HISTOFEV24!$A$6:$AU$38,28,0)</f>
        <v>0</v>
      </c>
      <c r="V35" s="36">
        <f>VLOOKUP($A35,[29]HISTOFEV24!$A$6:$AU$38,19,0)</f>
        <v>0</v>
      </c>
      <c r="W35" s="36">
        <f>VLOOKUP($A35,[29]HISTOFEV24!$A$6:$AU$38,20,0)</f>
        <v>0</v>
      </c>
      <c r="X35" s="36">
        <f>VLOOKUP($A35,[29]HISTOFEV24!$A$6:$AU$38,27,0)</f>
        <v>0</v>
      </c>
      <c r="Y35" s="36">
        <f>VLOOKUP($A35,[29]HISTOFEV24!$A$6:$BM$38,33,0)</f>
        <v>0</v>
      </c>
      <c r="Z35" s="36">
        <f>VLOOKUP($A35,[29]HISTOFEV24!$A$6:$BM$38,65,0)</f>
        <v>0</v>
      </c>
      <c r="AA35" s="36"/>
      <c r="AB35" s="36">
        <f>VLOOKUP($A35,[29]HISTOFEV24!$A$6:$AU$38,43,0)</f>
        <v>0</v>
      </c>
      <c r="AC35" s="36">
        <f>VLOOKUP($A35,[29]HISTOFEV24!$A$6:$AU$38,44,0)</f>
        <v>0</v>
      </c>
      <c r="AD35" s="36">
        <f>VLOOKUP($A35,[29]HISTOFEV24!$A$6:$AU$38,47,0)</f>
        <v>0</v>
      </c>
      <c r="AE35" s="36">
        <f>VLOOKUP(A35,[29]HISTOFEV24!$A$6:$BB$38,54,0)</f>
        <v>0</v>
      </c>
      <c r="AF35" s="36">
        <f>VLOOKUP($A35,[29]HISTOFEV24!$A$6:$CB$38,60,0)</f>
        <v>0</v>
      </c>
      <c r="AG35" s="36">
        <f>VLOOKUP($A35,[29]HISTOFEV24!$A$6:$CB$38,61,0)</f>
        <v>0</v>
      </c>
      <c r="AH35" s="36">
        <f>VLOOKUP($A35,[29]HISTOFEV24!$A$6:$CB$38,62,0)</f>
        <v>0</v>
      </c>
      <c r="AI35" s="36">
        <f>VLOOKUP($A35,[29]HISTOFEV24!$A$6:$CB$38,63,0)</f>
        <v>0</v>
      </c>
      <c r="AJ35" s="36">
        <f>VLOOKUP($A35,[29]HISTOFEV24!$A$6:$CB$38,64,0)</f>
        <v>0</v>
      </c>
      <c r="AK35" s="36">
        <f>VLOOKUP($A35,[29]HISTOFEV24!$A$6:$CB$38,65,0)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MVTJANV24!I36-E36+L36</f>
        <v>799028.17277927208</v>
      </c>
      <c r="G36" s="5">
        <f>IF(MVTJANV24!I36+L36&gt;700000,(MVTJANV24!I36-E36+L36),0)</f>
        <v>799028.17277927208</v>
      </c>
      <c r="H36" s="36">
        <f t="shared" si="0"/>
        <v>785.42108260772443</v>
      </c>
      <c r="I36" s="6">
        <f t="shared" si="2"/>
        <v>799813.59386187978</v>
      </c>
      <c r="J36" s="36">
        <f>VLOOKUP($A36,[29]HISTOFEV24!$A$6:$AQ$42,22,0)</f>
        <v>0</v>
      </c>
      <c r="K36" s="36">
        <f>VLOOKUP($A36,[29]HISTOFEV24!$A$6:$AU$38,45,0)</f>
        <v>35000</v>
      </c>
      <c r="L36" s="36">
        <f t="shared" si="4"/>
        <v>29000</v>
      </c>
      <c r="M36" s="36">
        <f t="shared" si="5"/>
        <v>1000</v>
      </c>
      <c r="N36" s="36">
        <f t="shared" si="3"/>
        <v>1000</v>
      </c>
      <c r="O36" s="36">
        <f t="shared" si="6"/>
        <v>4000</v>
      </c>
      <c r="P36" s="36">
        <f>VLOOKUP($A36,[29]HISTOFEV24!$A$6:$AU$38,7,0)</f>
        <v>0</v>
      </c>
      <c r="Q36" s="36">
        <f>VLOOKUP($A36,[29]HISTOFEV24!$A$6:$AU$38,23,0)</f>
        <v>0</v>
      </c>
      <c r="R36" s="36">
        <f>VLOOKUP($A36,[29]HISTOFEV24!$A$6:$AU$38,46,0)</f>
        <v>0</v>
      </c>
      <c r="S36" s="36">
        <f>VLOOKUP($A36,[29]HISTOFEV24!$A$6:$AU$38,26,0)</f>
        <v>0</v>
      </c>
      <c r="T36" s="36">
        <f>VLOOKUP($A36,[29]HISTOFEV24!$A$6:$BG$38,58,0)</f>
        <v>0</v>
      </c>
      <c r="U36" s="36">
        <f>VLOOKUP($A36,[29]HISTOFEV24!$A$6:$AU$38,28,0)</f>
        <v>0</v>
      </c>
      <c r="V36" s="36">
        <f>VLOOKUP($A36,[29]HISTOFEV24!$A$6:$AU$38,19,0)</f>
        <v>0</v>
      </c>
      <c r="W36" s="36">
        <f>VLOOKUP($A36,[29]HISTOFEV24!$A$6:$AU$38,20,0)</f>
        <v>0</v>
      </c>
      <c r="X36" s="36">
        <f>VLOOKUP($A36,[29]HISTOFEV24!$A$6:$AU$38,27,0)</f>
        <v>0</v>
      </c>
      <c r="Y36" s="36">
        <f>VLOOKUP($A36,[29]HISTOFEV24!$A$6:$BM$38,33,0)</f>
        <v>0</v>
      </c>
      <c r="Z36" s="36">
        <f>VLOOKUP($A36,[29]HISTOFEV24!$A$6:$BM$38,65,0)</f>
        <v>0</v>
      </c>
      <c r="AA36" s="36"/>
      <c r="AB36" s="36">
        <f>VLOOKUP($A36,[29]HISTOFEV24!$A$6:$AU$38,43,0)</f>
        <v>0</v>
      </c>
      <c r="AC36" s="36">
        <f>VLOOKUP($A36,[29]HISTOFEV24!$A$6:$AU$38,44,0)</f>
        <v>0</v>
      </c>
      <c r="AD36" s="36">
        <f>VLOOKUP($A36,[29]HISTOFEV24!$A$6:$AU$38,47,0)</f>
        <v>0</v>
      </c>
      <c r="AE36" s="36">
        <f>VLOOKUP(A36,[29]HISTOFEV24!$A$6:$BB$38,54,0)</f>
        <v>0</v>
      </c>
      <c r="AF36" s="36">
        <f>VLOOKUP($A36,[29]HISTOFEV24!$A$6:$CB$38,60,0)</f>
        <v>0</v>
      </c>
      <c r="AG36" s="36">
        <f>VLOOKUP($A36,[29]HISTOFEV24!$A$6:$CB$38,61,0)</f>
        <v>0</v>
      </c>
      <c r="AH36" s="36">
        <f>VLOOKUP($A36,[29]HISTOFEV24!$A$6:$CB$38,62,0)</f>
        <v>0</v>
      </c>
      <c r="AI36" s="36">
        <f>VLOOKUP($A36,[29]HISTOFEV24!$A$6:$CB$38,63,0)</f>
        <v>0</v>
      </c>
      <c r="AJ36" s="36">
        <f>VLOOKUP($A36,[29]HISTOFEV24!$A$6:$CB$38,64,0)</f>
        <v>0</v>
      </c>
      <c r="AK36" s="36">
        <f>VLOOKUP($A36,[29]HISTOFEV24!$A$6:$CB$38,65,0)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MVTJANV24!I37-E37+L37</f>
        <v>1845879.5133239396</v>
      </c>
      <c r="G37" s="5">
        <f>IF(MVTJANV24!I37+L37&gt;700000,(MVTJANV24!I37-E37+L37),0)</f>
        <v>1845879.5133239396</v>
      </c>
      <c r="H37" s="36">
        <f t="shared" si="0"/>
        <v>1814.4450159691764</v>
      </c>
      <c r="I37" s="6">
        <f t="shared" si="2"/>
        <v>1847693.9583399089</v>
      </c>
      <c r="J37" s="36">
        <f>VLOOKUP($A37,[29]HISTOFEV24!$A$6:$AQ$42,22,0)</f>
        <v>0</v>
      </c>
      <c r="K37" s="36">
        <f>VLOOKUP($A37,[29]HISTOFEV24!$A$6:$AU$38,45,0)</f>
        <v>25000</v>
      </c>
      <c r="L37" s="36">
        <f t="shared" si="4"/>
        <v>19000</v>
      </c>
      <c r="M37" s="36">
        <f t="shared" si="5"/>
        <v>1000</v>
      </c>
      <c r="N37" s="36">
        <f t="shared" si="3"/>
        <v>1000</v>
      </c>
      <c r="O37" s="36">
        <f t="shared" si="6"/>
        <v>4000</v>
      </c>
      <c r="P37" s="36">
        <f>VLOOKUP($A37,[29]HISTOFEV24!$A$6:$AU$38,7,0)</f>
        <v>0</v>
      </c>
      <c r="Q37" s="36">
        <f>VLOOKUP($A37,[29]HISTOFEV24!$A$6:$AU$38,23,0)</f>
        <v>0</v>
      </c>
      <c r="R37" s="36">
        <f>VLOOKUP($A37,[29]HISTOFEV24!$A$6:$AU$38,46,0)</f>
        <v>0</v>
      </c>
      <c r="S37" s="36">
        <f>VLOOKUP($A37,[29]HISTOFEV24!$A$6:$AU$38,26,0)</f>
        <v>0</v>
      </c>
      <c r="T37" s="36">
        <f>VLOOKUP($A37,[29]HISTOFEV24!$A$6:$BG$38,58,0)</f>
        <v>0</v>
      </c>
      <c r="U37" s="36">
        <f>VLOOKUP($A37,[29]HISTOFEV24!$A$6:$AU$38,28,0)</f>
        <v>0</v>
      </c>
      <c r="V37" s="36">
        <f>VLOOKUP($A37,[29]HISTOFEV24!$A$6:$AU$38,19,0)</f>
        <v>0</v>
      </c>
      <c r="W37" s="36">
        <f>VLOOKUP($A37,[29]HISTOFEV24!$A$6:$AU$38,20,0)</f>
        <v>0</v>
      </c>
      <c r="X37" s="36">
        <f>VLOOKUP($A37,[29]HISTOFEV24!$A$6:$AU$38,27,0)</f>
        <v>0</v>
      </c>
      <c r="Y37" s="36">
        <f>VLOOKUP($A37,[29]HISTOFEV24!$A$6:$BM$38,33,0)</f>
        <v>0</v>
      </c>
      <c r="Z37" s="36">
        <f>VLOOKUP($A37,[29]HISTOFEV24!$A$6:$BM$38,65,0)</f>
        <v>0</v>
      </c>
      <c r="AA37" s="36"/>
      <c r="AB37" s="36">
        <f>VLOOKUP($A37,[29]HISTOFEV24!$A$6:$AU$38,43,0)</f>
        <v>0</v>
      </c>
      <c r="AC37" s="36">
        <f>VLOOKUP($A37,[29]HISTOFEV24!$A$6:$AU$38,44,0)</f>
        <v>0</v>
      </c>
      <c r="AD37" s="36">
        <f>VLOOKUP($A37,[29]HISTOFEV24!$A$6:$AU$38,47,0)</f>
        <v>0</v>
      </c>
      <c r="AE37" s="36">
        <f>VLOOKUP(A37,[29]HISTOFEV24!$A$6:$BB$38,54,0)</f>
        <v>0</v>
      </c>
      <c r="AF37" s="36">
        <f>VLOOKUP($A37,[29]HISTOFEV24!$A$6:$CB$38,60,0)</f>
        <v>0</v>
      </c>
      <c r="AG37" s="36">
        <f>VLOOKUP($A37,[29]HISTOFEV24!$A$6:$CB$38,61,0)</f>
        <v>0</v>
      </c>
      <c r="AH37" s="36">
        <f>VLOOKUP($A37,[29]HISTOFEV24!$A$6:$CB$38,62,0)</f>
        <v>0</v>
      </c>
      <c r="AI37" s="36">
        <f>VLOOKUP($A37,[29]HISTOFEV24!$A$6:$CB$38,63,0)</f>
        <v>0</v>
      </c>
      <c r="AJ37" s="36">
        <f>VLOOKUP($A37,[29]HISTOFEV24!$A$6:$CB$38,64,0)</f>
        <v>0</v>
      </c>
      <c r="AK37" s="36">
        <f>VLOOKUP($A37,[29]HISTOFEV24!$A$6:$CB$38,65,0)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MVTJANV24!I38-E38+L38</f>
        <v>38000</v>
      </c>
      <c r="G38" s="5">
        <f>IF(MVTJANV24!I38+L38&gt;700000,(MVTJANV24!I38-E38+L38),0)</f>
        <v>0</v>
      </c>
      <c r="H38" s="36">
        <f t="shared" si="0"/>
        <v>0</v>
      </c>
      <c r="I38" s="6">
        <f t="shared" si="2"/>
        <v>38000</v>
      </c>
      <c r="J38" s="36">
        <f>VLOOKUP($A38,[29]HISTOFEV24!$A$6:$AQ$42,22,0)</f>
        <v>0</v>
      </c>
      <c r="K38" s="36">
        <f>VLOOKUP($A38,[29]HISTOFEV24!$A$6:$AU$38,45,0)</f>
        <v>25000</v>
      </c>
      <c r="L38" s="36">
        <f t="shared" si="4"/>
        <v>19000</v>
      </c>
      <c r="M38" s="36">
        <f t="shared" si="5"/>
        <v>1000</v>
      </c>
      <c r="N38" s="36">
        <f t="shared" si="3"/>
        <v>1000</v>
      </c>
      <c r="O38" s="36">
        <f t="shared" si="6"/>
        <v>4000</v>
      </c>
      <c r="P38" s="36">
        <f>VLOOKUP($A38,[29]HISTOFEV24!$A$6:$AU$38,7,0)</f>
        <v>3000</v>
      </c>
      <c r="Q38" s="36">
        <f>VLOOKUP($A38,[29]HISTOFEV24!$A$6:$AU$38,23,0)</f>
        <v>0</v>
      </c>
      <c r="R38" s="36">
        <f>VLOOKUP($A38,[29]HISTOFEV24!$A$6:$AU$38,46,0)</f>
        <v>0</v>
      </c>
      <c r="S38" s="36">
        <f>VLOOKUP($A38,[29]HISTOFEV24!$A$6:$AU$38,26,0)</f>
        <v>0</v>
      </c>
      <c r="T38" s="36">
        <f>VLOOKUP($A38,[29]HISTOFEV24!$A$6:$BG$38,58,0)</f>
        <v>0</v>
      </c>
      <c r="U38" s="36">
        <f>VLOOKUP($A38,[29]HISTOFEV24!$A$6:$AU$38,28,0)</f>
        <v>0</v>
      </c>
      <c r="V38" s="36">
        <f>VLOOKUP($A38,[29]HISTOFEV24!$A$6:$AU$38,19,0)</f>
        <v>0</v>
      </c>
      <c r="W38" s="36">
        <f>VLOOKUP($A38,[29]HISTOFEV24!$A$6:$AU$38,20,0)</f>
        <v>0</v>
      </c>
      <c r="X38" s="36">
        <f>VLOOKUP($A38,[29]HISTOFEV24!$A$6:$AU$38,27,0)</f>
        <v>0</v>
      </c>
      <c r="Y38" s="36">
        <f>VLOOKUP($A38,[29]HISTOFEV24!$A$6:$BM$38,33,0)</f>
        <v>0</v>
      </c>
      <c r="Z38" s="36">
        <f>VLOOKUP($A38,[29]HISTOFEV24!$A$6:$BM$38,65,0)</f>
        <v>0</v>
      </c>
      <c r="AA38" s="36"/>
      <c r="AB38" s="36">
        <f>VLOOKUP($A38,[29]HISTOFEV24!$A$6:$AU$38,43,0)</f>
        <v>0</v>
      </c>
      <c r="AC38" s="36">
        <f>VLOOKUP($A38,[29]HISTOFEV24!$A$6:$AU$38,44,0)</f>
        <v>0</v>
      </c>
      <c r="AD38" s="36">
        <f>VLOOKUP($A38,[29]HISTOFEV24!$A$6:$AU$38,47,0)</f>
        <v>0</v>
      </c>
      <c r="AE38" s="36">
        <f>VLOOKUP(A38,[29]HISTOFEV24!$A$6:$BB$38,54,0)</f>
        <v>0</v>
      </c>
      <c r="AF38" s="36">
        <f>VLOOKUP($A38,[29]HISTOFEV24!$A$6:$CB$38,60,0)</f>
        <v>0</v>
      </c>
      <c r="AG38" s="36">
        <f>VLOOKUP($A38,[29]HISTOFEV24!$A$6:$CB$38,61,0)</f>
        <v>0</v>
      </c>
      <c r="AH38" s="36">
        <f>VLOOKUP($A38,[29]HISTOFEV24!$A$6:$CB$38,62,0)</f>
        <v>0</v>
      </c>
      <c r="AI38" s="36">
        <f>VLOOKUP($A38,[29]HISTOFEV24!$A$6:$CB$38,63,0)</f>
        <v>0</v>
      </c>
      <c r="AJ38" s="36">
        <f>VLOOKUP($A38,[29]HISTOFEV24!$A$6:$CB$38,64,0)</f>
        <v>0</v>
      </c>
      <c r="AK38" s="36">
        <f>VLOOKUP($A38,[29]HISTOFEV24!$A$6:$CB$38,65,0)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MVTJANV24!I39-E39+L39</f>
        <v>2009858.6944478874</v>
      </c>
      <c r="G39" s="5">
        <f>IF(MVTJANV24!I39+L39&gt;700000,(MVTJANV24!I39-E39+L39),0)</f>
        <v>2009858.6944478874</v>
      </c>
      <c r="H39" s="36">
        <f t="shared" si="0"/>
        <v>1975.6317054391077</v>
      </c>
      <c r="I39" s="6">
        <f t="shared" si="2"/>
        <v>2011834.3261533265</v>
      </c>
      <c r="J39" s="36">
        <f>VLOOKUP($A39,[29]HISTOFEV24!$A$6:$AQ$42,22,0)</f>
        <v>0</v>
      </c>
      <c r="K39" s="36">
        <f>VLOOKUP($A39,[29]HISTOFEV24!$A$6:$AU$38,45,0)</f>
        <v>25000</v>
      </c>
      <c r="L39" s="36">
        <f t="shared" si="4"/>
        <v>19000</v>
      </c>
      <c r="M39" s="36">
        <f t="shared" si="5"/>
        <v>1000</v>
      </c>
      <c r="N39" s="36">
        <f t="shared" si="3"/>
        <v>1000</v>
      </c>
      <c r="O39" s="36">
        <f t="shared" si="6"/>
        <v>4000</v>
      </c>
      <c r="P39" s="36">
        <f>VLOOKUP($A39,[29]HISTOFEV24!$A$6:$AU$38,7,0)</f>
        <v>0</v>
      </c>
      <c r="Q39" s="36">
        <f>VLOOKUP($A39,[29]HISTOFEV24!$A$6:$AU$38,23,0)</f>
        <v>0</v>
      </c>
      <c r="R39" s="36">
        <f>VLOOKUP($A39,[29]HISTOFEV24!$A$6:$AU$38,46,0)</f>
        <v>0</v>
      </c>
      <c r="S39" s="36">
        <f>VLOOKUP($A39,[29]HISTOFEV24!$A$6:$AU$38,26,0)</f>
        <v>0</v>
      </c>
      <c r="T39" s="36">
        <f>VLOOKUP($A39,[29]HISTOFEV24!$A$6:$BG$38,58,0)</f>
        <v>0</v>
      </c>
      <c r="U39" s="36">
        <f>VLOOKUP($A39,[29]HISTOFEV24!$A$6:$AU$38,28,0)</f>
        <v>0</v>
      </c>
      <c r="V39" s="36">
        <f>VLOOKUP($A39,[29]HISTOFEV24!$A$6:$AU$38,19,0)</f>
        <v>0</v>
      </c>
      <c r="W39" s="36">
        <f>VLOOKUP($A39,[29]HISTOFEV24!$A$6:$AU$38,20,0)</f>
        <v>0</v>
      </c>
      <c r="X39" s="36">
        <f>VLOOKUP($A39,[29]HISTOFEV24!$A$6:$AU$38,27,0)</f>
        <v>0</v>
      </c>
      <c r="Y39" s="36">
        <f>VLOOKUP($A39,[29]HISTOFEV24!$A$6:$BM$38,33,0)</f>
        <v>0</v>
      </c>
      <c r="Z39" s="36">
        <f>VLOOKUP($A39,[29]HISTOFEV24!$A$6:$BM$38,65,0)</f>
        <v>0</v>
      </c>
      <c r="AA39" s="36"/>
      <c r="AB39" s="36">
        <f>VLOOKUP($A39,[29]HISTOFEV24!$A$6:$AU$38,43,0)</f>
        <v>0</v>
      </c>
      <c r="AC39" s="36">
        <f>VLOOKUP($A39,[29]HISTOFEV24!$A$6:$AU$38,44,0)</f>
        <v>0</v>
      </c>
      <c r="AD39" s="36">
        <f>VLOOKUP($A39,[29]HISTOFEV24!$A$6:$AU$38,47,0)</f>
        <v>0</v>
      </c>
      <c r="AE39" s="36">
        <f>VLOOKUP(A39,[29]HISTOFEV24!$A$6:$BB$38,54,0)</f>
        <v>0</v>
      </c>
      <c r="AF39" s="36">
        <f>VLOOKUP($A39,[29]HISTOFEV24!$A$6:$CB$38,60,0)</f>
        <v>0</v>
      </c>
      <c r="AG39" s="36">
        <f>VLOOKUP($A39,[29]HISTOFEV24!$A$6:$CB$38,61,0)</f>
        <v>0</v>
      </c>
      <c r="AH39" s="36">
        <f>VLOOKUP($A39,[29]HISTOFEV24!$A$6:$CB$38,62,0)</f>
        <v>0</v>
      </c>
      <c r="AI39" s="36">
        <f>VLOOKUP($A39,[29]HISTOFEV24!$A$6:$CB$38,63,0)</f>
        <v>0</v>
      </c>
      <c r="AJ39" s="36">
        <f>VLOOKUP($A39,[29]HISTOFEV24!$A$6:$CB$38,64,0)</f>
        <v>0</v>
      </c>
      <c r="AK39" s="36">
        <f>VLOOKUP($A39,[29]HISTOFEV24!$A$6:$CB$38,65,0)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1">SUM(C6:C40)</f>
        <v>0</v>
      </c>
      <c r="D41" s="9">
        <f t="shared" si="11"/>
        <v>0</v>
      </c>
      <c r="E41" s="9">
        <f t="shared" si="11"/>
        <v>0</v>
      </c>
      <c r="F41" s="9">
        <f t="shared" si="11"/>
        <v>27656656.073121924</v>
      </c>
      <c r="G41" s="9">
        <f t="shared" si="11"/>
        <v>26450439.073121924</v>
      </c>
      <c r="H41" s="36">
        <f t="shared" si="11"/>
        <v>25999.999999999996</v>
      </c>
      <c r="I41" s="9">
        <f t="shared" si="11"/>
        <v>27682656.073121924</v>
      </c>
      <c r="J41" s="9">
        <f t="shared" si="11"/>
        <v>0</v>
      </c>
      <c r="K41" s="9">
        <f t="shared" si="11"/>
        <v>912000</v>
      </c>
      <c r="L41" s="9">
        <f t="shared" si="11"/>
        <v>720000</v>
      </c>
      <c r="M41" s="9">
        <f t="shared" si="11"/>
        <v>32000</v>
      </c>
      <c r="N41" s="9">
        <f t="shared" si="11"/>
        <v>32000</v>
      </c>
      <c r="O41" s="9">
        <f t="shared" si="11"/>
        <v>128000</v>
      </c>
      <c r="P41" s="9">
        <f t="shared" si="11"/>
        <v>9000</v>
      </c>
      <c r="Q41" s="9">
        <f t="shared" si="11"/>
        <v>0</v>
      </c>
      <c r="R41" s="9">
        <f t="shared" si="11"/>
        <v>0</v>
      </c>
      <c r="S41" s="9">
        <f t="shared" si="11"/>
        <v>1000000</v>
      </c>
      <c r="T41" s="9">
        <f t="shared" si="11"/>
        <v>26000</v>
      </c>
      <c r="U41" s="9">
        <f t="shared" si="11"/>
        <v>0</v>
      </c>
      <c r="V41" s="9">
        <f t="shared" si="11"/>
        <v>1000000</v>
      </c>
      <c r="W41" s="9">
        <f t="shared" si="11"/>
        <v>0</v>
      </c>
      <c r="X41" s="9">
        <f t="shared" si="11"/>
        <v>0</v>
      </c>
      <c r="Y41" s="9">
        <f t="shared" si="11"/>
        <v>0</v>
      </c>
      <c r="Z41" s="9">
        <f t="shared" si="11"/>
        <v>0</v>
      </c>
      <c r="AA41" s="9">
        <f t="shared" si="11"/>
        <v>0</v>
      </c>
      <c r="AB41" s="9">
        <f t="shared" si="11"/>
        <v>0</v>
      </c>
      <c r="AC41" s="9">
        <f t="shared" si="11"/>
        <v>0</v>
      </c>
      <c r="AD41" s="9">
        <f t="shared" si="11"/>
        <v>0</v>
      </c>
      <c r="AE41" s="9">
        <f t="shared" si="11"/>
        <v>0</v>
      </c>
      <c r="AF41" s="9">
        <f t="shared" si="11"/>
        <v>27000</v>
      </c>
      <c r="AG41" s="9">
        <f t="shared" si="11"/>
        <v>0</v>
      </c>
      <c r="AH41" s="9">
        <f t="shared" si="11"/>
        <v>100000</v>
      </c>
      <c r="AI41" s="9">
        <f t="shared" si="11"/>
        <v>100000</v>
      </c>
      <c r="AJ41" s="9">
        <f t="shared" si="11"/>
        <v>0</v>
      </c>
      <c r="AK41" s="9">
        <f t="shared" si="11"/>
        <v>0</v>
      </c>
      <c r="AL41" s="9">
        <f t="shared" si="11"/>
        <v>0</v>
      </c>
    </row>
    <row r="44" spans="1:38" x14ac:dyDescent="0.35">
      <c r="G44" s="2"/>
    </row>
  </sheetData>
  <autoFilter ref="A5:V39" xr:uid="{00000000-0009-0000-0000-000007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44"/>
  <sheetViews>
    <sheetView workbookViewId="0">
      <pane xSplit="2" ySplit="5" topLeftCell="G36" activePane="bottomRight" state="frozen"/>
      <selection activeCell="B43" sqref="B43"/>
      <selection pane="topRight" activeCell="B43" sqref="B43"/>
      <selection pane="bottomLeft" activeCell="B43" sqref="B43"/>
      <selection pane="bottomRight" activeCell="A8" sqref="A8:XFD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2">
        <v>45368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VLOOKUP($A6,[29]HISTOMARS24!$A$6:$BA$38,48,0)</f>
        <v>0</v>
      </c>
      <c r="F6" s="36">
        <f>MVTFEV24!I6-E6+L6</f>
        <v>941790.32001346222</v>
      </c>
      <c r="G6" s="5">
        <f>IF(MVTFEV24!I6+L6&gt;700000,(MVTFEV24!I6-E6+L6),0)</f>
        <v>941790.32001346222</v>
      </c>
      <c r="H6" s="36">
        <f t="shared" ref="H6:H39" si="0">$T$41/$G$41*G6</f>
        <v>3213.4786841686214</v>
      </c>
      <c r="I6" s="6">
        <f>F6+H6</f>
        <v>945003.79869763087</v>
      </c>
      <c r="J6" s="36">
        <f>VLOOKUP($A6,[29]HISTOMARS24!$A$6:$AQ$42,22,0)</f>
        <v>0</v>
      </c>
      <c r="K6" s="36">
        <f>VLOOKUP($A6,[29]HISTOMARS24!$A$6:$AU$38,45,0)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VLOOKUP($A6,[29]HISTOMARS24!$A$6:$AU$38,7,0)</f>
        <v>0</v>
      </c>
      <c r="Q6" s="36">
        <f>VLOOKUP($A6,[29]HISTOMARS24!$A$6:$AU$38,23,0)</f>
        <v>0</v>
      </c>
      <c r="R6" s="36">
        <f>VLOOKUP($A6,[29]HISTOMARS24!$A$6:$AU$38,46,0)</f>
        <v>0</v>
      </c>
      <c r="S6" s="36">
        <f>VLOOKUP($A6,[29]HISTOMARS24!$A$6:$AU$38,26,0)</f>
        <v>0</v>
      </c>
      <c r="T6" s="36">
        <f>VLOOKUP($A6,[29]HISTOMARS24!$A$6:$BG$38,58,0)</f>
        <v>0</v>
      </c>
      <c r="U6" s="36">
        <f>VLOOKUP($A6,[29]HISTOMARS24!$A$6:$AU$38,28,0)</f>
        <v>0</v>
      </c>
      <c r="V6" s="36">
        <f>VLOOKUP($A6,[29]HISTOMARS24!$A$6:$AU$38,19,0)</f>
        <v>0</v>
      </c>
      <c r="W6" s="36">
        <f>VLOOKUP($A6,[29]HISTOMARS24!$A$6:$AU$38,20,0)</f>
        <v>0</v>
      </c>
      <c r="X6" s="36">
        <f>VLOOKUP($A6,[29]HISTOMARS24!$A$6:$AU$38,27,0)</f>
        <v>0</v>
      </c>
      <c r="Y6" s="36">
        <f>VLOOKUP($A6,[29]HISTOMARS24!$A$6:$BM$38,33,0)</f>
        <v>0</v>
      </c>
      <c r="Z6" s="36">
        <f>VLOOKUP($A6,[29]HISTOMARS24!$A$6:$BM$38,65,0)</f>
        <v>0</v>
      </c>
      <c r="AA6" s="36"/>
      <c r="AB6" s="36">
        <f>VLOOKUP($A6,[29]HISTOMARS24!$A$6:$AU$38,43,0)</f>
        <v>0</v>
      </c>
      <c r="AC6" s="36">
        <f>VLOOKUP($A6,[29]HISTOMARS24!$A$6:$AU$38,44,0)</f>
        <v>0</v>
      </c>
      <c r="AD6" s="36">
        <f>VLOOKUP($A6,[29]HISTOMARS24!$A$6:$AU$38,47,0)</f>
        <v>0</v>
      </c>
      <c r="AE6" s="36">
        <f>VLOOKUP(A6,[29]HISTOMARS24!$A$6:$BB$38,54,0)</f>
        <v>0</v>
      </c>
      <c r="AF6" s="36">
        <f>VLOOKUP($A6,[29]HISTOMARS24!$A$6:$CB$38,60,0)</f>
        <v>48000</v>
      </c>
      <c r="AG6" s="36">
        <f>VLOOKUP($A6,[29]HISTOMARS24!$A$6:$CB$38,61,0)</f>
        <v>0</v>
      </c>
      <c r="AH6" s="36">
        <f>VLOOKUP($A6,[29]HISTOMARS24!$A$6:$CB$38,62,0)</f>
        <v>0</v>
      </c>
      <c r="AI6" s="36">
        <f>VLOOKUP($A6,[29]HISTOMARS24!$A$6:$CB$38,63,0)</f>
        <v>0</v>
      </c>
      <c r="AJ6" s="36">
        <f>VLOOKUP($A6,[29]HISTOMARS24!$A$6:$CB$38,64,0)</f>
        <v>0</v>
      </c>
      <c r="AK6" s="36">
        <f>VLOOKUP($A6,[29]HISTOMARS24!$A$6:$CB$38,65,0)</f>
        <v>0</v>
      </c>
      <c r="AL6" s="36">
        <f>VLOOKUP($A6,[29]HISTOMARS24!$A$6:$CB$38,66,0)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VLOOKUP($A7,[29]HISTOMARS24!$A$6:$BA$38,48,0)</f>
        <v>0</v>
      </c>
      <c r="F7" s="36">
        <f>MVTFEV24!I7-E7+L7</f>
        <v>758186.28063400008</v>
      </c>
      <c r="G7" s="5">
        <f>IF(MVTFEV24!I7+L7&gt;700000,(MVTFEV24!I7-E7+L7),0)</f>
        <v>758186.28063400008</v>
      </c>
      <c r="H7" s="36">
        <f t="shared" si="0"/>
        <v>2587.0041342234449</v>
      </c>
      <c r="I7" s="6">
        <f t="shared" ref="I7:I39" si="2">F7+H7</f>
        <v>760773.28476822353</v>
      </c>
      <c r="J7" s="36">
        <f>VLOOKUP($A7,[29]HISTOMARS24!$A$6:$AQ$42,22,0)</f>
        <v>0</v>
      </c>
      <c r="K7" s="36">
        <f>VLOOKUP($A7,[29]HISTOMARS24!$A$6:$AU$38,45,0)</f>
        <v>47000</v>
      </c>
      <c r="L7" s="36">
        <f>IF(K7=0,0,K7-(M7+N7+O7))</f>
        <v>41000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VLOOKUP($A7,[29]HISTOMARS24!$A$6:$AU$38,7,0)</f>
        <v>0</v>
      </c>
      <c r="Q7" s="36">
        <f>VLOOKUP($A7,[29]HISTOMARS24!$A$6:$AU$38,23,0)</f>
        <v>0</v>
      </c>
      <c r="R7" s="36">
        <f>VLOOKUP($A7,[29]HISTOMARS24!$A$6:$AU$38,46,0)</f>
        <v>0</v>
      </c>
      <c r="S7" s="36">
        <f>VLOOKUP($A7,[29]HISTOMARS24!$A$6:$AU$38,26,0)</f>
        <v>0</v>
      </c>
      <c r="T7" s="36">
        <f>VLOOKUP($A7,[29]HISTOMARS24!$A$6:$BG$38,58,0)</f>
        <v>6000</v>
      </c>
      <c r="U7" s="36">
        <f>VLOOKUP($A7,[29]HISTOMARS24!$A$6:$AU$38,28,0)</f>
        <v>0</v>
      </c>
      <c r="V7" s="36">
        <f>VLOOKUP($A7,[29]HISTOMARS24!$A$6:$AU$38,19,0)</f>
        <v>0</v>
      </c>
      <c r="W7" s="36">
        <f>VLOOKUP($A7,[29]HISTOMARS24!$A$6:$AU$38,20,0)</f>
        <v>0</v>
      </c>
      <c r="X7" s="36">
        <f>VLOOKUP($A7,[29]HISTOMARS24!$A$6:$AU$38,27,0)</f>
        <v>0</v>
      </c>
      <c r="Y7" s="36">
        <f>VLOOKUP($A7,[29]HISTOMARS24!$A$6:$BM$38,33,0)</f>
        <v>0</v>
      </c>
      <c r="Z7" s="36">
        <f>VLOOKUP($A7,[29]HISTOMARS24!$A$6:$BM$38,65,0)</f>
        <v>0</v>
      </c>
      <c r="AA7" s="36"/>
      <c r="AB7" s="36">
        <f>VLOOKUP($A7,[29]HISTOMARS24!$A$6:$AU$38,43,0)</f>
        <v>0</v>
      </c>
      <c r="AC7" s="36">
        <f>VLOOKUP($A7,[29]HISTOMARS24!$A$6:$AU$38,44,0)</f>
        <v>0</v>
      </c>
      <c r="AD7" s="36">
        <f>VLOOKUP($A7,[29]HISTOMARS24!$A$6:$AU$38,47,0)</f>
        <v>0</v>
      </c>
      <c r="AE7" s="36">
        <f>VLOOKUP(A7,[29]HISTOMARS24!$A$6:$BB$38,54,0)</f>
        <v>0</v>
      </c>
      <c r="AF7" s="36">
        <f>VLOOKUP($A7,[29]HISTOMARS24!$A$6:$CB$38,60,0)</f>
        <v>0</v>
      </c>
      <c r="AG7" s="36">
        <f>VLOOKUP($A7,[29]HISTOMARS24!$A$6:$CB$38,61,0)</f>
        <v>0</v>
      </c>
      <c r="AH7" s="36">
        <f>VLOOKUP($A7,[29]HISTOMARS24!$A$6:$CB$38,62,0)</f>
        <v>0</v>
      </c>
      <c r="AI7" s="36">
        <f>VLOOKUP($A7,[29]HISTOMARS24!$A$6:$CB$38,63,0)</f>
        <v>0</v>
      </c>
      <c r="AJ7" s="36">
        <f>VLOOKUP($A7,[29]HISTOMARS24!$A$6:$CB$38,64,0)</f>
        <v>0</v>
      </c>
      <c r="AK7" s="36">
        <f>VLOOKUP($A7,[29]HISTOMARS24!$A$6:$CB$38,65,0)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VLOOKUP($A8,[29]HISTOMARS24!$A$6:$BA$38,48,0)</f>
        <v>0</v>
      </c>
      <c r="F8" s="36">
        <f>MVTFEV24!I8-E8+L8</f>
        <v>797850.59805151948</v>
      </c>
      <c r="G8" s="5">
        <f>IF(MVTFEV24!I8+L8&gt;700000,(MVTFEV24!I8-E8+L8),0)</f>
        <v>797850.59805151948</v>
      </c>
      <c r="H8" s="36">
        <f t="shared" si="0"/>
        <v>2722.342580409083</v>
      </c>
      <c r="I8" s="6">
        <f t="shared" si="2"/>
        <v>800572.94063192862</v>
      </c>
      <c r="J8" s="36">
        <f>VLOOKUP($A8,[29]HISTOMARS24!$A$6:$AQ$42,22,0)</f>
        <v>0</v>
      </c>
      <c r="K8" s="36">
        <f>VLOOKUP($A8,[29]HISTOMARS24!$A$6:$AU$38,45,0)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VLOOKUP($A8,[29]HISTOMARS24!$A$6:$AU$38,7,0)</f>
        <v>0</v>
      </c>
      <c r="Q8" s="36">
        <f>VLOOKUP($A8,[29]HISTOMARS24!$A$6:$AU$38,23,0)</f>
        <v>0</v>
      </c>
      <c r="R8" s="36">
        <f>VLOOKUP($A8,[29]HISTOMARS24!$A$6:$AU$38,46,0)</f>
        <v>0</v>
      </c>
      <c r="S8" s="36">
        <f>VLOOKUP($A8,[29]HISTOMARS24!$A$6:$AU$38,26,0)</f>
        <v>0</v>
      </c>
      <c r="T8" s="36">
        <f>VLOOKUP($A8,[29]HISTOMARS24!$A$6:$BG$38,58,0)</f>
        <v>25000</v>
      </c>
      <c r="U8" s="36">
        <f>VLOOKUP($A8,[29]HISTOMARS24!$A$6:$AU$38,28,0)</f>
        <v>0</v>
      </c>
      <c r="V8" s="36">
        <f>VLOOKUP($A8,[29]HISTOMARS24!$A$6:$AU$38,19,0)</f>
        <v>0</v>
      </c>
      <c r="W8" s="36">
        <f>VLOOKUP($A8,[29]HISTOMARS24!$A$6:$AU$38,20,0)</f>
        <v>0</v>
      </c>
      <c r="X8" s="36">
        <f>VLOOKUP($A8,[29]HISTOMARS24!$A$6:$AU$38,27,0)</f>
        <v>0</v>
      </c>
      <c r="Y8" s="36">
        <f>VLOOKUP($A8,[29]HISTOMARS24!$A$6:$BM$38,33,0)</f>
        <v>0</v>
      </c>
      <c r="Z8" s="36">
        <f>VLOOKUP($A8,[29]HISTOMARS24!$A$6:$BM$38,65,0)</f>
        <v>0</v>
      </c>
      <c r="AA8" s="36"/>
      <c r="AB8" s="36">
        <f>VLOOKUP($A8,[29]HISTOMARS24!$A$6:$AU$38,43,0)</f>
        <v>0</v>
      </c>
      <c r="AC8" s="36">
        <f>VLOOKUP($A8,[29]HISTOMARS24!$A$6:$AU$38,44,0)</f>
        <v>0</v>
      </c>
      <c r="AD8" s="36">
        <f>VLOOKUP($A8,[29]HISTOMARS24!$A$6:$AU$38,47,0)</f>
        <v>0</v>
      </c>
      <c r="AE8" s="36">
        <f>VLOOKUP(A8,[29]HISTOMARS24!$A$6:$BB$38,54,0)</f>
        <v>0</v>
      </c>
      <c r="AF8" s="36">
        <f>VLOOKUP($A8,[29]HISTOMARS24!$A$6:$CB$38,60,0)</f>
        <v>0</v>
      </c>
      <c r="AG8" s="36">
        <f>VLOOKUP($A8,[29]HISTOMARS24!$A$6:$CB$38,61,0)</f>
        <v>0</v>
      </c>
      <c r="AH8" s="36">
        <f>VLOOKUP($A8,[29]HISTOMARS24!$A$6:$CB$38,62,0)</f>
        <v>0</v>
      </c>
      <c r="AI8" s="36">
        <f>VLOOKUP($A8,[29]HISTOMARS24!$A$6:$CB$38,63,0)</f>
        <v>0</v>
      </c>
      <c r="AJ8" s="36">
        <f>VLOOKUP($A8,[29]HISTOMARS24!$A$6:$CB$38,64,0)</f>
        <v>0</v>
      </c>
      <c r="AK8" s="36">
        <f>VLOOKUP($A8,[29]HISTOMARS24!$A$6:$CB$38,65,0)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VLOOKUP($A9,[29]HISTOMARS24!$A$6:$BA$38,48,0)</f>
        <v>0</v>
      </c>
      <c r="F9" s="36">
        <f>MVTFEV24!I9-E9+L9</f>
        <v>857502.58098785905</v>
      </c>
      <c r="G9" s="5">
        <f>IF(MVTFEV24!I9+L9&gt;700000,(MVTFEV24!I9-E9+L9),0)</f>
        <v>857502.58098785905</v>
      </c>
      <c r="H9" s="36">
        <f t="shared" si="0"/>
        <v>2925.8808538026524</v>
      </c>
      <c r="I9" s="6">
        <f t="shared" si="2"/>
        <v>860428.46184166172</v>
      </c>
      <c r="J9" s="36">
        <f>VLOOKUP($A9,[29]HISTOMARS24!$A$6:$AQ$42,22,0)</f>
        <v>0</v>
      </c>
      <c r="K9" s="36">
        <f>VLOOKUP($A9,[29]HISTOMARS24!$A$6:$AU$38,45,0)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VLOOKUP($A9,[29]HISTOMARS24!$A$6:$AU$38,7,0)</f>
        <v>0</v>
      </c>
      <c r="Q9" s="36">
        <f>VLOOKUP($A9,[29]HISTOMARS24!$A$6:$AU$38,23,0)</f>
        <v>0</v>
      </c>
      <c r="R9" s="36">
        <f>VLOOKUP($A9,[29]HISTOMARS24!$A$6:$AU$38,46,0)</f>
        <v>0</v>
      </c>
      <c r="S9" s="36">
        <f>VLOOKUP($A9,[29]HISTOMARS24!$A$6:$AU$38,26,0)</f>
        <v>0</v>
      </c>
      <c r="T9" s="36">
        <f>VLOOKUP($A9,[29]HISTOMARS24!$A$6:$BG$38,58,0)</f>
        <v>0</v>
      </c>
      <c r="U9" s="36">
        <f>VLOOKUP($A9,[29]HISTOMARS24!$A$6:$AU$38,28,0)</f>
        <v>0</v>
      </c>
      <c r="V9" s="36">
        <f>VLOOKUP($A9,[29]HISTOMARS24!$A$6:$AU$38,19,0)</f>
        <v>0</v>
      </c>
      <c r="W9" s="36">
        <f>VLOOKUP($A9,[29]HISTOMARS24!$A$6:$AU$38,20,0)</f>
        <v>0</v>
      </c>
      <c r="X9" s="36">
        <f>VLOOKUP($A9,[29]HISTOMARS24!$A$6:$AU$38,27,0)</f>
        <v>0</v>
      </c>
      <c r="Y9" s="36">
        <f>VLOOKUP($A9,[29]HISTOMARS24!$A$6:$BM$38,33,0)</f>
        <v>0</v>
      </c>
      <c r="Z9" s="36">
        <f>VLOOKUP($A9,[29]HISTOMARS24!$A$6:$BM$38,65,0)</f>
        <v>0</v>
      </c>
      <c r="AA9" s="36"/>
      <c r="AB9" s="36">
        <f>VLOOKUP($A9,[29]HISTOMARS24!$A$6:$AU$38,43,0)</f>
        <v>0</v>
      </c>
      <c r="AC9" s="36">
        <f>VLOOKUP($A9,[29]HISTOMARS24!$A$6:$AU$38,44,0)</f>
        <v>0</v>
      </c>
      <c r="AD9" s="36">
        <f>VLOOKUP($A9,[29]HISTOMARS24!$A$6:$AU$38,47,0)</f>
        <v>0</v>
      </c>
      <c r="AE9" s="36">
        <f>VLOOKUP(A9,[29]HISTOMARS24!$A$6:$BB$38,54,0)</f>
        <v>0</v>
      </c>
      <c r="AF9" s="36">
        <f>VLOOKUP($A9,[29]HISTOMARS24!$A$6:$CB$38,60,0)</f>
        <v>0</v>
      </c>
      <c r="AG9" s="36">
        <f>VLOOKUP($A9,[29]HISTOMARS24!$A$6:$CB$38,61,0)</f>
        <v>0</v>
      </c>
      <c r="AH9" s="36">
        <f>VLOOKUP($A9,[29]HISTOMARS24!$A$6:$CB$38,62,0)</f>
        <v>0</v>
      </c>
      <c r="AI9" s="36">
        <f>VLOOKUP($A9,[29]HISTOMARS24!$A$6:$CB$38,63,0)</f>
        <v>0</v>
      </c>
      <c r="AJ9" s="36">
        <f>VLOOKUP($A9,[29]HISTOMARS24!$A$6:$CB$38,64,0)</f>
        <v>0</v>
      </c>
      <c r="AK9" s="36">
        <f>VLOOKUP($A9,[29]HISTOMARS24!$A$6:$CB$38,65,0)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VLOOKUP($A10,[29]HISTOMARS24!$A$6:$BA$38,48,0)</f>
        <v>0</v>
      </c>
      <c r="F10" s="36">
        <f>MVTFEV24!I10-E10+L10</f>
        <v>795131.40556600061</v>
      </c>
      <c r="G10" s="5">
        <f>IF(MVTFEV24!I10+L10&gt;700000,(MVTFEV24!I10-E10+L10),0)</f>
        <v>795131.40556600061</v>
      </c>
      <c r="H10" s="36">
        <f t="shared" si="0"/>
        <v>2713.0644354710021</v>
      </c>
      <c r="I10" s="6">
        <f t="shared" si="2"/>
        <v>797844.47000147158</v>
      </c>
      <c r="J10" s="36">
        <f>VLOOKUP($A10,[29]HISTOMARS24!$A$6:$AQ$42,22,0)</f>
        <v>0</v>
      </c>
      <c r="K10" s="36">
        <f>VLOOKUP($A10,[29]HISTOMARS24!$A$6:$AU$38,45,0)</f>
        <v>19000</v>
      </c>
      <c r="L10" s="36">
        <f t="shared" si="3"/>
        <v>13000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VLOOKUP($A10,[29]HISTOMARS24!$A$6:$AU$38,7,0)</f>
        <v>0</v>
      </c>
      <c r="Q10" s="36">
        <f>VLOOKUP($A10,[29]HISTOMARS24!$A$6:$AU$38,23,0)</f>
        <v>0</v>
      </c>
      <c r="R10" s="36">
        <f>VLOOKUP($A10,[29]HISTOMARS24!$A$6:$AU$38,46,0)</f>
        <v>0</v>
      </c>
      <c r="S10" s="36">
        <f>VLOOKUP($A10,[29]HISTOMARS24!$A$6:$AU$38,26,0)</f>
        <v>0</v>
      </c>
      <c r="T10" s="36">
        <f>VLOOKUP($A10,[29]HISTOMARS24!$A$6:$BG$38,58,0)</f>
        <v>0</v>
      </c>
      <c r="U10" s="36">
        <f>VLOOKUP($A10,[29]HISTOMARS24!$A$6:$AU$38,28,0)</f>
        <v>0</v>
      </c>
      <c r="V10" s="36">
        <f>VLOOKUP($A10,[29]HISTOMARS24!$A$6:$AU$38,19,0)</f>
        <v>0</v>
      </c>
      <c r="W10" s="36">
        <f>VLOOKUP($A10,[29]HISTOMARS24!$A$6:$AU$38,20,0)</f>
        <v>0</v>
      </c>
      <c r="X10" s="36">
        <f>VLOOKUP($A10,[29]HISTOMARS24!$A$6:$AU$38,27,0)</f>
        <v>0</v>
      </c>
      <c r="Y10" s="36">
        <f>VLOOKUP($A10,[29]HISTOMARS24!$A$6:$BM$38,33,0)</f>
        <v>0</v>
      </c>
      <c r="Z10" s="36">
        <f>VLOOKUP($A10,[29]HISTOMARS24!$A$6:$BM$38,65,0)</f>
        <v>0</v>
      </c>
      <c r="AA10" s="36"/>
      <c r="AB10" s="36">
        <f>VLOOKUP($A10,[29]HISTOMARS24!$A$6:$AU$38,43,0)</f>
        <v>0</v>
      </c>
      <c r="AC10" s="36">
        <f>VLOOKUP($A10,[29]HISTOMARS24!$A$6:$AU$38,44,0)</f>
        <v>0</v>
      </c>
      <c r="AD10" s="36">
        <f>VLOOKUP($A10,[29]HISTOMARS24!$A$6:$AU$38,47,0)</f>
        <v>0</v>
      </c>
      <c r="AE10" s="36">
        <f>VLOOKUP(A10,[29]HISTOMARS24!$A$6:$BB$38,54,0)</f>
        <v>0</v>
      </c>
      <c r="AF10" s="36">
        <f>VLOOKUP($A10,[29]HISTOMARS24!$A$6:$CB$38,60,0)</f>
        <v>0</v>
      </c>
      <c r="AG10" s="36">
        <f>VLOOKUP($A10,[29]HISTOMARS24!$A$6:$CB$38,61,0)</f>
        <v>0</v>
      </c>
      <c r="AH10" s="36">
        <f>VLOOKUP($A10,[29]HISTOMARS24!$A$6:$CB$38,62,0)</f>
        <v>0</v>
      </c>
      <c r="AI10" s="36">
        <f>VLOOKUP($A10,[29]HISTOMARS24!$A$6:$CB$38,63,0)</f>
        <v>0</v>
      </c>
      <c r="AJ10" s="36">
        <f>VLOOKUP($A10,[29]HISTOMARS24!$A$6:$CB$38,64,0)</f>
        <v>0</v>
      </c>
      <c r="AK10" s="36">
        <f>VLOOKUP($A10,[29]HISTOMARS24!$A$6:$CB$38,65,0)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VLOOKUP($A11,[29]HISTOMARS24!$A$6:$BA$38,48,0)</f>
        <v>0</v>
      </c>
      <c r="F11" s="36">
        <f>MVTFEV24!I11-E11+L11</f>
        <v>803152.07294801576</v>
      </c>
      <c r="G11" s="5">
        <f>IF(MVTFEV24!I11+L11&gt;700000,(MVTFEV24!I11-E11+L11),0)</f>
        <v>803152.07294801576</v>
      </c>
      <c r="H11" s="36">
        <f t="shared" si="0"/>
        <v>2740.4317200110936</v>
      </c>
      <c r="I11" s="6">
        <f t="shared" si="2"/>
        <v>805892.50466802681</v>
      </c>
      <c r="J11" s="36">
        <f>VLOOKUP($A11,[29]HISTOMARS24!$A$6:$AQ$42,22,0)</f>
        <v>0</v>
      </c>
      <c r="K11" s="36">
        <f>VLOOKUP($A11,[29]HISTOMARS24!$A$6:$AU$38,45,0)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VLOOKUP($A11,[29]HISTOMARS24!$A$6:$AU$38,7,0)</f>
        <v>0</v>
      </c>
      <c r="Q11" s="36">
        <f>VLOOKUP($A11,[29]HISTOMARS24!$A$6:$AU$38,23,0)</f>
        <v>0</v>
      </c>
      <c r="R11" s="36">
        <f>VLOOKUP($A11,[29]HISTOMARS24!$A$6:$AU$38,46,0)</f>
        <v>0</v>
      </c>
      <c r="S11" s="36">
        <f>VLOOKUP($A11,[29]HISTOMARS24!$A$6:$AU$38,26,0)</f>
        <v>0</v>
      </c>
      <c r="T11" s="36">
        <f>VLOOKUP($A11,[29]HISTOMARS24!$A$6:$BG$38,58,0)</f>
        <v>0</v>
      </c>
      <c r="U11" s="36">
        <f>VLOOKUP($A11,[29]HISTOMARS24!$A$6:$AU$38,28,0)</f>
        <v>0</v>
      </c>
      <c r="V11" s="36">
        <f>VLOOKUP($A11,[29]HISTOMARS24!$A$6:$AU$38,19,0)</f>
        <v>0</v>
      </c>
      <c r="W11" s="36">
        <f>VLOOKUP($A11,[29]HISTOMARS24!$A$6:$AU$38,20,0)</f>
        <v>0</v>
      </c>
      <c r="X11" s="36">
        <f>VLOOKUP($A11,[29]HISTOMARS24!$A$6:$AU$38,27,0)</f>
        <v>0</v>
      </c>
      <c r="Y11" s="36">
        <f>VLOOKUP($A11,[29]HISTOMARS24!$A$6:$BM$38,33,0)</f>
        <v>0</v>
      </c>
      <c r="Z11" s="36">
        <f>VLOOKUP($A11,[29]HISTOMARS24!$A$6:$BM$38,65,0)</f>
        <v>0</v>
      </c>
      <c r="AA11" s="36"/>
      <c r="AB11" s="36">
        <f>VLOOKUP($A11,[29]HISTOMARS24!$A$6:$AU$38,43,0)</f>
        <v>0</v>
      </c>
      <c r="AC11" s="36">
        <f>VLOOKUP($A11,[29]HISTOMARS24!$A$6:$AU$38,44,0)</f>
        <v>0</v>
      </c>
      <c r="AD11" s="36">
        <f>VLOOKUP($A11,[29]HISTOMARS24!$A$6:$AU$38,47,0)</f>
        <v>0</v>
      </c>
      <c r="AE11" s="36">
        <f>VLOOKUP(A11,[29]HISTOMARS24!$A$6:$BB$38,54,0)</f>
        <v>0</v>
      </c>
      <c r="AF11" s="36">
        <f>VLOOKUP($A11,[29]HISTOMARS24!$A$6:$CB$38,60,0)</f>
        <v>0</v>
      </c>
      <c r="AG11" s="36">
        <f>VLOOKUP($A11,[29]HISTOMARS24!$A$6:$CB$38,61,0)</f>
        <v>0</v>
      </c>
      <c r="AH11" s="36">
        <f>VLOOKUP($A11,[29]HISTOMARS24!$A$6:$CB$38,62,0)</f>
        <v>0</v>
      </c>
      <c r="AI11" s="36">
        <f>VLOOKUP($A11,[29]HISTOMARS24!$A$6:$CB$38,63,0)</f>
        <v>0</v>
      </c>
      <c r="AJ11" s="36">
        <f>VLOOKUP($A11,[29]HISTOMARS24!$A$6:$CB$38,64,0)</f>
        <v>0</v>
      </c>
      <c r="AK11" s="36">
        <f>VLOOKUP($A11,[29]HISTOMARS24!$A$6:$CB$38,65,0)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VLOOKUP($A12,[29]HISTOMARS24!$A$6:$BA$38,48,0)</f>
        <v>0</v>
      </c>
      <c r="F12" s="36">
        <f>MVTFEV24!I12-E12+L12</f>
        <v>831283.62280298641</v>
      </c>
      <c r="G12" s="5">
        <f>IF(MVTFEV24!I12+L12&gt;700000,(MVTFEV24!I12-E12+L12),0)</f>
        <v>831283.62280298641</v>
      </c>
      <c r="H12" s="36">
        <f t="shared" si="0"/>
        <v>2836.4192597962578</v>
      </c>
      <c r="I12" s="6">
        <f t="shared" si="2"/>
        <v>834120.04206278268</v>
      </c>
      <c r="J12" s="36">
        <f>VLOOKUP($A12,[29]HISTOMARS24!$A$6:$AQ$42,22,0)</f>
        <v>0</v>
      </c>
      <c r="K12" s="36">
        <f>VLOOKUP($A12,[29]HISTOMARS24!$A$6:$AU$38,45,0)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VLOOKUP($A12,[29]HISTOMARS24!$A$6:$AU$38,7,0)</f>
        <v>0</v>
      </c>
      <c r="Q12" s="36">
        <f>VLOOKUP($A12,[29]HISTOMARS24!$A$6:$AU$38,23,0)</f>
        <v>0</v>
      </c>
      <c r="R12" s="36">
        <f>VLOOKUP($A12,[29]HISTOMARS24!$A$6:$AU$38,46,0)</f>
        <v>0</v>
      </c>
      <c r="S12" s="36">
        <f>VLOOKUP($A12,[29]HISTOMARS24!$A$6:$AU$38,26,0)</f>
        <v>0</v>
      </c>
      <c r="T12" s="36">
        <f>VLOOKUP($A12,[29]HISTOMARS24!$A$6:$BG$38,58,0)</f>
        <v>0</v>
      </c>
      <c r="U12" s="36">
        <f>VLOOKUP($A12,[29]HISTOMARS24!$A$6:$AU$38,28,0)</f>
        <v>0</v>
      </c>
      <c r="V12" s="36">
        <f>VLOOKUP($A12,[29]HISTOMARS24!$A$6:$AU$38,19,0)</f>
        <v>0</v>
      </c>
      <c r="W12" s="36">
        <f>VLOOKUP($A12,[29]HISTOMARS24!$A$6:$AU$38,20,0)</f>
        <v>0</v>
      </c>
      <c r="X12" s="36">
        <f>VLOOKUP($A12,[29]HISTOMARS24!$A$6:$AU$38,27,0)</f>
        <v>0</v>
      </c>
      <c r="Y12" s="36">
        <f>VLOOKUP($A12,[29]HISTOMARS24!$A$6:$BM$38,33,0)</f>
        <v>0</v>
      </c>
      <c r="Z12" s="36">
        <f>VLOOKUP($A12,[29]HISTOMARS24!$A$6:$BM$38,65,0)</f>
        <v>0</v>
      </c>
      <c r="AA12" s="36"/>
      <c r="AB12" s="36">
        <f>VLOOKUP($A12,[29]HISTOMARS24!$A$6:$AU$38,43,0)</f>
        <v>0</v>
      </c>
      <c r="AC12" s="36">
        <f>VLOOKUP($A12,[29]HISTOMARS24!$A$6:$AU$38,44,0)</f>
        <v>0</v>
      </c>
      <c r="AD12" s="36">
        <f>VLOOKUP($A12,[29]HISTOMARS24!$A$6:$AU$38,47,0)</f>
        <v>0</v>
      </c>
      <c r="AE12" s="36">
        <f>VLOOKUP(A12,[29]HISTOMARS24!$A$6:$BB$38,54,0)</f>
        <v>0</v>
      </c>
      <c r="AF12" s="36">
        <f>VLOOKUP($A12,[29]HISTOMARS24!$A$6:$CB$38,60,0)</f>
        <v>0</v>
      </c>
      <c r="AG12" s="36">
        <f>VLOOKUP($A12,[29]HISTOMARS24!$A$6:$CB$38,61,0)</f>
        <v>0</v>
      </c>
      <c r="AH12" s="36">
        <f>VLOOKUP($A12,[29]HISTOMARS24!$A$6:$CB$38,62,0)</f>
        <v>0</v>
      </c>
      <c r="AI12" s="36">
        <f>VLOOKUP($A12,[29]HISTOMARS24!$A$6:$CB$38,63,0)</f>
        <v>0</v>
      </c>
      <c r="AJ12" s="36">
        <f>VLOOKUP($A12,[29]HISTOMARS24!$A$6:$CB$38,64,0)</f>
        <v>0</v>
      </c>
      <c r="AK12" s="36">
        <f>VLOOKUP($A12,[29]HISTOMARS24!$A$6:$CB$38,65,0)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VLOOKUP($A13,[29]HISTOMARS24!$A$6:$BA$38,48,0)</f>
        <v>0</v>
      </c>
      <c r="F13" s="36">
        <f>MVTFEV24!I13-E13+L13</f>
        <v>800862.16206545406</v>
      </c>
      <c r="G13" s="5">
        <f>IF(MVTFEV24!I13+L13&gt;700000,(MVTFEV24!I13-E13+L13),0)</f>
        <v>800862.16206545406</v>
      </c>
      <c r="H13" s="36">
        <f t="shared" si="0"/>
        <v>2732.6183249767801</v>
      </c>
      <c r="I13" s="6">
        <f t="shared" si="2"/>
        <v>803594.78039043082</v>
      </c>
      <c r="J13" s="36">
        <f>VLOOKUP($A13,[29]HISTOMARS24!$A$6:$AQ$42,22,0)</f>
        <v>0</v>
      </c>
      <c r="K13" s="36">
        <f>VLOOKUP($A13,[29]HISTOMARS24!$A$6:$AU$38,45,0)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VLOOKUP($A13,[29]HISTOMARS24!$A$6:$AU$38,7,0)</f>
        <v>0</v>
      </c>
      <c r="Q13" s="36">
        <f>VLOOKUP($A13,[29]HISTOMARS24!$A$6:$AU$38,23,0)</f>
        <v>0</v>
      </c>
      <c r="R13" s="36">
        <f>VLOOKUP($A13,[29]HISTOMARS24!$A$6:$AU$38,46,0)</f>
        <v>0</v>
      </c>
      <c r="S13" s="36">
        <f>VLOOKUP($A13,[29]HISTOMARS24!$A$6:$AU$38,26,0)</f>
        <v>0</v>
      </c>
      <c r="T13" s="36">
        <f>VLOOKUP($A13,[29]HISTOMARS24!$A$6:$BG$38,58,0)</f>
        <v>0</v>
      </c>
      <c r="U13" s="36">
        <f>VLOOKUP($A13,[29]HISTOMARS24!$A$6:$AU$38,28,0)</f>
        <v>0</v>
      </c>
      <c r="V13" s="36">
        <f>VLOOKUP($A13,[29]HISTOMARS24!$A$6:$AU$38,19,0)</f>
        <v>0</v>
      </c>
      <c r="W13" s="36">
        <f>VLOOKUP($A13,[29]HISTOMARS24!$A$6:$AU$38,20,0)</f>
        <v>0</v>
      </c>
      <c r="X13" s="36">
        <f>VLOOKUP($A13,[29]HISTOMARS24!$A$6:$AU$38,27,0)</f>
        <v>0</v>
      </c>
      <c r="Y13" s="36">
        <f>VLOOKUP($A13,[29]HISTOMARS24!$A$6:$BM$38,33,0)</f>
        <v>0</v>
      </c>
      <c r="Z13" s="36">
        <f>VLOOKUP($A13,[29]HISTOMARS24!$A$6:$BM$38,65,0)</f>
        <v>0</v>
      </c>
      <c r="AA13" s="36"/>
      <c r="AB13" s="36">
        <f>VLOOKUP($A13,[29]HISTOMARS24!$A$6:$AU$38,43,0)</f>
        <v>0</v>
      </c>
      <c r="AC13" s="36">
        <f>VLOOKUP($A13,[29]HISTOMARS24!$A$6:$AU$38,44,0)</f>
        <v>0</v>
      </c>
      <c r="AD13" s="36">
        <f>VLOOKUP($A13,[29]HISTOMARS24!$A$6:$AU$38,47,0)</f>
        <v>0</v>
      </c>
      <c r="AE13" s="36">
        <f>VLOOKUP(A13,[29]HISTOMARS24!$A$6:$BB$38,54,0)</f>
        <v>0</v>
      </c>
      <c r="AF13" s="36">
        <f>VLOOKUP($A13,[29]HISTOMARS24!$A$6:$CB$38,60,0)</f>
        <v>0</v>
      </c>
      <c r="AG13" s="36">
        <f>VLOOKUP($A13,[29]HISTOMARS24!$A$6:$CB$38,61,0)</f>
        <v>0</v>
      </c>
      <c r="AH13" s="36">
        <f>VLOOKUP($A13,[29]HISTOMARS24!$A$6:$CB$38,62,0)</f>
        <v>0</v>
      </c>
      <c r="AI13" s="36">
        <f>VLOOKUP($A13,[29]HISTOMARS24!$A$6:$CB$38,63,0)</f>
        <v>0</v>
      </c>
      <c r="AJ13" s="36">
        <f>VLOOKUP($A13,[29]HISTOMARS24!$A$6:$CB$38,64,0)</f>
        <v>0</v>
      </c>
      <c r="AK13" s="36">
        <f>VLOOKUP($A13,[29]HISTOMARS24!$A$6:$CB$38,65,0)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VLOOKUP($A14,[29]HISTOMARS24!$A$6:$BA$38,48,0)</f>
        <v>0</v>
      </c>
      <c r="F14" s="36">
        <f>MVTFEV24!I14-E14+L14</f>
        <v>1351144.4191307833</v>
      </c>
      <c r="G14" s="5">
        <f>IF(MVTFEV24!I14+L14&gt;700000,(MVTFEV24!I14-E14+L14),0)</f>
        <v>1351144.4191307833</v>
      </c>
      <c r="H14" s="36">
        <f t="shared" si="0"/>
        <v>4610.2340381329277</v>
      </c>
      <c r="I14" s="6">
        <f t="shared" si="2"/>
        <v>1355754.6531689162</v>
      </c>
      <c r="J14" s="36">
        <f>VLOOKUP($A14,[29]HISTOMARS24!$A$6:$AQ$42,22,0)</f>
        <v>0</v>
      </c>
      <c r="K14" s="36">
        <f>VLOOKUP($A14,[29]HISTOMARS24!$A$6:$AU$38,45,0)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VLOOKUP($A14,[29]HISTOMARS24!$A$6:$AU$38,7,0)</f>
        <v>0</v>
      </c>
      <c r="Q14" s="36">
        <f>VLOOKUP($A14,[29]HISTOMARS24!$A$6:$AU$38,23,0)</f>
        <v>0</v>
      </c>
      <c r="R14" s="36">
        <f>VLOOKUP($A14,[29]HISTOMARS24!$A$6:$AU$38,46,0)</f>
        <v>0</v>
      </c>
      <c r="S14" s="36">
        <f>VLOOKUP($A14,[29]HISTOMARS24!$A$6:$AU$38,26,0)</f>
        <v>0</v>
      </c>
      <c r="T14" s="36">
        <f>VLOOKUP($A14,[29]HISTOMARS24!$A$6:$BG$38,58,0)</f>
        <v>0</v>
      </c>
      <c r="U14" s="36">
        <f>VLOOKUP($A14,[29]HISTOMARS24!$A$6:$AU$38,28,0)</f>
        <v>0</v>
      </c>
      <c r="V14" s="36">
        <f>VLOOKUP($A14,[29]HISTOMARS24!$A$6:$AU$38,19,0)</f>
        <v>0</v>
      </c>
      <c r="W14" s="36">
        <f>VLOOKUP($A14,[29]HISTOMARS24!$A$6:$AU$38,20,0)</f>
        <v>0</v>
      </c>
      <c r="X14" s="36">
        <f>VLOOKUP($A14,[29]HISTOMARS24!$A$6:$AU$38,27,0)</f>
        <v>0</v>
      </c>
      <c r="Y14" s="36">
        <f>VLOOKUP($A14,[29]HISTOMARS24!$A$6:$BM$38,33,0)</f>
        <v>0</v>
      </c>
      <c r="Z14" s="36">
        <f>VLOOKUP($A14,[29]HISTOMARS24!$A$6:$BM$38,65,0)</f>
        <v>0</v>
      </c>
      <c r="AA14" s="36"/>
      <c r="AB14" s="36">
        <f>VLOOKUP($A14,[29]HISTOMARS24!$A$6:$AU$38,43,0)</f>
        <v>0</v>
      </c>
      <c r="AC14" s="36">
        <f>VLOOKUP($A14,[29]HISTOMARS24!$A$6:$AU$38,44,0)</f>
        <v>0</v>
      </c>
      <c r="AD14" s="36">
        <f>VLOOKUP($A14,[29]HISTOMARS24!$A$6:$AU$38,47,0)</f>
        <v>0</v>
      </c>
      <c r="AE14" s="36">
        <f>VLOOKUP(A14,[29]HISTOMARS24!$A$6:$BB$38,54,0)</f>
        <v>0</v>
      </c>
      <c r="AF14" s="36">
        <f>VLOOKUP($A14,[29]HISTOMARS24!$A$6:$CB$38,60,0)</f>
        <v>0</v>
      </c>
      <c r="AG14" s="36">
        <f>VLOOKUP($A14,[29]HISTOMARS24!$A$6:$CB$38,61,0)</f>
        <v>0</v>
      </c>
      <c r="AH14" s="36">
        <f>VLOOKUP($A14,[29]HISTOMARS24!$A$6:$CB$38,62,0)</f>
        <v>0</v>
      </c>
      <c r="AI14" s="36">
        <f>VLOOKUP($A14,[29]HISTOMARS24!$A$6:$CB$38,63,0)</f>
        <v>0</v>
      </c>
      <c r="AJ14" s="36">
        <f>VLOOKUP($A14,[29]HISTOMARS24!$A$6:$CB$38,64,0)</f>
        <v>0</v>
      </c>
      <c r="AK14" s="36">
        <f>VLOOKUP($A14,[29]HISTOMARS24!$A$6:$CB$38,65,0)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VLOOKUP($A15,[29]HISTOMARS24!$A$6:$BA$38,48,0)</f>
        <v>0</v>
      </c>
      <c r="F15" s="36">
        <f>MVTFEV24!I15-E15+L15</f>
        <v>862327.49879354716</v>
      </c>
      <c r="G15" s="5">
        <f>IF(MVTFEV24!I15+L15&gt;700000,(MVTFEV24!I15-E15+L15),0)</f>
        <v>862327.49879354716</v>
      </c>
      <c r="H15" s="36">
        <f t="shared" si="0"/>
        <v>2942.3439350129402</v>
      </c>
      <c r="I15" s="6">
        <f t="shared" si="2"/>
        <v>865269.84272856009</v>
      </c>
      <c r="J15" s="36">
        <f>VLOOKUP($A15,[29]HISTOMARS24!$A$6:$AQ$42,22,0)</f>
        <v>0</v>
      </c>
      <c r="K15" s="36">
        <f>VLOOKUP($A15,[29]HISTOMARS24!$A$6:$AU$38,45,0)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VLOOKUP($A15,[29]HISTOMARS24!$A$6:$AU$38,7,0)</f>
        <v>0</v>
      </c>
      <c r="Q15" s="36">
        <f>VLOOKUP($A15,[29]HISTOMARS24!$A$6:$AU$38,23,0)</f>
        <v>0</v>
      </c>
      <c r="R15" s="36">
        <f>VLOOKUP($A15,[29]HISTOMARS24!$A$6:$AU$38,46,0)</f>
        <v>0</v>
      </c>
      <c r="S15" s="36">
        <f>VLOOKUP($A15,[29]HISTOMARS24!$A$6:$AU$38,26,0)</f>
        <v>0</v>
      </c>
      <c r="T15" s="36">
        <f>VLOOKUP($A15,[29]HISTOMARS24!$A$6:$BG$38,58,0)</f>
        <v>0</v>
      </c>
      <c r="U15" s="36">
        <f>VLOOKUP($A15,[29]HISTOMARS24!$A$6:$AU$38,28,0)</f>
        <v>0</v>
      </c>
      <c r="V15" s="36">
        <f>VLOOKUP($A15,[29]HISTOMARS24!$A$6:$AU$38,19,0)</f>
        <v>0</v>
      </c>
      <c r="W15" s="36">
        <f>VLOOKUP($A15,[29]HISTOMARS24!$A$6:$AU$38,20,0)</f>
        <v>0</v>
      </c>
      <c r="X15" s="36">
        <f>VLOOKUP($A15,[29]HISTOMARS24!$A$6:$AU$38,27,0)</f>
        <v>0</v>
      </c>
      <c r="Y15" s="36">
        <f>VLOOKUP($A15,[29]HISTOMARS24!$A$6:$BM$38,33,0)</f>
        <v>0</v>
      </c>
      <c r="Z15" s="36">
        <f>VLOOKUP($A15,[29]HISTOMARS24!$A$6:$BM$38,65,0)</f>
        <v>0</v>
      </c>
      <c r="AA15" s="36"/>
      <c r="AB15" s="36">
        <f>VLOOKUP($A15,[29]HISTOMARS24!$A$6:$AU$38,43,0)</f>
        <v>0</v>
      </c>
      <c r="AC15" s="36">
        <f>VLOOKUP($A15,[29]HISTOMARS24!$A$6:$AU$38,44,0)</f>
        <v>0</v>
      </c>
      <c r="AD15" s="36">
        <f>VLOOKUP($A15,[29]HISTOMARS24!$A$6:$AU$38,47,0)</f>
        <v>0</v>
      </c>
      <c r="AE15" s="36">
        <f>VLOOKUP(A15,[29]HISTOMARS24!$A$6:$BB$38,54,0)</f>
        <v>0</v>
      </c>
      <c r="AF15" s="36">
        <f>VLOOKUP($A15,[29]HISTOMARS24!$A$6:$CB$38,60,0)</f>
        <v>0</v>
      </c>
      <c r="AG15" s="36">
        <f>VLOOKUP($A15,[29]HISTOMARS24!$A$6:$CB$38,61,0)</f>
        <v>0</v>
      </c>
      <c r="AH15" s="36">
        <f>VLOOKUP($A15,[29]HISTOMARS24!$A$6:$CB$38,62,0)</f>
        <v>0</v>
      </c>
      <c r="AI15" s="36">
        <f>VLOOKUP($A15,[29]HISTOMARS24!$A$6:$CB$38,63,0)</f>
        <v>0</v>
      </c>
      <c r="AJ15" s="36">
        <f>VLOOKUP($A15,[29]HISTOMARS24!$A$6:$CB$38,64,0)</f>
        <v>0</v>
      </c>
      <c r="AK15" s="36">
        <f>VLOOKUP($A15,[29]HISTOMARS24!$A$6:$CB$38,65,0)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VLOOKUP($A16,[29]HISTOMARS24!$A$6:$BA$38,48,0)</f>
        <v>0</v>
      </c>
      <c r="F16" s="36">
        <f>MVTFEV24!I16-E16+L16</f>
        <v>937659.17042267439</v>
      </c>
      <c r="G16" s="5">
        <f>IF(MVTFEV24!I16+L16&gt;700000,(MVTFEV24!I16-E16+L16),0)</f>
        <v>937659.17042267439</v>
      </c>
      <c r="H16" s="36">
        <f t="shared" si="0"/>
        <v>3199.3828064886316</v>
      </c>
      <c r="I16" s="6">
        <f t="shared" si="2"/>
        <v>940858.55322916305</v>
      </c>
      <c r="J16" s="36">
        <f>VLOOKUP($A16,[29]HISTOMARS24!$A$6:$AQ$42,22,0)</f>
        <v>0</v>
      </c>
      <c r="K16" s="36">
        <f>VLOOKUP($A16,[29]HISTOMARS24!$A$6:$AU$38,45,0)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VLOOKUP($A16,[29]HISTOMARS24!$A$6:$AU$38,7,0)</f>
        <v>0</v>
      </c>
      <c r="Q16" s="36">
        <f>VLOOKUP($A16,[29]HISTOMARS24!$A$6:$AU$38,23,0)</f>
        <v>0</v>
      </c>
      <c r="R16" s="36">
        <f>VLOOKUP($A16,[29]HISTOMARS24!$A$6:$AU$38,46,0)</f>
        <v>0</v>
      </c>
      <c r="S16" s="36">
        <f>VLOOKUP($A16,[29]HISTOMARS24!$A$6:$AU$38,26,0)</f>
        <v>0</v>
      </c>
      <c r="T16" s="36">
        <f>VLOOKUP($A16,[29]HISTOMARS24!$A$6:$BG$38,58,0)</f>
        <v>0</v>
      </c>
      <c r="U16" s="36">
        <f>VLOOKUP($A16,[29]HISTOMARS24!$A$6:$AU$38,28,0)</f>
        <v>0</v>
      </c>
      <c r="V16" s="36">
        <f>VLOOKUP($A16,[29]HISTOMARS24!$A$6:$AU$38,19,0)</f>
        <v>0</v>
      </c>
      <c r="W16" s="36">
        <f>VLOOKUP($A16,[29]HISTOMARS24!$A$6:$AU$38,20,0)</f>
        <v>0</v>
      </c>
      <c r="X16" s="36">
        <f>VLOOKUP($A16,[29]HISTOMARS24!$A$6:$AU$38,27,0)</f>
        <v>0</v>
      </c>
      <c r="Y16" s="36">
        <f>VLOOKUP($A16,[29]HISTOMARS24!$A$6:$BM$38,33,0)</f>
        <v>0</v>
      </c>
      <c r="Z16" s="36">
        <f>VLOOKUP($A16,[29]HISTOMARS24!$A$6:$BM$38,65,0)</f>
        <v>0</v>
      </c>
      <c r="AA16" s="36"/>
      <c r="AB16" s="36">
        <f>VLOOKUP($A16,[29]HISTOMARS24!$A$6:$AU$38,43,0)</f>
        <v>0</v>
      </c>
      <c r="AC16" s="36">
        <f>VLOOKUP($A16,[29]HISTOMARS24!$A$6:$AU$38,44,0)</f>
        <v>0</v>
      </c>
      <c r="AD16" s="36">
        <f>VLOOKUP($A16,[29]HISTOMARS24!$A$6:$AU$38,47,0)</f>
        <v>0</v>
      </c>
      <c r="AE16" s="36">
        <f>VLOOKUP(A16,[29]HISTOMARS24!$A$6:$BB$38,54,0)</f>
        <v>0</v>
      </c>
      <c r="AF16" s="36">
        <f>VLOOKUP($A16,[29]HISTOMARS24!$A$6:$CB$38,60,0)</f>
        <v>0</v>
      </c>
      <c r="AG16" s="36">
        <f>VLOOKUP($A16,[29]HISTOMARS24!$A$6:$CB$38,61,0)</f>
        <v>0</v>
      </c>
      <c r="AH16" s="36">
        <f>VLOOKUP($A16,[29]HISTOMARS24!$A$6:$CB$38,62,0)</f>
        <v>0</v>
      </c>
      <c r="AI16" s="36">
        <f>VLOOKUP($A16,[29]HISTOMARS24!$A$6:$CB$38,63,0)</f>
        <v>0</v>
      </c>
      <c r="AJ16" s="36">
        <f>VLOOKUP($A16,[29]HISTOMARS24!$A$6:$CB$38,64,0)</f>
        <v>0</v>
      </c>
      <c r="AK16" s="36">
        <f>VLOOKUP($A16,[29]HISTOMARS24!$A$6:$CB$38,65,0)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VLOOKUP($A17,[29]HISTOMARS24!$A$6:$BA$38,48,0)</f>
        <v>0</v>
      </c>
      <c r="F17" s="36">
        <f>MVTFEV24!I17-E17+L17</f>
        <v>810663.60954397358</v>
      </c>
      <c r="G17" s="5">
        <f>IF(MVTFEV24!I17+L17&gt;700000,(MVTFEV24!I17-E17+L17),0)</f>
        <v>810663.60954397358</v>
      </c>
      <c r="H17" s="36">
        <f t="shared" si="0"/>
        <v>2766.0618015945588</v>
      </c>
      <c r="I17" s="6">
        <f t="shared" si="2"/>
        <v>813429.67134556815</v>
      </c>
      <c r="J17" s="36">
        <f>VLOOKUP($A17,[29]HISTOMARS24!$A$6:$AQ$42,22,0)</f>
        <v>0</v>
      </c>
      <c r="K17" s="36">
        <f>VLOOKUP($A17,[29]HISTOMARS24!$A$6:$AU$38,45,0)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VLOOKUP($A17,[29]HISTOMARS24!$A$6:$AU$38,7,0)</f>
        <v>0</v>
      </c>
      <c r="Q17" s="36">
        <f>VLOOKUP($A17,[29]HISTOMARS24!$A$6:$AU$38,23,0)</f>
        <v>0</v>
      </c>
      <c r="R17" s="36">
        <f>VLOOKUP($A17,[29]HISTOMARS24!$A$6:$AU$38,46,0)</f>
        <v>0</v>
      </c>
      <c r="S17" s="36">
        <f>VLOOKUP($A17,[29]HISTOMARS24!$A$6:$AU$38,26,0)</f>
        <v>0</v>
      </c>
      <c r="T17" s="36">
        <f>VLOOKUP($A17,[29]HISTOMARS24!$A$6:$BG$38,58,0)</f>
        <v>0</v>
      </c>
      <c r="U17" s="36">
        <f>VLOOKUP($A17,[29]HISTOMARS24!$A$6:$AU$38,28,0)</f>
        <v>0</v>
      </c>
      <c r="V17" s="36">
        <f>VLOOKUP($A17,[29]HISTOMARS24!$A$6:$AU$38,19,0)</f>
        <v>500000</v>
      </c>
      <c r="W17" s="36" t="str">
        <f>VLOOKUP($A17,[29]HISTOMARS24!$A$6:$AU$38,20,0)</f>
        <v>BANQUE</v>
      </c>
      <c r="X17" s="36">
        <f>VLOOKUP($A17,[29]HISTOMARS24!$A$6:$AU$38,27,0)</f>
        <v>0</v>
      </c>
      <c r="Y17" s="36">
        <f>VLOOKUP($A17,[29]HISTOMARS24!$A$6:$BM$38,33,0)</f>
        <v>0</v>
      </c>
      <c r="Z17" s="36">
        <f>VLOOKUP($A17,[29]HISTOMARS24!$A$6:$BM$38,65,0)</f>
        <v>0</v>
      </c>
      <c r="AA17" s="36"/>
      <c r="AB17" s="36">
        <f>VLOOKUP($A17,[29]HISTOMARS24!$A$6:$AU$38,43,0)</f>
        <v>0</v>
      </c>
      <c r="AC17" s="36">
        <f>VLOOKUP($A17,[29]HISTOMARS24!$A$6:$AU$38,44,0)</f>
        <v>0</v>
      </c>
      <c r="AD17" s="36">
        <f>VLOOKUP($A17,[29]HISTOMARS24!$A$6:$AU$38,47,0)</f>
        <v>0</v>
      </c>
      <c r="AE17" s="36">
        <f>VLOOKUP(A17,[29]HISTOMARS24!$A$6:$BB$38,54,0)</f>
        <v>0</v>
      </c>
      <c r="AF17" s="36">
        <f>VLOOKUP($A17,[29]HISTOMARS24!$A$6:$CB$38,60,0)</f>
        <v>0</v>
      </c>
      <c r="AG17" s="36">
        <f>VLOOKUP($A17,[29]HISTOMARS24!$A$6:$CB$38,61,0)</f>
        <v>0</v>
      </c>
      <c r="AH17" s="36">
        <f>VLOOKUP($A17,[29]HISTOMARS24!$A$6:$CB$38,62,0)</f>
        <v>0</v>
      </c>
      <c r="AI17" s="36">
        <f>VLOOKUP($A17,[29]HISTOMARS24!$A$6:$CB$38,63,0)</f>
        <v>0</v>
      </c>
      <c r="AJ17" s="36">
        <f>VLOOKUP($A17,[29]HISTOMARS24!$A$6:$CB$38,64,0)</f>
        <v>0</v>
      </c>
      <c r="AK17" s="36">
        <f>VLOOKUP($A17,[29]HISTOMARS24!$A$6:$CB$38,65,0)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VLOOKUP($A18,[29]HISTOMARS24!$A$6:$BA$38,48,0)</f>
        <v>0</v>
      </c>
      <c r="F18" s="36">
        <f>MVTFEV24!I18-E18+L18</f>
        <v>846779.72710465465</v>
      </c>
      <c r="G18" s="5">
        <f>IF(MVTFEV24!I18+L18&gt;700000,(MVTFEV24!I18-E18+L18),0)</f>
        <v>846779.72710465465</v>
      </c>
      <c r="H18" s="36">
        <f t="shared" si="0"/>
        <v>2889.2934503701777</v>
      </c>
      <c r="I18" s="6">
        <f t="shared" si="2"/>
        <v>849669.02055502485</v>
      </c>
      <c r="J18" s="36">
        <f>VLOOKUP($A18,[29]HISTOMARS24!$A$6:$AQ$42,22,0)</f>
        <v>0</v>
      </c>
      <c r="K18" s="36">
        <f>VLOOKUP($A18,[29]HISTOMARS24!$A$6:$AU$38,45,0)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VLOOKUP($A18,[29]HISTOMARS24!$A$6:$AU$38,7,0)</f>
        <v>0</v>
      </c>
      <c r="Q18" s="36">
        <f>VLOOKUP($A18,[29]HISTOMARS24!$A$6:$AU$38,23,0)</f>
        <v>0</v>
      </c>
      <c r="R18" s="36">
        <f>VLOOKUP($A18,[29]HISTOMARS24!$A$6:$AU$38,46,0)</f>
        <v>0</v>
      </c>
      <c r="S18" s="36">
        <f>VLOOKUP($A18,[29]HISTOMARS24!$A$6:$AU$38,26,0)</f>
        <v>0</v>
      </c>
      <c r="T18" s="36">
        <f>VLOOKUP($A18,[29]HISTOMARS24!$A$6:$BG$38,58,0)</f>
        <v>0</v>
      </c>
      <c r="U18" s="36">
        <f>VLOOKUP($A18,[29]HISTOMARS24!$A$6:$AU$38,28,0)</f>
        <v>0</v>
      </c>
      <c r="V18" s="36">
        <f>VLOOKUP($A18,[29]HISTOMARS24!$A$6:$AU$38,19,0)</f>
        <v>0</v>
      </c>
      <c r="W18" s="36">
        <f>VLOOKUP($A18,[29]HISTOMARS24!$A$6:$AU$38,20,0)</f>
        <v>0</v>
      </c>
      <c r="X18" s="36">
        <f>VLOOKUP($A18,[29]HISTOMARS24!$A$6:$AU$38,27,0)</f>
        <v>0</v>
      </c>
      <c r="Y18" s="36">
        <f>VLOOKUP($A18,[29]HISTOMARS24!$A$6:$BM$38,33,0)</f>
        <v>0</v>
      </c>
      <c r="Z18" s="36">
        <f>VLOOKUP($A18,[29]HISTOMARS24!$A$6:$BM$38,65,0)</f>
        <v>0</v>
      </c>
      <c r="AA18" s="36"/>
      <c r="AB18" s="36">
        <f>VLOOKUP($A18,[29]HISTOMARS24!$A$6:$AU$38,43,0)</f>
        <v>0</v>
      </c>
      <c r="AC18" s="36">
        <f>VLOOKUP($A18,[29]HISTOMARS24!$A$6:$AU$38,44,0)</f>
        <v>0</v>
      </c>
      <c r="AD18" s="36">
        <f>VLOOKUP($A18,[29]HISTOMARS24!$A$6:$AU$38,47,0)</f>
        <v>0</v>
      </c>
      <c r="AE18" s="36">
        <f>VLOOKUP(A18,[29]HISTOMARS24!$A$6:$BB$38,54,0)</f>
        <v>0</v>
      </c>
      <c r="AF18" s="36">
        <f>VLOOKUP($A18,[29]HISTOMARS24!$A$6:$CB$38,60,0)</f>
        <v>0</v>
      </c>
      <c r="AG18" s="36">
        <f>VLOOKUP($A18,[29]HISTOMARS24!$A$6:$CB$38,61,0)</f>
        <v>0</v>
      </c>
      <c r="AH18" s="36">
        <f>VLOOKUP($A18,[29]HISTOMARS24!$A$6:$CB$38,62,0)</f>
        <v>0</v>
      </c>
      <c r="AI18" s="36">
        <f>VLOOKUP($A18,[29]HISTOMARS24!$A$6:$CB$38,63,0)</f>
        <v>0</v>
      </c>
      <c r="AJ18" s="36">
        <f>VLOOKUP($A18,[29]HISTOMARS24!$A$6:$CB$38,64,0)</f>
        <v>0</v>
      </c>
      <c r="AK18" s="36">
        <f>VLOOKUP($A18,[29]HISTOMARS24!$A$6:$CB$38,65,0)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MVTFEV24!I19-E19+L19</f>
        <v>676217</v>
      </c>
      <c r="G19" s="5">
        <f>IF(MVTFEV24!I19+L19&gt;700000,(MVTFEV24!I19-E19+L19),0)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MVTFEV24!I20-E20+L20</f>
        <v>57000</v>
      </c>
      <c r="G20" s="5">
        <f>IF(MVTFEV24!I20+L20&gt;700000,(MVTFEV24!I20-E20+L20),0)</f>
        <v>0</v>
      </c>
      <c r="H20" s="36">
        <f t="shared" si="0"/>
        <v>0</v>
      </c>
      <c r="I20" s="6">
        <f t="shared" si="2"/>
        <v>57000</v>
      </c>
      <c r="J20" s="36">
        <f>VLOOKUP($A20,[29]HISTOMARS24!$A$6:$AQ$42,22,0)</f>
        <v>0</v>
      </c>
      <c r="K20" s="36">
        <f>VLOOKUP($A20,[29]HISTOMARS24!$A$6:$AU$38,45,0)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VLOOKUP($A20,[29]HISTOMARS24!$A$6:$AU$38,7,0)</f>
        <v>0</v>
      </c>
      <c r="Q20" s="36">
        <f>VLOOKUP($A20,[29]HISTOMARS24!$A$6:$AU$38,23,0)</f>
        <v>0</v>
      </c>
      <c r="R20" s="36">
        <f>VLOOKUP($A20,[29]HISTOMARS24!$A$6:$AU$38,46,0)</f>
        <v>0</v>
      </c>
      <c r="S20" s="36">
        <f>VLOOKUP($A20,[29]HISTOMARS24!$A$6:$AU$38,26,0)</f>
        <v>0</v>
      </c>
      <c r="T20" s="36">
        <f>VLOOKUP($A20,[29]HISTOMARS24!$A$6:$BG$38,58,0)</f>
        <v>0</v>
      </c>
      <c r="U20" s="36">
        <f>VLOOKUP($A20,[29]HISTOMARS24!$A$6:$AU$38,28,0)</f>
        <v>0</v>
      </c>
      <c r="V20" s="36">
        <f>VLOOKUP($A20,[29]HISTOMARS24!$A$6:$AU$38,19,0)</f>
        <v>0</v>
      </c>
      <c r="W20" s="36">
        <f>VLOOKUP($A20,[29]HISTOMARS24!$A$6:$AU$38,20,0)</f>
        <v>0</v>
      </c>
      <c r="X20" s="36">
        <f>VLOOKUP($A20,[29]HISTOMARS24!$A$6:$AU$38,27,0)</f>
        <v>0</v>
      </c>
      <c r="Y20" s="36">
        <f>VLOOKUP($A20,[29]HISTOMARS24!$A$6:$BM$38,33,0)</f>
        <v>0</v>
      </c>
      <c r="Z20" s="36">
        <f>VLOOKUP($A20,[29]HISTOMARS24!$A$6:$BM$38,65,0)</f>
        <v>0</v>
      </c>
      <c r="AA20" s="36"/>
      <c r="AB20" s="36">
        <f>VLOOKUP($A20,[29]HISTOMARS24!$A$6:$AU$38,43,0)</f>
        <v>0</v>
      </c>
      <c r="AC20" s="36">
        <f>VLOOKUP($A20,[29]HISTOMARS24!$A$6:$AU$38,44,0)</f>
        <v>0</v>
      </c>
      <c r="AD20" s="36">
        <f>VLOOKUP($A20,[29]HISTOMARS24!$A$6:$AU$38,47,0)</f>
        <v>0</v>
      </c>
      <c r="AE20" s="36">
        <f>VLOOKUP(A20,[29]HISTOMARS24!$A$6:$BB$38,54,0)</f>
        <v>0</v>
      </c>
      <c r="AF20" s="36">
        <f>VLOOKUP($A20,[29]HISTOMARS24!$A$6:$CB$38,60,0)</f>
        <v>0</v>
      </c>
      <c r="AG20" s="36">
        <f>VLOOKUP($A20,[29]HISTOMARS24!$A$6:$CB$38,61,0)</f>
        <v>0</v>
      </c>
      <c r="AH20" s="36">
        <f>VLOOKUP($A20,[29]HISTOMARS24!$A$6:$CB$38,62,0)</f>
        <v>0</v>
      </c>
      <c r="AI20" s="36">
        <f>VLOOKUP($A20,[29]HISTOMARS24!$A$6:$CB$38,63,0)</f>
        <v>0</v>
      </c>
      <c r="AJ20" s="36">
        <f>VLOOKUP($A20,[29]HISTOMARS24!$A$6:$CB$38,64,0)</f>
        <v>0</v>
      </c>
      <c r="AK20" s="36">
        <f>VLOOKUP($A20,[29]HISTOMARS24!$A$6:$CB$38,65,0)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MVTFEV24!I21-E21+L21</f>
        <v>834504.55959106644</v>
      </c>
      <c r="G21" s="5">
        <f>IF(MVTFEV24!I21+L21&gt;700000,(MVTFEV24!I21-E21+L21),0)</f>
        <v>834504.55959106644</v>
      </c>
      <c r="H21" s="36">
        <f t="shared" si="0"/>
        <v>2847.4094043025234</v>
      </c>
      <c r="I21" s="6">
        <f t="shared" si="2"/>
        <v>837351.96899536892</v>
      </c>
      <c r="J21" s="36">
        <f>VLOOKUP($A21,[29]HISTOMARS24!$A$6:$AQ$42,22,0)</f>
        <v>0</v>
      </c>
      <c r="K21" s="36">
        <f>VLOOKUP($A21,[29]HISTOMARS24!$A$6:$AU$38,45,0)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VLOOKUP($A21,[29]HISTOMARS24!$A$6:$AU$38,7,0)</f>
        <v>0</v>
      </c>
      <c r="Q21" s="36">
        <f>VLOOKUP($A21,[29]HISTOMARS24!$A$6:$AU$38,23,0)</f>
        <v>0</v>
      </c>
      <c r="R21" s="36">
        <f>VLOOKUP($A21,[29]HISTOMARS24!$A$6:$AU$38,46,0)</f>
        <v>0</v>
      </c>
      <c r="S21" s="36">
        <f>VLOOKUP($A21,[29]HISTOMARS24!$A$6:$AU$38,26,0)</f>
        <v>0</v>
      </c>
      <c r="T21" s="36">
        <f>VLOOKUP($A21,[29]HISTOMARS24!$A$6:$BG$38,58,0)</f>
        <v>0</v>
      </c>
      <c r="U21" s="36">
        <f>VLOOKUP($A21,[29]HISTOMARS24!$A$6:$AU$38,28,0)</f>
        <v>0</v>
      </c>
      <c r="V21" s="36">
        <f>VLOOKUP($A21,[29]HISTOMARS24!$A$6:$AU$38,19,0)</f>
        <v>0</v>
      </c>
      <c r="W21" s="36">
        <f>VLOOKUP($A21,[29]HISTOMARS24!$A$6:$AU$38,20,0)</f>
        <v>0</v>
      </c>
      <c r="X21" s="36">
        <f>VLOOKUP($A21,[29]HISTOMARS24!$A$6:$AU$38,27,0)</f>
        <v>0</v>
      </c>
      <c r="Y21" s="36">
        <f>VLOOKUP($A21,[29]HISTOMARS24!$A$6:$BM$38,33,0)</f>
        <v>0</v>
      </c>
      <c r="Z21" s="36">
        <f>VLOOKUP($A21,[29]HISTOMARS24!$A$6:$BM$38,65,0)</f>
        <v>0</v>
      </c>
      <c r="AA21" s="36"/>
      <c r="AB21" s="36">
        <f>VLOOKUP($A21,[29]HISTOMARS24!$A$6:$AU$38,43,0)</f>
        <v>0</v>
      </c>
      <c r="AC21" s="36">
        <f>VLOOKUP($A21,[29]HISTOMARS24!$A$6:$AU$38,44,0)</f>
        <v>0</v>
      </c>
      <c r="AD21" s="36">
        <f>VLOOKUP($A21,[29]HISTOMARS24!$A$6:$AU$38,47,0)</f>
        <v>0</v>
      </c>
      <c r="AE21" s="36">
        <f>VLOOKUP(A21,[29]HISTOMARS24!$A$6:$BB$38,54,0)</f>
        <v>0</v>
      </c>
      <c r="AF21" s="36">
        <f>VLOOKUP($A21,[29]HISTOMARS24!$A$6:$CB$38,60,0)</f>
        <v>0</v>
      </c>
      <c r="AG21" s="36">
        <f>VLOOKUP($A21,[29]HISTOMARS24!$A$6:$CB$38,61,0)</f>
        <v>0</v>
      </c>
      <c r="AH21" s="36">
        <f>VLOOKUP($A21,[29]HISTOMARS24!$A$6:$CB$38,62,0)</f>
        <v>0</v>
      </c>
      <c r="AI21" s="36">
        <f>VLOOKUP($A21,[29]HISTOMARS24!$A$6:$CB$38,63,0)</f>
        <v>0</v>
      </c>
      <c r="AJ21" s="36">
        <f>VLOOKUP($A21,[29]HISTOMARS24!$A$6:$CB$38,64,0)</f>
        <v>0</v>
      </c>
      <c r="AK21" s="36">
        <f>VLOOKUP($A21,[29]HISTOMARS24!$A$6:$CB$38,65,0)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MVTFEV24!I22-E22+L22</f>
        <v>802040.43277513736</v>
      </c>
      <c r="G22" s="5">
        <f>IF(MVTFEV24!I22+L22&gt;700000,(MVTFEV24!I22-E22+L22),0)</f>
        <v>802040.43277513736</v>
      </c>
      <c r="H22" s="36">
        <f t="shared" si="0"/>
        <v>2736.6386973773938</v>
      </c>
      <c r="I22" s="6">
        <f t="shared" si="2"/>
        <v>804777.07147251477</v>
      </c>
      <c r="J22" s="36">
        <f>VLOOKUP($A22,[29]HISTOMARS24!$A$6:$AQ$42,22,0)</f>
        <v>0</v>
      </c>
      <c r="K22" s="36">
        <f>VLOOKUP($A22,[29]HISTOMARS24!$A$6:$AU$38,45,0)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VLOOKUP($A22,[29]HISTOMARS24!$A$6:$AU$38,7,0)</f>
        <v>0</v>
      </c>
      <c r="Q22" s="36">
        <f>VLOOKUP($A22,[29]HISTOMARS24!$A$6:$AU$38,23,0)</f>
        <v>0</v>
      </c>
      <c r="R22" s="36">
        <f>VLOOKUP($A22,[29]HISTOMARS24!$A$6:$AU$38,46,0)</f>
        <v>0</v>
      </c>
      <c r="S22" s="36">
        <f>VLOOKUP($A22,[29]HISTOMARS24!$A$6:$AU$38,26,0)</f>
        <v>0</v>
      </c>
      <c r="T22" s="36">
        <f>VLOOKUP($A22,[29]HISTOMARS24!$A$6:$BG$38,58,0)</f>
        <v>0</v>
      </c>
      <c r="U22" s="36">
        <f>VLOOKUP($A22,[29]HISTOMARS24!$A$6:$AU$38,28,0)</f>
        <v>0</v>
      </c>
      <c r="V22" s="36">
        <f>VLOOKUP($A22,[29]HISTOMARS24!$A$6:$AU$38,19,0)</f>
        <v>0</v>
      </c>
      <c r="W22" s="36">
        <f>VLOOKUP($A22,[29]HISTOMARS24!$A$6:$AU$38,20,0)</f>
        <v>0</v>
      </c>
      <c r="X22" s="36">
        <f>VLOOKUP($A22,[29]HISTOMARS24!$A$6:$AU$38,27,0)</f>
        <v>0</v>
      </c>
      <c r="Y22" s="36">
        <f>VLOOKUP($A22,[29]HISTOMARS24!$A$6:$BM$38,33,0)</f>
        <v>0</v>
      </c>
      <c r="Z22" s="36">
        <f>VLOOKUP($A22,[29]HISTOMARS24!$A$6:$BM$38,65,0)</f>
        <v>0</v>
      </c>
      <c r="AA22" s="36"/>
      <c r="AB22" s="36">
        <f>VLOOKUP($A22,[29]HISTOMARS24!$A$6:$AU$38,43,0)</f>
        <v>0</v>
      </c>
      <c r="AC22" s="36">
        <f>VLOOKUP($A22,[29]HISTOMARS24!$A$6:$AU$38,44,0)</f>
        <v>0</v>
      </c>
      <c r="AD22" s="36">
        <f>VLOOKUP($A22,[29]HISTOMARS24!$A$6:$AU$38,47,0)</f>
        <v>0</v>
      </c>
      <c r="AE22" s="36">
        <f>VLOOKUP(A22,[29]HISTOMARS24!$A$6:$BB$38,54,0)</f>
        <v>0</v>
      </c>
      <c r="AF22" s="36">
        <f>VLOOKUP($A22,[29]HISTOMARS24!$A$6:$CB$38,60,0)</f>
        <v>0</v>
      </c>
      <c r="AG22" s="36">
        <f>VLOOKUP($A22,[29]HISTOMARS24!$A$6:$CB$38,61,0)</f>
        <v>0</v>
      </c>
      <c r="AH22" s="36">
        <f>VLOOKUP($A22,[29]HISTOMARS24!$A$6:$CB$38,62,0)</f>
        <v>0</v>
      </c>
      <c r="AI22" s="36">
        <f>VLOOKUP($A22,[29]HISTOMARS24!$A$6:$CB$38,63,0)</f>
        <v>0</v>
      </c>
      <c r="AJ22" s="36">
        <f>VLOOKUP($A22,[29]HISTOMARS24!$A$6:$CB$38,64,0)</f>
        <v>0</v>
      </c>
      <c r="AK22" s="36">
        <f>VLOOKUP($A22,[29]HISTOMARS24!$A$6:$CB$38,65,0)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MVTFEV24!I23-E23+L23</f>
        <v>907479.80127828859</v>
      </c>
      <c r="G23" s="5">
        <f>IF(MVTFEV24!I23+L23&gt;700000,(MVTFEV24!I23-E23+L23),0)</f>
        <v>907479.80127828859</v>
      </c>
      <c r="H23" s="36">
        <f t="shared" si="0"/>
        <v>3096.4079113487519</v>
      </c>
      <c r="I23" s="6">
        <f t="shared" si="2"/>
        <v>910576.20918963733</v>
      </c>
      <c r="J23" s="36">
        <f>VLOOKUP($A23,[29]HISTOMARS24!$A$6:$AQ$42,22,0)</f>
        <v>0</v>
      </c>
      <c r="K23" s="36">
        <f>VLOOKUP($A23,[29]HISTOMARS24!$A$6:$AU$38,45,0)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VLOOKUP($A23,[29]HISTOMARS24!$A$6:$AU$38,7,0)</f>
        <v>0</v>
      </c>
      <c r="Q23" s="36">
        <f>VLOOKUP($A23,[29]HISTOMARS24!$A$6:$AU$38,23,0)</f>
        <v>0</v>
      </c>
      <c r="R23" s="36">
        <f>VLOOKUP($A23,[29]HISTOMARS24!$A$6:$AU$38,46,0)</f>
        <v>0</v>
      </c>
      <c r="S23" s="36">
        <f>VLOOKUP($A23,[29]HISTOMARS24!$A$6:$AU$38,26,0)</f>
        <v>0</v>
      </c>
      <c r="T23" s="36">
        <f>VLOOKUP($A23,[29]HISTOMARS24!$A$6:$BG$38,58,0)</f>
        <v>0</v>
      </c>
      <c r="U23" s="36">
        <f>VLOOKUP($A23,[29]HISTOMARS24!$A$6:$AU$38,28,0)</f>
        <v>0</v>
      </c>
      <c r="V23" s="36">
        <f>VLOOKUP($A23,[29]HISTOMARS24!$A$6:$AU$38,19,0)</f>
        <v>0</v>
      </c>
      <c r="W23" s="36">
        <f>VLOOKUP($A23,[29]HISTOMARS24!$A$6:$AU$38,20,0)</f>
        <v>0</v>
      </c>
      <c r="X23" s="36">
        <f>VLOOKUP($A23,[29]HISTOMARS24!$A$6:$AU$38,27,0)</f>
        <v>0</v>
      </c>
      <c r="Y23" s="36">
        <f>VLOOKUP($A23,[29]HISTOMARS24!$A$6:$BM$38,33,0)</f>
        <v>0</v>
      </c>
      <c r="Z23" s="36">
        <f>VLOOKUP($A23,[29]HISTOMARS24!$A$6:$BM$38,65,0)</f>
        <v>0</v>
      </c>
      <c r="AA23" s="36"/>
      <c r="AB23" s="36">
        <f>VLOOKUP($A23,[29]HISTOMARS24!$A$6:$AU$38,43,0)</f>
        <v>0</v>
      </c>
      <c r="AC23" s="36">
        <f>VLOOKUP($A23,[29]HISTOMARS24!$A$6:$AU$38,44,0)</f>
        <v>0</v>
      </c>
      <c r="AD23" s="36">
        <f>VLOOKUP($A23,[29]HISTOMARS24!$A$6:$AU$38,47,0)</f>
        <v>0</v>
      </c>
      <c r="AE23" s="36">
        <f>VLOOKUP(A23,[29]HISTOMARS24!$A$6:$BB$38,54,0)</f>
        <v>0</v>
      </c>
      <c r="AF23" s="36">
        <f>VLOOKUP($A23,[29]HISTOMARS24!$A$6:$CB$38,60,0)</f>
        <v>0</v>
      </c>
      <c r="AG23" s="36">
        <f>VLOOKUP($A23,[29]HISTOMARS24!$A$6:$CB$38,61,0)</f>
        <v>0</v>
      </c>
      <c r="AH23" s="36">
        <f>VLOOKUP($A23,[29]HISTOMARS24!$A$6:$CB$38,62,0)</f>
        <v>0</v>
      </c>
      <c r="AI23" s="36">
        <f>VLOOKUP($A23,[29]HISTOMARS24!$A$6:$CB$38,63,0)</f>
        <v>0</v>
      </c>
      <c r="AJ23" s="36">
        <f>VLOOKUP($A23,[29]HISTOMARS24!$A$6:$CB$38,64,0)</f>
        <v>0</v>
      </c>
      <c r="AK23" s="36">
        <f>VLOOKUP($A23,[29]HISTOMARS24!$A$6:$CB$38,65,0)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MVTFEV24!I24-E24+L24</f>
        <v>1069908.3713130199</v>
      </c>
      <c r="G24" s="5">
        <f>IF(MVTFEV24!I24+L24&gt;700000,(MVTFEV24!I24-E24+L24),0)</f>
        <v>1069908.3713130199</v>
      </c>
      <c r="H24" s="36">
        <f t="shared" si="0"/>
        <v>3650.6297337806686</v>
      </c>
      <c r="I24" s="6">
        <f t="shared" si="2"/>
        <v>1073559.0010468005</v>
      </c>
      <c r="J24" s="36">
        <f>VLOOKUP($A24,[29]HISTOMARS24!$A$6:$AQ$42,22,0)</f>
        <v>0</v>
      </c>
      <c r="K24" s="36">
        <f>VLOOKUP($A24,[29]HISTOMARS24!$A$6:$AU$38,45,0)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VLOOKUP($A24,[29]HISTOMARS24!$A$6:$AU$38,7,0)</f>
        <v>0</v>
      </c>
      <c r="Q24" s="36">
        <f>VLOOKUP($A24,[29]HISTOMARS24!$A$6:$AU$38,23,0)</f>
        <v>0</v>
      </c>
      <c r="R24" s="36">
        <f>VLOOKUP($A24,[29]HISTOMARS24!$A$6:$AU$38,46,0)</f>
        <v>0</v>
      </c>
      <c r="S24" s="36">
        <f>VLOOKUP($A24,[29]HISTOMARS24!$A$6:$AU$38,26,0)</f>
        <v>0</v>
      </c>
      <c r="T24" s="36">
        <f>VLOOKUP($A24,[29]HISTOMARS24!$A$6:$BG$38,58,0)</f>
        <v>0</v>
      </c>
      <c r="U24" s="36">
        <f>VLOOKUP($A24,[29]HISTOMARS24!$A$6:$AU$38,28,0)</f>
        <v>0</v>
      </c>
      <c r="V24" s="36">
        <f>VLOOKUP($A24,[29]HISTOMARS24!$A$6:$AU$38,19,0)</f>
        <v>0</v>
      </c>
      <c r="W24" s="36">
        <f>VLOOKUP($A24,[29]HISTOMARS24!$A$6:$AU$38,20,0)</f>
        <v>0</v>
      </c>
      <c r="X24" s="36">
        <f>VLOOKUP($A24,[29]HISTOMARS24!$A$6:$AU$38,27,0)</f>
        <v>0</v>
      </c>
      <c r="Y24" s="36">
        <f>VLOOKUP($A24,[29]HISTOMARS24!$A$6:$BM$38,33,0)</f>
        <v>0</v>
      </c>
      <c r="Z24" s="36">
        <f>VLOOKUP($A24,[29]HISTOMARS24!$A$6:$BM$38,65,0)</f>
        <v>0</v>
      </c>
      <c r="AA24" s="36"/>
      <c r="AB24" s="36">
        <f>VLOOKUP($A24,[29]HISTOMARS24!$A$6:$AU$38,43,0)</f>
        <v>0</v>
      </c>
      <c r="AC24" s="36">
        <f>VLOOKUP($A24,[29]HISTOMARS24!$A$6:$AU$38,44,0)</f>
        <v>0</v>
      </c>
      <c r="AD24" s="36">
        <f>VLOOKUP($A24,[29]HISTOMARS24!$A$6:$AU$38,47,0)</f>
        <v>0</v>
      </c>
      <c r="AE24" s="36">
        <f>VLOOKUP(A24,[29]HISTOMARS24!$A$6:$BB$38,54,0)</f>
        <v>0</v>
      </c>
      <c r="AF24" s="36">
        <f>VLOOKUP($A24,[29]HISTOMARS24!$A$6:$CB$38,60,0)</f>
        <v>0</v>
      </c>
      <c r="AG24" s="36">
        <f>VLOOKUP($A24,[29]HISTOMARS24!$A$6:$CB$38,61,0)</f>
        <v>0</v>
      </c>
      <c r="AH24" s="36">
        <f>VLOOKUP($A24,[29]HISTOMARS24!$A$6:$CB$38,62,0)</f>
        <v>0</v>
      </c>
      <c r="AI24" s="36">
        <f>VLOOKUP($A24,[29]HISTOMARS24!$A$6:$CB$38,63,0)</f>
        <v>0</v>
      </c>
      <c r="AJ24" s="36">
        <f>VLOOKUP($A24,[29]HISTOMARS24!$A$6:$CB$38,64,0)</f>
        <v>0</v>
      </c>
      <c r="AK24" s="36">
        <f>VLOOKUP($A24,[29]HISTOMARS24!$A$6:$CB$38,65,0)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MVTFEV24!I25-E25+L25</f>
        <v>892058.73500648094</v>
      </c>
      <c r="G25" s="5">
        <f>IF(MVTFEV24!I25+L25&gt;700000,(MVTFEV24!I25-E25+L25),0)</f>
        <v>892058.73500648094</v>
      </c>
      <c r="H25" s="36">
        <f t="shared" si="0"/>
        <v>3043.7897577124972</v>
      </c>
      <c r="I25" s="6">
        <f t="shared" si="2"/>
        <v>895102.52476419345</v>
      </c>
      <c r="J25" s="36">
        <f>VLOOKUP($A25,[29]HISTOMARS24!$A$6:$AQ$42,22,0)</f>
        <v>0</v>
      </c>
      <c r="K25" s="36">
        <f>VLOOKUP($A25,[29]HISTOMARS24!$A$6:$AU$38,45,0)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VLOOKUP($A25,[29]HISTOMARS24!$A$6:$AU$38,7,0)</f>
        <v>0</v>
      </c>
      <c r="Q25" s="36">
        <f>VLOOKUP($A25,[29]HISTOMARS24!$A$6:$AU$38,23,0)</f>
        <v>0</v>
      </c>
      <c r="R25" s="36">
        <f>VLOOKUP($A25,[29]HISTOMARS24!$A$6:$AU$38,46,0)</f>
        <v>0</v>
      </c>
      <c r="S25" s="36">
        <f>VLOOKUP($A25,[29]HISTOMARS24!$A$6:$AU$38,26,0)</f>
        <v>0</v>
      </c>
      <c r="T25" s="36">
        <f>VLOOKUP($A25,[29]HISTOMARS24!$A$6:$BG$38,58,0)</f>
        <v>0</v>
      </c>
      <c r="U25" s="36">
        <f>VLOOKUP($A25,[29]HISTOMARS24!$A$6:$AU$38,28,0)</f>
        <v>0</v>
      </c>
      <c r="V25" s="36">
        <f>VLOOKUP($A25,[29]HISTOMARS24!$A$6:$AU$38,19,0)</f>
        <v>0</v>
      </c>
      <c r="W25" s="36">
        <f>VLOOKUP($A25,[29]HISTOMARS24!$A$6:$AU$38,20,0)</f>
        <v>0</v>
      </c>
      <c r="X25" s="36">
        <f>VLOOKUP($A25,[29]HISTOMARS24!$A$6:$AU$38,27,0)</f>
        <v>0</v>
      </c>
      <c r="Y25" s="36">
        <f>VLOOKUP($A25,[29]HISTOMARS24!$A$6:$BM$38,33,0)</f>
        <v>0</v>
      </c>
      <c r="Z25" s="36">
        <f>VLOOKUP($A25,[29]HISTOMARS24!$A$6:$BM$38,65,0)</f>
        <v>0</v>
      </c>
      <c r="AA25" s="36"/>
      <c r="AB25" s="36">
        <f>VLOOKUP($A25,[29]HISTOMARS24!$A$6:$AU$38,43,0)</f>
        <v>0</v>
      </c>
      <c r="AC25" s="36">
        <f>VLOOKUP($A25,[29]HISTOMARS24!$A$6:$AU$38,44,0)</f>
        <v>0</v>
      </c>
      <c r="AD25" s="36">
        <f>VLOOKUP($A25,[29]HISTOMARS24!$A$6:$AU$38,47,0)</f>
        <v>0</v>
      </c>
      <c r="AE25" s="36">
        <f>VLOOKUP(A25,[29]HISTOMARS24!$A$6:$BB$38,54,0)</f>
        <v>0</v>
      </c>
      <c r="AF25" s="36">
        <f>VLOOKUP($A25,[29]HISTOMARS24!$A$6:$CB$38,60,0)</f>
        <v>0</v>
      </c>
      <c r="AG25" s="36">
        <f>VLOOKUP($A25,[29]HISTOMARS24!$A$6:$CB$38,61,0)</f>
        <v>0</v>
      </c>
      <c r="AH25" s="36">
        <f>VLOOKUP($A25,[29]HISTOMARS24!$A$6:$CB$38,62,0)</f>
        <v>0</v>
      </c>
      <c r="AI25" s="36">
        <f>VLOOKUP($A25,[29]HISTOMARS24!$A$6:$CB$38,63,0)</f>
        <v>0</v>
      </c>
      <c r="AJ25" s="36">
        <f>VLOOKUP($A25,[29]HISTOMARS24!$A$6:$CB$38,64,0)</f>
        <v>0</v>
      </c>
      <c r="AK25" s="36">
        <f>VLOOKUP($A25,[29]HISTOMARS24!$A$6:$CB$38,65,0)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MVTFEV24!I26-E26+L26</f>
        <v>822471.83018052008</v>
      </c>
      <c r="G26" s="5">
        <f>IF(MVTFEV24!I26+L26&gt;700000,(MVTFEV24!I26-E26+L26),0)</f>
        <v>822471.83018052008</v>
      </c>
      <c r="H26" s="36">
        <f t="shared" si="0"/>
        <v>2806.3525802393847</v>
      </c>
      <c r="I26" s="6">
        <f t="shared" si="2"/>
        <v>825278.18276075949</v>
      </c>
      <c r="J26" s="36">
        <f>VLOOKUP($A26,[29]HISTOMARS24!$A$6:$AQ$42,22,0)</f>
        <v>0</v>
      </c>
      <c r="K26" s="36">
        <f>VLOOKUP($A26,[29]HISTOMARS24!$A$6:$AU$38,45,0)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VLOOKUP($A26,[29]HISTOMARS24!$A$6:$AU$38,7,0)</f>
        <v>3000</v>
      </c>
      <c r="Q26" s="36">
        <f>VLOOKUP($A26,[29]HISTOMARS24!$A$6:$AU$38,23,0)</f>
        <v>0</v>
      </c>
      <c r="R26" s="36">
        <f>VLOOKUP($A26,[29]HISTOMARS24!$A$6:$AU$38,46,0)</f>
        <v>0</v>
      </c>
      <c r="S26" s="36">
        <f>VLOOKUP($A26,[29]HISTOMARS24!$A$6:$AU$38,26,0)</f>
        <v>0</v>
      </c>
      <c r="T26" s="36">
        <f>VLOOKUP($A26,[29]HISTOMARS24!$A$6:$BG$38,58,0)</f>
        <v>0</v>
      </c>
      <c r="U26" s="36">
        <f>VLOOKUP($A26,[29]HISTOMARS24!$A$6:$AU$38,28,0)</f>
        <v>0</v>
      </c>
      <c r="V26" s="36">
        <f>VLOOKUP($A26,[29]HISTOMARS24!$A$6:$AU$38,19,0)</f>
        <v>0</v>
      </c>
      <c r="W26" s="36">
        <f>VLOOKUP($A26,[29]HISTOMARS24!$A$6:$AU$38,20,0)</f>
        <v>0</v>
      </c>
      <c r="X26" s="36">
        <f>VLOOKUP($A26,[29]HISTOMARS24!$A$6:$AU$38,27,0)</f>
        <v>0</v>
      </c>
      <c r="Y26" s="36">
        <f>VLOOKUP($A26,[29]HISTOMARS24!$A$6:$BM$38,33,0)</f>
        <v>0</v>
      </c>
      <c r="Z26" s="36">
        <f>VLOOKUP($A26,[29]HISTOMARS24!$A$6:$BM$38,65,0)</f>
        <v>0</v>
      </c>
      <c r="AA26" s="36"/>
      <c r="AB26" s="36">
        <f>VLOOKUP($A26,[29]HISTOMARS24!$A$6:$AU$38,43,0)</f>
        <v>0</v>
      </c>
      <c r="AC26" s="36">
        <f>VLOOKUP($A26,[29]HISTOMARS24!$A$6:$AU$38,44,0)</f>
        <v>0</v>
      </c>
      <c r="AD26" s="36">
        <f>VLOOKUP($A26,[29]HISTOMARS24!$A$6:$AU$38,47,0)</f>
        <v>0</v>
      </c>
      <c r="AE26" s="36">
        <f>VLOOKUP(A26,[29]HISTOMARS24!$A$6:$BB$38,54,0)</f>
        <v>0</v>
      </c>
      <c r="AF26" s="36">
        <f>VLOOKUP($A26,[29]HISTOMARS24!$A$6:$CB$38,60,0)</f>
        <v>0</v>
      </c>
      <c r="AG26" s="36">
        <f>VLOOKUP($A26,[29]HISTOMARS24!$A$6:$CB$38,61,0)</f>
        <v>0</v>
      </c>
      <c r="AH26" s="36">
        <f>VLOOKUP($A26,[29]HISTOMARS24!$A$6:$CB$38,62,0)</f>
        <v>0</v>
      </c>
      <c r="AI26" s="36">
        <f>VLOOKUP($A26,[29]HISTOMARS24!$A$6:$CB$38,63,0)</f>
        <v>0</v>
      </c>
      <c r="AJ26" s="36">
        <f>VLOOKUP($A26,[29]HISTOMARS24!$A$6:$CB$38,64,0)</f>
        <v>0</v>
      </c>
      <c r="AK26" s="36">
        <f>VLOOKUP($A26,[29]HISTOMARS24!$A$6:$CB$38,65,0)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MVTFEV24!I27-E27+L27</f>
        <v>821036.28868156555</v>
      </c>
      <c r="G27" s="5">
        <f>IF(MVTFEV24!I27+L27&gt;700000,(MVTFEV24!I27-E27+L27),0)</f>
        <v>821036.28868156555</v>
      </c>
      <c r="H27" s="36">
        <f t="shared" si="0"/>
        <v>2801.4543752896207</v>
      </c>
      <c r="I27" s="6">
        <f t="shared" si="2"/>
        <v>823837.74305685516</v>
      </c>
      <c r="J27" s="36">
        <f>VLOOKUP($A27,[29]HISTOMARS24!$A$6:$AQ$42,22,0)</f>
        <v>0</v>
      </c>
      <c r="K27" s="36">
        <f>VLOOKUP($A27,[29]HISTOMARS24!$A$6:$AU$38,45,0)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VLOOKUP($A27,[29]HISTOMARS24!$A$6:$AU$38,7,0)</f>
        <v>0</v>
      </c>
      <c r="Q27" s="36">
        <f>VLOOKUP($A27,[29]HISTOMARS24!$A$6:$AU$38,23,0)</f>
        <v>0</v>
      </c>
      <c r="R27" s="36">
        <f>VLOOKUP($A27,[29]HISTOMARS24!$A$6:$AU$38,46,0)</f>
        <v>0</v>
      </c>
      <c r="S27" s="36">
        <f>VLOOKUP($A27,[29]HISTOMARS24!$A$6:$AU$38,26,0)</f>
        <v>0</v>
      </c>
      <c r="T27" s="36">
        <f>VLOOKUP($A27,[29]HISTOMARS24!$A$6:$BG$38,58,0)</f>
        <v>30000</v>
      </c>
      <c r="U27" s="36">
        <f>VLOOKUP($A27,[29]HISTOMARS24!$A$6:$AU$38,28,0)</f>
        <v>0</v>
      </c>
      <c r="V27" s="36">
        <f>VLOOKUP($A27,[29]HISTOMARS24!$A$6:$AU$38,19,0)</f>
        <v>0</v>
      </c>
      <c r="W27" s="36">
        <f>VLOOKUP($A27,[29]HISTOMARS24!$A$6:$AU$38,20,0)</f>
        <v>0</v>
      </c>
      <c r="X27" s="36">
        <f>VLOOKUP($A27,[29]HISTOMARS24!$A$6:$AU$38,27,0)</f>
        <v>0</v>
      </c>
      <c r="Y27" s="36">
        <f>VLOOKUP($A27,[29]HISTOMARS24!$A$6:$BM$38,33,0)</f>
        <v>0</v>
      </c>
      <c r="Z27" s="36">
        <f>VLOOKUP($A27,[29]HISTOMARS24!$A$6:$BM$38,65,0)</f>
        <v>0</v>
      </c>
      <c r="AA27" s="36"/>
      <c r="AB27" s="36">
        <f>VLOOKUP($A27,[29]HISTOMARS24!$A$6:$AU$38,43,0)</f>
        <v>0</v>
      </c>
      <c r="AC27" s="36">
        <f>VLOOKUP($A27,[29]HISTOMARS24!$A$6:$AU$38,44,0)</f>
        <v>0</v>
      </c>
      <c r="AD27" s="36">
        <f>VLOOKUP($A27,[29]HISTOMARS24!$A$6:$AU$38,47,0)</f>
        <v>0</v>
      </c>
      <c r="AE27" s="36">
        <f>VLOOKUP(A27,[29]HISTOMARS24!$A$6:$BB$38,54,0)</f>
        <v>0</v>
      </c>
      <c r="AF27" s="36">
        <f>VLOOKUP($A27,[29]HISTOMARS24!$A$6:$CB$38,60,0)</f>
        <v>0</v>
      </c>
      <c r="AG27" s="36">
        <f>VLOOKUP($A27,[29]HISTOMARS24!$A$6:$CB$38,61,0)</f>
        <v>0</v>
      </c>
      <c r="AH27" s="36">
        <f>VLOOKUP($A27,[29]HISTOMARS24!$A$6:$CB$38,62,0)</f>
        <v>0</v>
      </c>
      <c r="AI27" s="36">
        <f>VLOOKUP($A27,[29]HISTOMARS24!$A$6:$CB$38,63,0)</f>
        <v>0</v>
      </c>
      <c r="AJ27" s="36">
        <f>VLOOKUP($A27,[29]HISTOMARS24!$A$6:$CB$38,64,0)</f>
        <v>0</v>
      </c>
      <c r="AK27" s="36">
        <f>VLOOKUP($A27,[29]HISTOMARS24!$A$6:$CB$38,65,0)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MVTFEV24!I28-E28+L28</f>
        <v>723711.02987328102</v>
      </c>
      <c r="G28" s="5">
        <f>IF(MVTFEV24!I28+L28&gt;700000,(MVTFEV24!I28-E28+L28),0)</f>
        <v>723711.02987328102</v>
      </c>
      <c r="H28" s="36">
        <f t="shared" si="0"/>
        <v>2469.3712799705413</v>
      </c>
      <c r="I28" s="6">
        <f t="shared" si="2"/>
        <v>726180.40115325153</v>
      </c>
      <c r="J28" s="36">
        <f>VLOOKUP($A28,[29]HISTOMARS24!$A$6:$AQ$42,22,0)</f>
        <v>0</v>
      </c>
      <c r="K28" s="36">
        <f>VLOOKUP($A28,[29]HISTOMARS24!$A$6:$AU$38,45,0)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VLOOKUP($A28,[29]HISTOMARS24!$A$6:$AU$38,7,0)</f>
        <v>0</v>
      </c>
      <c r="Q28" s="36">
        <f>VLOOKUP($A28,[29]HISTOMARS24!$A$6:$AU$38,23,0)</f>
        <v>0</v>
      </c>
      <c r="R28" s="36">
        <f>VLOOKUP($A28,[29]HISTOMARS24!$A$6:$AU$38,46,0)</f>
        <v>0</v>
      </c>
      <c r="S28" s="36">
        <f>VLOOKUP($A28,[29]HISTOMARS24!$A$6:$AU$38,26,0)</f>
        <v>50000</v>
      </c>
      <c r="T28" s="36">
        <f>VLOOKUP($A28,[29]HISTOMARS24!$A$6:$BG$38,58,0)</f>
        <v>1500</v>
      </c>
      <c r="U28" s="36">
        <f>VLOOKUP($A28,[29]HISTOMARS24!$A$6:$AU$38,28,0)</f>
        <v>0</v>
      </c>
      <c r="V28" s="36">
        <f>VLOOKUP($A28,[29]HISTOMARS24!$A$6:$AU$38,19,0)</f>
        <v>0</v>
      </c>
      <c r="W28" s="36">
        <f>VLOOKUP($A28,[29]HISTOMARS24!$A$6:$AU$38,20,0)</f>
        <v>0</v>
      </c>
      <c r="X28" s="36" t="str">
        <f>VLOOKUP($A28,[29]HISTOMARS24!$A$6:$AU$38,27,0)</f>
        <v>BANQUE</v>
      </c>
      <c r="Y28" s="36">
        <f>VLOOKUP($A28,[29]HISTOMARS24!$A$6:$BM$38,33,0)</f>
        <v>0</v>
      </c>
      <c r="Z28" s="36">
        <f>VLOOKUP($A28,[29]HISTOMARS24!$A$6:$BM$38,65,0)</f>
        <v>0</v>
      </c>
      <c r="AA28" s="36"/>
      <c r="AB28" s="36">
        <f>VLOOKUP($A28,[29]HISTOMARS24!$A$6:$AU$38,43,0)</f>
        <v>0</v>
      </c>
      <c r="AC28" s="36">
        <f>VLOOKUP($A28,[29]HISTOMARS24!$A$6:$AU$38,44,0)</f>
        <v>0</v>
      </c>
      <c r="AD28" s="36">
        <f>VLOOKUP($A28,[29]HISTOMARS24!$A$6:$AU$38,47,0)</f>
        <v>0</v>
      </c>
      <c r="AE28" s="36">
        <f>VLOOKUP(A28,[29]HISTOMARS24!$A$6:$BB$38,54,0)</f>
        <v>0</v>
      </c>
      <c r="AF28" s="36">
        <f>VLOOKUP($A28,[29]HISTOMARS24!$A$6:$CB$38,60,0)</f>
        <v>0</v>
      </c>
      <c r="AG28" s="36">
        <f>VLOOKUP($A28,[29]HISTOMARS24!$A$6:$CB$38,61,0)</f>
        <v>0</v>
      </c>
      <c r="AH28" s="36">
        <f>VLOOKUP($A28,[29]HISTOMARS24!$A$6:$CB$38,62,0)</f>
        <v>0</v>
      </c>
      <c r="AI28" s="36">
        <f>VLOOKUP($A28,[29]HISTOMARS24!$A$6:$CB$38,63,0)</f>
        <v>0</v>
      </c>
      <c r="AJ28" s="36">
        <f>VLOOKUP($A28,[29]HISTOMARS24!$A$6:$CB$38,64,0)</f>
        <v>0</v>
      </c>
      <c r="AK28" s="36">
        <f>VLOOKUP($A28,[29]HISTOMARS24!$A$6:$CB$38,65,0)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MVTFEV24!I29-E29+L29</f>
        <v>847240.19358644669</v>
      </c>
      <c r="G29" s="5">
        <f>IF(MVTFEV24!I29+L29&gt;700000,(MVTFEV24!I29-E29+L29),0)</f>
        <v>847240.19358644669</v>
      </c>
      <c r="H29" s="36">
        <f t="shared" si="0"/>
        <v>2890.8646060643578</v>
      </c>
      <c r="I29" s="6">
        <f t="shared" si="2"/>
        <v>850131.05819251109</v>
      </c>
      <c r="J29" s="36">
        <f>VLOOKUP($A29,[29]HISTOMARS24!$A$6:$AQ$42,22,0)</f>
        <v>0</v>
      </c>
      <c r="K29" s="36">
        <f>VLOOKUP($A29,[29]HISTOMARS24!$A$6:$AU$38,45,0)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VLOOKUP($A29,[29]HISTOMARS24!$A$6:$AU$38,7,0)</f>
        <v>0</v>
      </c>
      <c r="Q29" s="36">
        <f>VLOOKUP($A29,[29]HISTOMARS24!$A$6:$AU$38,23,0)</f>
        <v>0</v>
      </c>
      <c r="R29" s="36">
        <f>VLOOKUP($A29,[29]HISTOMARS24!$A$6:$AU$38,46,0)</f>
        <v>0</v>
      </c>
      <c r="S29" s="36">
        <f>VLOOKUP($A29,[29]HISTOMARS24!$A$6:$AU$38,26,0)</f>
        <v>0</v>
      </c>
      <c r="T29" s="36">
        <f>VLOOKUP($A29,[29]HISTOMARS24!$A$6:$BG$38,58,0)</f>
        <v>0</v>
      </c>
      <c r="U29" s="36">
        <f>VLOOKUP($A29,[29]HISTOMARS24!$A$6:$AU$38,28,0)</f>
        <v>0</v>
      </c>
      <c r="V29" s="36">
        <f>VLOOKUP($A29,[29]HISTOMARS24!$A$6:$AU$38,19,0)</f>
        <v>0</v>
      </c>
      <c r="W29" s="36">
        <f>VLOOKUP($A29,[29]HISTOMARS24!$A$6:$AU$38,20,0)</f>
        <v>0</v>
      </c>
      <c r="X29" s="36">
        <f>VLOOKUP($A29,[29]HISTOMARS24!$A$6:$AU$38,27,0)</f>
        <v>0</v>
      </c>
      <c r="Y29" s="36">
        <f>VLOOKUP($A29,[29]HISTOMARS24!$A$6:$BM$38,33,0)</f>
        <v>0</v>
      </c>
      <c r="Z29" s="36">
        <f>VLOOKUP($A29,[29]HISTOMARS24!$A$6:$BM$38,65,0)</f>
        <v>0</v>
      </c>
      <c r="AA29" s="36"/>
      <c r="AB29" s="36">
        <f>VLOOKUP($A29,[29]HISTOMARS24!$A$6:$AU$38,43,0)</f>
        <v>0</v>
      </c>
      <c r="AC29" s="36">
        <f>VLOOKUP($A29,[29]HISTOMARS24!$A$6:$AU$38,44,0)</f>
        <v>0</v>
      </c>
      <c r="AD29" s="36">
        <f>VLOOKUP($A29,[29]HISTOMARS24!$A$6:$AU$38,47,0)</f>
        <v>0</v>
      </c>
      <c r="AE29" s="36">
        <f>VLOOKUP(A29,[29]HISTOMARS24!$A$6:$BB$38,54,0)</f>
        <v>0</v>
      </c>
      <c r="AF29" s="36">
        <f>VLOOKUP($A29,[29]HISTOMARS24!$A$6:$CB$38,60,0)</f>
        <v>0</v>
      </c>
      <c r="AG29" s="36">
        <f>VLOOKUP($A29,[29]HISTOMARS24!$A$6:$CB$38,61,0)</f>
        <v>0</v>
      </c>
      <c r="AH29" s="36">
        <f>VLOOKUP($A29,[29]HISTOMARS24!$A$6:$CB$38,62,0)</f>
        <v>0</v>
      </c>
      <c r="AI29" s="36">
        <f>VLOOKUP($A29,[29]HISTOMARS24!$A$6:$CB$38,63,0)</f>
        <v>0</v>
      </c>
      <c r="AJ29" s="36">
        <f>VLOOKUP($A29,[29]HISTOMARS24!$A$6:$CB$38,64,0)</f>
        <v>0</v>
      </c>
      <c r="AK29" s="36">
        <f>VLOOKUP($A29,[29]HISTOMARS24!$A$6:$CB$38,65,0)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MVTFEV24!I30-E30+L30</f>
        <v>753221.00882511924</v>
      </c>
      <c r="G30" s="5">
        <f>IF(MVTFEV24!I30+L30&gt;700000,(MVTFEV24!I30-E30+L30),0)</f>
        <v>753221.00882511924</v>
      </c>
      <c r="H30" s="36">
        <f t="shared" si="0"/>
        <v>2570.0621517249265</v>
      </c>
      <c r="I30" s="6">
        <f t="shared" si="2"/>
        <v>755791.07097684417</v>
      </c>
      <c r="J30" s="36">
        <f>VLOOKUP($A30,[29]HISTOMARS24!$A$6:$AQ$42,22,0)</f>
        <v>0</v>
      </c>
      <c r="K30" s="36">
        <f>VLOOKUP($A30,[29]HISTOMARS24!$A$6:$AU$38,45,0)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VLOOKUP($A30,[29]HISTOMARS24!$A$6:$AU$38,7,0)</f>
        <v>0</v>
      </c>
      <c r="Q30" s="36">
        <f>VLOOKUP($A30,[29]HISTOMARS24!$A$6:$AU$38,23,0)</f>
        <v>0</v>
      </c>
      <c r="R30" s="36">
        <f>VLOOKUP($A30,[29]HISTOMARS24!$A$6:$AU$38,46,0)</f>
        <v>0</v>
      </c>
      <c r="S30" s="36">
        <f>VLOOKUP($A30,[29]HISTOMARS24!$A$6:$AU$38,26,0)</f>
        <v>0</v>
      </c>
      <c r="T30" s="36">
        <f>VLOOKUP($A30,[29]HISTOMARS24!$A$6:$BG$38,58,0)</f>
        <v>0</v>
      </c>
      <c r="U30" s="36">
        <f>VLOOKUP($A30,[29]HISTOMARS24!$A$6:$AU$38,28,0)</f>
        <v>0</v>
      </c>
      <c r="V30" s="36">
        <f>VLOOKUP($A30,[29]HISTOMARS24!$A$6:$AU$38,19,0)</f>
        <v>0</v>
      </c>
      <c r="W30" s="36">
        <f>VLOOKUP($A30,[29]HISTOMARS24!$A$6:$AU$38,20,0)</f>
        <v>0</v>
      </c>
      <c r="X30" s="36">
        <f>VLOOKUP($A30,[29]HISTOMARS24!$A$6:$AU$38,27,0)</f>
        <v>0</v>
      </c>
      <c r="Y30" s="36">
        <f>VLOOKUP($A30,[29]HISTOMARS24!$A$6:$BM$38,33,0)</f>
        <v>0</v>
      </c>
      <c r="Z30" s="36">
        <f>VLOOKUP($A30,[29]HISTOMARS24!$A$6:$BM$38,65,0)</f>
        <v>0</v>
      </c>
      <c r="AA30" s="36"/>
      <c r="AB30" s="36">
        <f>VLOOKUP($A30,[29]HISTOMARS24!$A$6:$AU$38,43,0)</f>
        <v>0</v>
      </c>
      <c r="AC30" s="36">
        <f>VLOOKUP($A30,[29]HISTOMARS24!$A$6:$AU$38,44,0)</f>
        <v>0</v>
      </c>
      <c r="AD30" s="36">
        <f>VLOOKUP($A30,[29]HISTOMARS24!$A$6:$AU$38,47,0)</f>
        <v>0</v>
      </c>
      <c r="AE30" s="36">
        <f>VLOOKUP(A30,[29]HISTOMARS24!$A$6:$BB$38,54,0)</f>
        <v>0</v>
      </c>
      <c r="AF30" s="36">
        <f>VLOOKUP($A30,[29]HISTOMARS24!$A$6:$CB$38,60,0)</f>
        <v>0</v>
      </c>
      <c r="AG30" s="36">
        <f>VLOOKUP($A30,[29]HISTOMARS24!$A$6:$CB$38,61,0)</f>
        <v>0</v>
      </c>
      <c r="AH30" s="36">
        <f>VLOOKUP($A30,[29]HISTOMARS24!$A$6:$CB$38,62,0)</f>
        <v>0</v>
      </c>
      <c r="AI30" s="36">
        <f>VLOOKUP($A30,[29]HISTOMARS24!$A$6:$CB$38,63,0)</f>
        <v>0</v>
      </c>
      <c r="AJ30" s="36">
        <f>VLOOKUP($A30,[29]HISTOMARS24!$A$6:$CB$38,64,0)</f>
        <v>0</v>
      </c>
      <c r="AK30" s="36">
        <f>VLOOKUP($A30,[29]HISTOMARS24!$A$6:$CB$38,65,0)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MVTFEV24!I31-E31+L31</f>
        <v>911688.70865958696</v>
      </c>
      <c r="G31" s="5">
        <f>IF(MVTFEV24!I31+L31&gt;700000,(MVTFEV24!I31-E31+L31),0)</f>
        <v>911688.70865958696</v>
      </c>
      <c r="H31" s="36">
        <f t="shared" si="0"/>
        <v>3110.7691060499765</v>
      </c>
      <c r="I31" s="6">
        <f t="shared" si="2"/>
        <v>914799.47776563698</v>
      </c>
      <c r="J31" s="36">
        <f>VLOOKUP($A31,[29]HISTOMARS24!$A$6:$AQ$42,22,0)</f>
        <v>0</v>
      </c>
      <c r="K31" s="36">
        <f>VLOOKUP($A31,[29]HISTOMARS24!$A$6:$AU$38,45,0)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VLOOKUP($A31,[29]HISTOMARS24!$A$6:$AU$38,7,0)</f>
        <v>0</v>
      </c>
      <c r="Q31" s="36">
        <f>VLOOKUP($A31,[29]HISTOMARS24!$A$6:$AU$38,23,0)</f>
        <v>0</v>
      </c>
      <c r="R31" s="36">
        <f>VLOOKUP($A31,[29]HISTOMARS24!$A$6:$AU$38,46,0)</f>
        <v>0</v>
      </c>
      <c r="S31" s="36">
        <f>VLOOKUP($A31,[29]HISTOMARS24!$A$6:$AU$38,26,0)</f>
        <v>0</v>
      </c>
      <c r="T31" s="36">
        <f>VLOOKUP($A31,[29]HISTOMARS24!$A$6:$BG$38,58,0)</f>
        <v>0</v>
      </c>
      <c r="U31" s="36">
        <f>VLOOKUP($A31,[29]HISTOMARS24!$A$6:$AU$38,28,0)</f>
        <v>0</v>
      </c>
      <c r="V31" s="36">
        <f>VLOOKUP($A31,[29]HISTOMARS24!$A$6:$AU$38,19,0)</f>
        <v>0</v>
      </c>
      <c r="W31" s="36">
        <f>VLOOKUP($A31,[29]HISTOMARS24!$A$6:$AU$38,20,0)</f>
        <v>0</v>
      </c>
      <c r="X31" s="36">
        <f>VLOOKUP($A31,[29]HISTOMARS24!$A$6:$AU$38,27,0)</f>
        <v>0</v>
      </c>
      <c r="Y31" s="36">
        <f>VLOOKUP($A31,[29]HISTOMARS24!$A$6:$BM$38,33,0)</f>
        <v>0</v>
      </c>
      <c r="Z31" s="36">
        <f>VLOOKUP($A31,[29]HISTOMARS24!$A$6:$BM$38,65,0)</f>
        <v>0</v>
      </c>
      <c r="AA31" s="36"/>
      <c r="AB31" s="36">
        <f>VLOOKUP($A31,[29]HISTOMARS24!$A$6:$AU$38,43,0)</f>
        <v>0</v>
      </c>
      <c r="AC31" s="36">
        <f>VLOOKUP($A31,[29]HISTOMARS24!$A$6:$AU$38,44,0)</f>
        <v>0</v>
      </c>
      <c r="AD31" s="36">
        <f>VLOOKUP($A31,[29]HISTOMARS24!$A$6:$AU$38,47,0)</f>
        <v>0</v>
      </c>
      <c r="AE31" s="36">
        <f>VLOOKUP(A31,[29]HISTOMARS24!$A$6:$BB$38,54,0)</f>
        <v>0</v>
      </c>
      <c r="AF31" s="36">
        <f>VLOOKUP($A31,[29]HISTOMARS24!$A$6:$CB$38,60,0)</f>
        <v>0</v>
      </c>
      <c r="AG31" s="36">
        <f>VLOOKUP($A31,[29]HISTOMARS24!$A$6:$CB$38,61,0)</f>
        <v>0</v>
      </c>
      <c r="AH31" s="36">
        <f>VLOOKUP($A31,[29]HISTOMARS24!$A$6:$CB$38,62,0)</f>
        <v>0</v>
      </c>
      <c r="AI31" s="36">
        <f>VLOOKUP($A31,[29]HISTOMARS24!$A$6:$CB$38,63,0)</f>
        <v>0</v>
      </c>
      <c r="AJ31" s="36">
        <f>VLOOKUP($A31,[29]HISTOMARS24!$A$6:$CB$38,64,0)</f>
        <v>0</v>
      </c>
      <c r="AK31" s="36">
        <f>VLOOKUP($A31,[29]HISTOMARS24!$A$6:$CB$38,65,0)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MVTFEV24!I32-E32+L32</f>
        <v>801547.77208029735</v>
      </c>
      <c r="G32" s="5">
        <f>IF(MVTFEV24!I32+L32&gt;700000,(MVTFEV24!I32-E32+L32),0)</f>
        <v>801547.77208029735</v>
      </c>
      <c r="H32" s="36">
        <f t="shared" si="0"/>
        <v>2734.9576919478909</v>
      </c>
      <c r="I32" s="6">
        <f t="shared" si="2"/>
        <v>804282.72977224528</v>
      </c>
      <c r="J32" s="36">
        <f>VLOOKUP($A32,[29]HISTOMARS24!$A$6:$AQ$42,22,0)</f>
        <v>0</v>
      </c>
      <c r="K32" s="36">
        <f>VLOOKUP($A32,[29]HISTOMARS24!$A$6:$AU$38,45,0)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VLOOKUP($A32,[29]HISTOMARS24!$A$6:$AU$38,7,0)</f>
        <v>0</v>
      </c>
      <c r="Q32" s="36">
        <f>VLOOKUP($A32,[29]HISTOMARS24!$A$6:$AU$38,23,0)</f>
        <v>0</v>
      </c>
      <c r="R32" s="36">
        <f>VLOOKUP($A32,[29]HISTOMARS24!$A$6:$AU$38,46,0)</f>
        <v>0</v>
      </c>
      <c r="S32" s="36">
        <f>VLOOKUP($A32,[29]HISTOMARS24!$A$6:$AU$38,26,0)</f>
        <v>1000000</v>
      </c>
      <c r="T32" s="36">
        <f>VLOOKUP($A32,[29]HISTOMARS24!$A$6:$BG$38,58,0)</f>
        <v>30000</v>
      </c>
      <c r="U32" s="36">
        <f>VLOOKUP($A32,[29]HISTOMARS24!$A$6:$AU$38,28,0)</f>
        <v>0</v>
      </c>
      <c r="V32" s="36">
        <f>VLOOKUP($A32,[29]HISTOMARS24!$A$6:$AU$38,19,0)</f>
        <v>250000</v>
      </c>
      <c r="W32" s="36">
        <f>VLOOKUP($A32,[29]HISTOMARS24!$A$6:$AU$38,20,0)</f>
        <v>0</v>
      </c>
      <c r="X32" s="36">
        <f>VLOOKUP($A32,[29]HISTOMARS24!$A$6:$AU$38,27,0)</f>
        <v>0</v>
      </c>
      <c r="Y32" s="36">
        <f>VLOOKUP($A32,[29]HISTOMARS24!$A$6:$BM$38,33,0)</f>
        <v>0</v>
      </c>
      <c r="Z32" s="36">
        <f>VLOOKUP($A32,[29]HISTOMARS24!$A$6:$BM$38,65,0)</f>
        <v>0</v>
      </c>
      <c r="AA32" s="36"/>
      <c r="AB32" s="36">
        <f>VLOOKUP($A32,[29]HISTOMARS24!$A$6:$AU$38,43,0)</f>
        <v>0</v>
      </c>
      <c r="AC32" s="36">
        <f>VLOOKUP($A32,[29]HISTOMARS24!$A$6:$AU$38,44,0)</f>
        <v>0</v>
      </c>
      <c r="AD32" s="36">
        <f>VLOOKUP($A32,[29]HISTOMARS24!$A$6:$AU$38,47,0)</f>
        <v>0</v>
      </c>
      <c r="AE32" s="36">
        <f>VLOOKUP(A32,[29]HISTOMARS24!$A$6:$BB$38,54,0)</f>
        <v>0</v>
      </c>
      <c r="AF32" s="36">
        <f>VLOOKUP($A32,[29]HISTOMARS24!$A$6:$CB$38,60,0)</f>
        <v>0</v>
      </c>
      <c r="AG32" s="36">
        <f>VLOOKUP($A32,[29]HISTOMARS24!$A$6:$CB$38,61,0)</f>
        <v>0</v>
      </c>
      <c r="AH32" s="36">
        <f>VLOOKUP($A32,[29]HISTOMARS24!$A$6:$CB$38,62,0)</f>
        <v>0</v>
      </c>
      <c r="AI32" s="36">
        <f>VLOOKUP($A32,[29]HISTOMARS24!$A$6:$CB$38,63,0)</f>
        <v>0</v>
      </c>
      <c r="AJ32" s="36">
        <f>VLOOKUP($A32,[29]HISTOMARS24!$A$6:$CB$38,64,0)</f>
        <v>0</v>
      </c>
      <c r="AK32" s="36">
        <f>VLOOKUP($A32,[29]HISTOMARS24!$A$6:$CB$38,65,0)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MVTFEV24!I33-E33+L33</f>
        <v>801854.99485106289</v>
      </c>
      <c r="G33" s="5">
        <f>IF(MVTFEV24!I33+L33&gt;700000,(MVTFEV24!I33-E33+L33),0)</f>
        <v>801854.99485106289</v>
      </c>
      <c r="H33" s="36">
        <f t="shared" si="0"/>
        <v>2736.0059654373999</v>
      </c>
      <c r="I33" s="6">
        <f t="shared" si="2"/>
        <v>804591.00081650028</v>
      </c>
      <c r="J33" s="36">
        <f>VLOOKUP($A33,[29]HISTOMARS24!$A$6:$AQ$42,22,0)</f>
        <v>0</v>
      </c>
      <c r="K33" s="36">
        <f>VLOOKUP($A33,[29]HISTOMARS24!$A$6:$AU$38,45,0)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VLOOKUP($A33,[29]HISTOMARS24!$A$6:$AU$38,7,0)</f>
        <v>0</v>
      </c>
      <c r="Q33" s="36">
        <f>VLOOKUP($A33,[29]HISTOMARS24!$A$6:$AU$38,23,0)</f>
        <v>0</v>
      </c>
      <c r="R33" s="36">
        <f>VLOOKUP($A33,[29]HISTOMARS24!$A$6:$AU$38,46,0)</f>
        <v>0</v>
      </c>
      <c r="S33" s="36">
        <f>VLOOKUP($A33,[29]HISTOMARS24!$A$6:$AU$38,26,0)</f>
        <v>0</v>
      </c>
      <c r="T33" s="36">
        <f>VLOOKUP($A33,[29]HISTOMARS24!$A$6:$BG$38,58,0)</f>
        <v>0</v>
      </c>
      <c r="U33" s="36">
        <f>VLOOKUP($A33,[29]HISTOMARS24!$A$6:$AU$38,28,0)</f>
        <v>0</v>
      </c>
      <c r="V33" s="36">
        <f>VLOOKUP($A33,[29]HISTOMARS24!$A$6:$AU$38,19,0)</f>
        <v>0</v>
      </c>
      <c r="W33" s="36">
        <f>VLOOKUP($A33,[29]HISTOMARS24!$A$6:$AU$38,20,0)</f>
        <v>0</v>
      </c>
      <c r="X33" s="36">
        <f>VLOOKUP($A33,[29]HISTOMARS24!$A$6:$AU$38,27,0)</f>
        <v>0</v>
      </c>
      <c r="Y33" s="36">
        <f>VLOOKUP($A33,[29]HISTOMARS24!$A$6:$BM$38,33,0)</f>
        <v>0</v>
      </c>
      <c r="Z33" s="36">
        <f>VLOOKUP($A33,[29]HISTOMARS24!$A$6:$BM$38,65,0)</f>
        <v>0</v>
      </c>
      <c r="AA33" s="36"/>
      <c r="AB33" s="36">
        <f>VLOOKUP($A33,[29]HISTOMARS24!$A$6:$AU$38,43,0)</f>
        <v>0</v>
      </c>
      <c r="AC33" s="36">
        <f>VLOOKUP($A33,[29]HISTOMARS24!$A$6:$AU$38,44,0)</f>
        <v>0</v>
      </c>
      <c r="AD33" s="36">
        <f>VLOOKUP($A33,[29]HISTOMARS24!$A$6:$AU$38,47,0)</f>
        <v>0</v>
      </c>
      <c r="AE33" s="36">
        <f>VLOOKUP(A33,[29]HISTOMARS24!$A$6:$BB$38,54,0)</f>
        <v>0</v>
      </c>
      <c r="AF33" s="36">
        <f>VLOOKUP($A33,[29]HISTOMARS24!$A$6:$CB$38,60,0)</f>
        <v>0</v>
      </c>
      <c r="AG33" s="36">
        <f>VLOOKUP($A33,[29]HISTOMARS24!$A$6:$CB$38,61,0)</f>
        <v>0</v>
      </c>
      <c r="AH33" s="36">
        <f>VLOOKUP($A33,[29]HISTOMARS24!$A$6:$CB$38,62,0)</f>
        <v>0</v>
      </c>
      <c r="AI33" s="36">
        <f>VLOOKUP($A33,[29]HISTOMARS24!$A$6:$CB$38,63,0)</f>
        <v>0</v>
      </c>
      <c r="AJ33" s="36">
        <f>VLOOKUP($A33,[29]HISTOMARS24!$A$6:$CB$38,64,0)</f>
        <v>0</v>
      </c>
      <c r="AK33" s="36">
        <f>VLOOKUP($A33,[29]HISTOMARS24!$A$6:$CB$38,65,0)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MVTFEV24!I34-E34+L34</f>
        <v>382000</v>
      </c>
      <c r="G34" s="5">
        <f>IF(MVTFEV24!I34+L34&gt;700000,(MVTFEV24!I34-E34+L34),0)</f>
        <v>0</v>
      </c>
      <c r="H34" s="36">
        <f t="shared" si="0"/>
        <v>0</v>
      </c>
      <c r="I34" s="6">
        <f t="shared" si="2"/>
        <v>382000</v>
      </c>
      <c r="J34" s="36">
        <f>VLOOKUP($A34,[29]HISTOMARS24!$A$6:$AQ$42,22,0)</f>
        <v>0</v>
      </c>
      <c r="K34" s="36">
        <f>VLOOKUP($A34,[29]HISTOMARS24!$A$6:$AU$38,45,0)</f>
        <v>75000</v>
      </c>
      <c r="L34" s="36">
        <f t="shared" si="3"/>
        <v>69000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VLOOKUP($A34,[29]HISTOMARS24!$A$6:$AU$38,7,0)</f>
        <v>0</v>
      </c>
      <c r="Q34" s="36">
        <f>VLOOKUP($A34,[29]HISTOMARS24!$A$6:$AU$38,23,0)</f>
        <v>0</v>
      </c>
      <c r="R34" s="36">
        <f>VLOOKUP($A34,[29]HISTOMARS24!$A$6:$AU$38,46,0)</f>
        <v>0</v>
      </c>
      <c r="S34" s="36">
        <f>VLOOKUP($A34,[29]HISTOMARS24!$A$6:$AU$38,26,0)</f>
        <v>0</v>
      </c>
      <c r="T34" s="36">
        <f>VLOOKUP($A34,[29]HISTOMARS24!$A$6:$BG$38,58,0)</f>
        <v>0</v>
      </c>
      <c r="U34" s="36">
        <f>VLOOKUP($A34,[29]HISTOMARS24!$A$6:$AU$38,28,0)</f>
        <v>0</v>
      </c>
      <c r="V34" s="36">
        <f>VLOOKUP($A34,[29]HISTOMARS24!$A$6:$AU$38,19,0)</f>
        <v>0</v>
      </c>
      <c r="W34" s="36">
        <f>VLOOKUP($A34,[29]HISTOMARS24!$A$6:$AU$38,20,0)</f>
        <v>0</v>
      </c>
      <c r="X34" s="36">
        <f>VLOOKUP($A34,[29]HISTOMARS24!$A$6:$AU$38,27,0)</f>
        <v>0</v>
      </c>
      <c r="Y34" s="36">
        <f>VLOOKUP($A34,[29]HISTOMARS24!$A$6:$BM$38,33,0)</f>
        <v>0</v>
      </c>
      <c r="Z34" s="36">
        <f>VLOOKUP($A34,[29]HISTOMARS24!$A$6:$BM$38,65,0)</f>
        <v>0</v>
      </c>
      <c r="AA34" s="36"/>
      <c r="AB34" s="36">
        <f>VLOOKUP($A34,[29]HISTOMARS24!$A$6:$AU$38,43,0)</f>
        <v>0</v>
      </c>
      <c r="AC34" s="36">
        <f>VLOOKUP($A34,[29]HISTOMARS24!$A$6:$AU$38,44,0)</f>
        <v>0</v>
      </c>
      <c r="AD34" s="36">
        <f>VLOOKUP($A34,[29]HISTOMARS24!$A$6:$AU$38,47,0)</f>
        <v>0</v>
      </c>
      <c r="AE34" s="36">
        <f>VLOOKUP(A34,[29]HISTOMARS24!$A$6:$BB$38,54,0)</f>
        <v>0</v>
      </c>
      <c r="AF34" s="36">
        <f>VLOOKUP($A34,[29]HISTOMARS24!$A$6:$CB$38,60,0)</f>
        <v>0</v>
      </c>
      <c r="AG34" s="36">
        <f>VLOOKUP($A34,[29]HISTOMARS24!$A$6:$CB$38,61,0)</f>
        <v>0</v>
      </c>
      <c r="AH34" s="36">
        <f>VLOOKUP($A34,[29]HISTOMARS24!$A$6:$CB$38,62,0)</f>
        <v>0</v>
      </c>
      <c r="AI34" s="36">
        <f>VLOOKUP($A34,[29]HISTOMARS24!$A$6:$CB$38,63,0)</f>
        <v>0</v>
      </c>
      <c r="AJ34" s="36">
        <f>VLOOKUP($A34,[29]HISTOMARS24!$A$6:$CB$38,64,0)</f>
        <v>0</v>
      </c>
      <c r="AK34" s="36">
        <f>VLOOKUP($A34,[29]HISTOMARS24!$A$6:$CB$38,65,0)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MVTFEV24!I35-E35+L35</f>
        <v>160000</v>
      </c>
      <c r="G35" s="5">
        <f>IF(MVTFEV24!I35+L35&gt;700000,(MVTFEV24!I35-E35+L35),0)</f>
        <v>0</v>
      </c>
      <c r="H35" s="36">
        <f t="shared" si="0"/>
        <v>0</v>
      </c>
      <c r="I35" s="6">
        <f t="shared" si="2"/>
        <v>160000</v>
      </c>
      <c r="J35" s="36">
        <f>VLOOKUP($A35,[29]HISTOMARS24!$A$6:$AQ$42,22,0)</f>
        <v>0</v>
      </c>
      <c r="K35" s="36">
        <f>VLOOKUP($A35,[29]HISTOMARS24!$A$6:$AU$38,45,0)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VLOOKUP($A35,[29]HISTOMARS24!$A$6:$AU$38,7,0)</f>
        <v>0</v>
      </c>
      <c r="Q35" s="36">
        <f>VLOOKUP($A35,[29]HISTOMARS24!$A$6:$AU$38,23,0)</f>
        <v>0</v>
      </c>
      <c r="R35" s="36">
        <f>VLOOKUP($A35,[29]HISTOMARS24!$A$6:$AU$38,46,0)</f>
        <v>0</v>
      </c>
      <c r="S35" s="36">
        <f>VLOOKUP($A35,[29]HISTOMARS24!$A$6:$AU$38,26,0)</f>
        <v>0</v>
      </c>
      <c r="T35" s="36">
        <f>VLOOKUP($A35,[29]HISTOMARS24!$A$6:$BG$38,58,0)</f>
        <v>0</v>
      </c>
      <c r="U35" s="36">
        <f>VLOOKUP($A35,[29]HISTOMARS24!$A$6:$AU$38,28,0)</f>
        <v>0</v>
      </c>
      <c r="V35" s="36">
        <f>VLOOKUP($A35,[29]HISTOMARS24!$A$6:$AU$38,19,0)</f>
        <v>0</v>
      </c>
      <c r="W35" s="36">
        <f>VLOOKUP($A35,[29]HISTOMARS24!$A$6:$AU$38,20,0)</f>
        <v>0</v>
      </c>
      <c r="X35" s="36">
        <f>VLOOKUP($A35,[29]HISTOMARS24!$A$6:$AU$38,27,0)</f>
        <v>0</v>
      </c>
      <c r="Y35" s="36">
        <f>VLOOKUP($A35,[29]HISTOMARS24!$A$6:$BM$38,33,0)</f>
        <v>0</v>
      </c>
      <c r="Z35" s="36">
        <f>VLOOKUP($A35,[29]HISTOMARS24!$A$6:$BM$38,65,0)</f>
        <v>0</v>
      </c>
      <c r="AA35" s="36"/>
      <c r="AB35" s="36">
        <f>VLOOKUP($A35,[29]HISTOMARS24!$A$6:$AU$38,43,0)</f>
        <v>0</v>
      </c>
      <c r="AC35" s="36">
        <f>VLOOKUP($A35,[29]HISTOMARS24!$A$6:$AU$38,44,0)</f>
        <v>0</v>
      </c>
      <c r="AD35" s="36">
        <f>VLOOKUP($A35,[29]HISTOMARS24!$A$6:$AU$38,47,0)</f>
        <v>0</v>
      </c>
      <c r="AE35" s="36">
        <f>VLOOKUP(A35,[29]HISTOMARS24!$A$6:$BB$38,54,0)</f>
        <v>0</v>
      </c>
      <c r="AF35" s="36">
        <f>VLOOKUP($A35,[29]HISTOMARS24!$A$6:$CB$38,60,0)</f>
        <v>0</v>
      </c>
      <c r="AG35" s="36">
        <f>VLOOKUP($A35,[29]HISTOMARS24!$A$6:$CB$38,61,0)</f>
        <v>0</v>
      </c>
      <c r="AH35" s="36">
        <f>VLOOKUP($A35,[29]HISTOMARS24!$A$6:$CB$38,62,0)</f>
        <v>0</v>
      </c>
      <c r="AI35" s="36">
        <f>VLOOKUP($A35,[29]HISTOMARS24!$A$6:$CB$38,63,0)</f>
        <v>0</v>
      </c>
      <c r="AJ35" s="36">
        <f>VLOOKUP($A35,[29]HISTOMARS24!$A$6:$CB$38,64,0)</f>
        <v>0</v>
      </c>
      <c r="AK35" s="36">
        <f>VLOOKUP($A35,[29]HISTOMARS24!$A$6:$CB$38,65,0)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MVTFEV24!I36-E36+L36</f>
        <v>828813.59386187978</v>
      </c>
      <c r="G36" s="5">
        <f>IF(MVTFEV24!I36+L36&gt;700000,(MVTFEV24!I36-E36+L36),0)</f>
        <v>828813.59386187978</v>
      </c>
      <c r="H36" s="36">
        <f t="shared" si="0"/>
        <v>2827.9912847121518</v>
      </c>
      <c r="I36" s="6">
        <f t="shared" si="2"/>
        <v>831641.58514659188</v>
      </c>
      <c r="J36" s="36">
        <f>VLOOKUP($A36,[29]HISTOMARS24!$A$6:$AQ$42,22,0)</f>
        <v>0</v>
      </c>
      <c r="K36" s="36">
        <f>VLOOKUP($A36,[29]HISTOMARS24!$A$6:$AU$38,45,0)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VLOOKUP($A36,[29]HISTOMARS24!$A$6:$AU$38,7,0)</f>
        <v>0</v>
      </c>
      <c r="Q36" s="36">
        <f>VLOOKUP($A36,[29]HISTOMARS24!$A$6:$AU$38,23,0)</f>
        <v>0</v>
      </c>
      <c r="R36" s="36">
        <f>VLOOKUP($A36,[29]HISTOMARS24!$A$6:$AU$38,46,0)</f>
        <v>0</v>
      </c>
      <c r="S36" s="36">
        <f>VLOOKUP($A36,[29]HISTOMARS24!$A$6:$AU$38,26,0)</f>
        <v>0</v>
      </c>
      <c r="T36" s="36">
        <f>VLOOKUP($A36,[29]HISTOMARS24!$A$6:$BG$38,58,0)</f>
        <v>0</v>
      </c>
      <c r="U36" s="36">
        <f>VLOOKUP($A36,[29]HISTOMARS24!$A$6:$AU$38,28,0)</f>
        <v>0</v>
      </c>
      <c r="V36" s="36">
        <f>VLOOKUP($A36,[29]HISTOMARS24!$A$6:$AU$38,19,0)</f>
        <v>0</v>
      </c>
      <c r="W36" s="36">
        <f>VLOOKUP($A36,[29]HISTOMARS24!$A$6:$AU$38,20,0)</f>
        <v>0</v>
      </c>
      <c r="X36" s="36">
        <f>VLOOKUP($A36,[29]HISTOMARS24!$A$6:$AU$38,27,0)</f>
        <v>0</v>
      </c>
      <c r="Y36" s="36">
        <f>VLOOKUP($A36,[29]HISTOMARS24!$A$6:$BM$38,33,0)</f>
        <v>0</v>
      </c>
      <c r="Z36" s="36">
        <f>VLOOKUP($A36,[29]HISTOMARS24!$A$6:$BM$38,65,0)</f>
        <v>0</v>
      </c>
      <c r="AA36" s="36"/>
      <c r="AB36" s="36">
        <f>VLOOKUP($A36,[29]HISTOMARS24!$A$6:$AU$38,43,0)</f>
        <v>0</v>
      </c>
      <c r="AC36" s="36">
        <f>VLOOKUP($A36,[29]HISTOMARS24!$A$6:$AU$38,44,0)</f>
        <v>0</v>
      </c>
      <c r="AD36" s="36">
        <f>VLOOKUP($A36,[29]HISTOMARS24!$A$6:$AU$38,47,0)</f>
        <v>0</v>
      </c>
      <c r="AE36" s="36">
        <f>VLOOKUP(A36,[29]HISTOMARS24!$A$6:$BB$38,54,0)</f>
        <v>0</v>
      </c>
      <c r="AF36" s="36">
        <f>VLOOKUP($A36,[29]HISTOMARS24!$A$6:$CB$38,60,0)</f>
        <v>0</v>
      </c>
      <c r="AG36" s="36">
        <f>VLOOKUP($A36,[29]HISTOMARS24!$A$6:$CB$38,61,0)</f>
        <v>0</v>
      </c>
      <c r="AH36" s="36">
        <f>VLOOKUP($A36,[29]HISTOMARS24!$A$6:$CB$38,62,0)</f>
        <v>0</v>
      </c>
      <c r="AI36" s="36">
        <f>VLOOKUP($A36,[29]HISTOMARS24!$A$6:$CB$38,63,0)</f>
        <v>0</v>
      </c>
      <c r="AJ36" s="36">
        <f>VLOOKUP($A36,[29]HISTOMARS24!$A$6:$CB$38,64,0)</f>
        <v>0</v>
      </c>
      <c r="AK36" s="36">
        <f>VLOOKUP($A36,[29]HISTOMARS24!$A$6:$CB$38,65,0)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MVTFEV24!I37-E37+L37</f>
        <v>1866693.9583399089</v>
      </c>
      <c r="G37" s="5">
        <f>IF(MVTFEV24!I37+L37&gt;700000,(MVTFEV24!I37-E37+L37),0)</f>
        <v>1866693.9583399089</v>
      </c>
      <c r="H37" s="36">
        <f t="shared" si="0"/>
        <v>6369.3383946714384</v>
      </c>
      <c r="I37" s="6">
        <f t="shared" si="2"/>
        <v>1873063.2967345803</v>
      </c>
      <c r="J37" s="36">
        <f>VLOOKUP($A37,[29]HISTOMARS24!$A$6:$AQ$42,22,0)</f>
        <v>0</v>
      </c>
      <c r="K37" s="36">
        <f>VLOOKUP($A37,[29]HISTOMARS24!$A$6:$AU$38,45,0)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VLOOKUP($A37,[29]HISTOMARS24!$A$6:$AU$38,7,0)</f>
        <v>0</v>
      </c>
      <c r="Q37" s="36">
        <f>VLOOKUP($A37,[29]HISTOMARS24!$A$6:$AU$38,23,0)</f>
        <v>0</v>
      </c>
      <c r="R37" s="36">
        <f>VLOOKUP($A37,[29]HISTOMARS24!$A$6:$AU$38,46,0)</f>
        <v>0</v>
      </c>
      <c r="S37" s="36">
        <f>VLOOKUP($A37,[29]HISTOMARS24!$A$6:$AU$38,26,0)</f>
        <v>0</v>
      </c>
      <c r="T37" s="36">
        <f>VLOOKUP($A37,[29]HISTOMARS24!$A$6:$BG$38,58,0)</f>
        <v>0</v>
      </c>
      <c r="U37" s="36">
        <f>VLOOKUP($A37,[29]HISTOMARS24!$A$6:$AU$38,28,0)</f>
        <v>0</v>
      </c>
      <c r="V37" s="36">
        <f>VLOOKUP($A37,[29]HISTOMARS24!$A$6:$AU$38,19,0)</f>
        <v>0</v>
      </c>
      <c r="W37" s="36">
        <f>VLOOKUP($A37,[29]HISTOMARS24!$A$6:$AU$38,20,0)</f>
        <v>0</v>
      </c>
      <c r="X37" s="36">
        <f>VLOOKUP($A37,[29]HISTOMARS24!$A$6:$AU$38,27,0)</f>
        <v>0</v>
      </c>
      <c r="Y37" s="36">
        <f>VLOOKUP($A37,[29]HISTOMARS24!$A$6:$BM$38,33,0)</f>
        <v>0</v>
      </c>
      <c r="Z37" s="36">
        <f>VLOOKUP($A37,[29]HISTOMARS24!$A$6:$BM$38,65,0)</f>
        <v>0</v>
      </c>
      <c r="AA37" s="36"/>
      <c r="AB37" s="36">
        <f>VLOOKUP($A37,[29]HISTOMARS24!$A$6:$AU$38,43,0)</f>
        <v>0</v>
      </c>
      <c r="AC37" s="36">
        <f>VLOOKUP($A37,[29]HISTOMARS24!$A$6:$AU$38,44,0)</f>
        <v>0</v>
      </c>
      <c r="AD37" s="36">
        <f>VLOOKUP($A37,[29]HISTOMARS24!$A$6:$AU$38,47,0)</f>
        <v>0</v>
      </c>
      <c r="AE37" s="36">
        <f>VLOOKUP(A37,[29]HISTOMARS24!$A$6:$BB$38,54,0)</f>
        <v>0</v>
      </c>
      <c r="AF37" s="36">
        <f>VLOOKUP($A37,[29]HISTOMARS24!$A$6:$CB$38,60,0)</f>
        <v>0</v>
      </c>
      <c r="AG37" s="36">
        <f>VLOOKUP($A37,[29]HISTOMARS24!$A$6:$CB$38,61,0)</f>
        <v>0</v>
      </c>
      <c r="AH37" s="36">
        <f>VLOOKUP($A37,[29]HISTOMARS24!$A$6:$CB$38,62,0)</f>
        <v>0</v>
      </c>
      <c r="AI37" s="36">
        <f>VLOOKUP($A37,[29]HISTOMARS24!$A$6:$CB$38,63,0)</f>
        <v>0</v>
      </c>
      <c r="AJ37" s="36">
        <f>VLOOKUP($A37,[29]HISTOMARS24!$A$6:$CB$38,64,0)</f>
        <v>0</v>
      </c>
      <c r="AK37" s="36">
        <f>VLOOKUP($A37,[29]HISTOMARS24!$A$6:$CB$38,65,0)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MVTFEV24!I38-E38+L38</f>
        <v>57000</v>
      </c>
      <c r="G38" s="5">
        <f>IF(MVTFEV24!I38+L38&gt;700000,(MVTFEV24!I38-E38+L38),0)</f>
        <v>0</v>
      </c>
      <c r="H38" s="36">
        <f t="shared" si="0"/>
        <v>0</v>
      </c>
      <c r="I38" s="6">
        <f t="shared" si="2"/>
        <v>57000</v>
      </c>
      <c r="J38" s="36">
        <f>VLOOKUP($A38,[29]HISTOMARS24!$A$6:$AQ$42,22,0)</f>
        <v>0</v>
      </c>
      <c r="K38" s="36">
        <f>VLOOKUP($A38,[29]HISTOMARS24!$A$6:$AU$38,45,0)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VLOOKUP($A38,[29]HISTOMARS24!$A$6:$AU$38,7,0)</f>
        <v>3000</v>
      </c>
      <c r="Q38" s="36">
        <f>VLOOKUP($A38,[29]HISTOMARS24!$A$6:$AU$38,23,0)</f>
        <v>0</v>
      </c>
      <c r="R38" s="36">
        <f>VLOOKUP($A38,[29]HISTOMARS24!$A$6:$AU$38,46,0)</f>
        <v>0</v>
      </c>
      <c r="S38" s="36">
        <f>VLOOKUP($A38,[29]HISTOMARS24!$A$6:$AU$38,26,0)</f>
        <v>0</v>
      </c>
      <c r="T38" s="36">
        <f>VLOOKUP($A38,[29]HISTOMARS24!$A$6:$BG$38,58,0)</f>
        <v>0</v>
      </c>
      <c r="U38" s="36">
        <f>VLOOKUP($A38,[29]HISTOMARS24!$A$6:$AU$38,28,0)</f>
        <v>0</v>
      </c>
      <c r="V38" s="36">
        <f>VLOOKUP($A38,[29]HISTOMARS24!$A$6:$AU$38,19,0)</f>
        <v>0</v>
      </c>
      <c r="W38" s="36">
        <f>VLOOKUP($A38,[29]HISTOMARS24!$A$6:$AU$38,20,0)</f>
        <v>0</v>
      </c>
      <c r="X38" s="36">
        <f>VLOOKUP($A38,[29]HISTOMARS24!$A$6:$AU$38,27,0)</f>
        <v>0</v>
      </c>
      <c r="Y38" s="36">
        <f>VLOOKUP($A38,[29]HISTOMARS24!$A$6:$BM$38,33,0)</f>
        <v>0</v>
      </c>
      <c r="Z38" s="36">
        <f>VLOOKUP($A38,[29]HISTOMARS24!$A$6:$BM$38,65,0)</f>
        <v>0</v>
      </c>
      <c r="AA38" s="36"/>
      <c r="AB38" s="36">
        <f>VLOOKUP($A38,[29]HISTOMARS24!$A$6:$AU$38,43,0)</f>
        <v>0</v>
      </c>
      <c r="AC38" s="36">
        <f>VLOOKUP($A38,[29]HISTOMARS24!$A$6:$AU$38,44,0)</f>
        <v>0</v>
      </c>
      <c r="AD38" s="36">
        <f>VLOOKUP($A38,[29]HISTOMARS24!$A$6:$AU$38,47,0)</f>
        <v>0</v>
      </c>
      <c r="AE38" s="36">
        <f>VLOOKUP(A38,[29]HISTOMARS24!$A$6:$BB$38,54,0)</f>
        <v>0</v>
      </c>
      <c r="AF38" s="36">
        <f>VLOOKUP($A38,[29]HISTOMARS24!$A$6:$CB$38,60,0)</f>
        <v>0</v>
      </c>
      <c r="AG38" s="36">
        <f>VLOOKUP($A38,[29]HISTOMARS24!$A$6:$CB$38,61,0)</f>
        <v>0</v>
      </c>
      <c r="AH38" s="36">
        <f>VLOOKUP($A38,[29]HISTOMARS24!$A$6:$CB$38,62,0)</f>
        <v>0</v>
      </c>
      <c r="AI38" s="36">
        <f>VLOOKUP($A38,[29]HISTOMARS24!$A$6:$CB$38,63,0)</f>
        <v>0</v>
      </c>
      <c r="AJ38" s="36">
        <f>VLOOKUP($A38,[29]HISTOMARS24!$A$6:$CB$38,64,0)</f>
        <v>0</v>
      </c>
      <c r="AK38" s="36">
        <f>VLOOKUP($A38,[29]HISTOMARS24!$A$6:$CB$38,65,0)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MVTFEV24!I39-E39+L39</f>
        <v>2030834.3261533265</v>
      </c>
      <c r="G39" s="5">
        <f>IF(MVTFEV24!I39+L39&gt;700000,(MVTFEV24!I39-E39+L39),0)</f>
        <v>2030834.3261533265</v>
      </c>
      <c r="H39" s="36">
        <f t="shared" si="0"/>
        <v>6929.4010349122891</v>
      </c>
      <c r="I39" s="6">
        <f t="shared" si="2"/>
        <v>2037763.7271882389</v>
      </c>
      <c r="J39" s="36">
        <f>VLOOKUP($A39,[29]HISTOMARS24!$A$6:$AQ$42,22,0)</f>
        <v>0</v>
      </c>
      <c r="K39" s="36">
        <f>VLOOKUP($A39,[29]HISTOMARS24!$A$6:$AU$38,45,0)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VLOOKUP($A39,[29]HISTOMARS24!$A$6:$AU$38,7,0)</f>
        <v>0</v>
      </c>
      <c r="Q39" s="36">
        <f>VLOOKUP($A39,[29]HISTOMARS24!$A$6:$AU$38,23,0)</f>
        <v>0</v>
      </c>
      <c r="R39" s="36">
        <f>VLOOKUP($A39,[29]HISTOMARS24!$A$6:$AU$38,46,0)</f>
        <v>0</v>
      </c>
      <c r="S39" s="36">
        <f>VLOOKUP($A39,[29]HISTOMARS24!$A$6:$AU$38,26,0)</f>
        <v>0</v>
      </c>
      <c r="T39" s="36">
        <f>VLOOKUP($A39,[29]HISTOMARS24!$A$6:$BG$38,58,0)</f>
        <v>0</v>
      </c>
      <c r="U39" s="36">
        <f>VLOOKUP($A39,[29]HISTOMARS24!$A$6:$AU$38,28,0)</f>
        <v>0</v>
      </c>
      <c r="V39" s="36">
        <f>VLOOKUP($A39,[29]HISTOMARS24!$A$6:$AU$38,19,0)</f>
        <v>0</v>
      </c>
      <c r="W39" s="36">
        <f>VLOOKUP($A39,[29]HISTOMARS24!$A$6:$AU$38,20,0)</f>
        <v>0</v>
      </c>
      <c r="X39" s="36">
        <f>VLOOKUP($A39,[29]HISTOMARS24!$A$6:$AU$38,27,0)</f>
        <v>0</v>
      </c>
      <c r="Y39" s="36">
        <f>VLOOKUP($A39,[29]HISTOMARS24!$A$6:$BM$38,33,0)</f>
        <v>0</v>
      </c>
      <c r="Z39" s="36">
        <f>VLOOKUP($A39,[29]HISTOMARS24!$A$6:$BM$38,65,0)</f>
        <v>0</v>
      </c>
      <c r="AA39" s="36"/>
      <c r="AB39" s="36">
        <f>VLOOKUP($A39,[29]HISTOMARS24!$A$6:$AU$38,43,0)</f>
        <v>0</v>
      </c>
      <c r="AC39" s="36">
        <f>VLOOKUP($A39,[29]HISTOMARS24!$A$6:$AU$38,44,0)</f>
        <v>0</v>
      </c>
      <c r="AD39" s="36">
        <f>VLOOKUP($A39,[29]HISTOMARS24!$A$6:$AU$38,47,0)</f>
        <v>0</v>
      </c>
      <c r="AE39" s="36">
        <f>VLOOKUP(A39,[29]HISTOMARS24!$A$6:$BB$38,54,0)</f>
        <v>0</v>
      </c>
      <c r="AF39" s="36">
        <f>VLOOKUP($A39,[29]HISTOMARS24!$A$6:$CB$38,60,0)</f>
        <v>0</v>
      </c>
      <c r="AG39" s="36">
        <f>VLOOKUP($A39,[29]HISTOMARS24!$A$6:$CB$38,61,0)</f>
        <v>0</v>
      </c>
      <c r="AH39" s="36">
        <f>VLOOKUP($A39,[29]HISTOMARS24!$A$6:$CB$38,62,0)</f>
        <v>0</v>
      </c>
      <c r="AI39" s="36">
        <f>VLOOKUP($A39,[29]HISTOMARS24!$A$6:$CB$38,63,0)</f>
        <v>100000</v>
      </c>
      <c r="AJ39" s="36">
        <f>VLOOKUP($A39,[29]HISTOMARS24!$A$6:$CB$38,64,0)</f>
        <v>0</v>
      </c>
      <c r="AK39" s="36">
        <f>VLOOKUP($A39,[29]HISTOMARS24!$A$6:$CB$38,65,0)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28441656.073121924</v>
      </c>
      <c r="G41" s="9">
        <f t="shared" si="10"/>
        <v>27109439.073121924</v>
      </c>
      <c r="H41" s="36">
        <f t="shared" si="10"/>
        <v>92499.999999999985</v>
      </c>
      <c r="I41" s="9">
        <f t="shared" si="10"/>
        <v>28534156.07312192</v>
      </c>
      <c r="J41" s="9">
        <f t="shared" si="10"/>
        <v>0</v>
      </c>
      <c r="K41" s="9">
        <f t="shared" si="10"/>
        <v>951000</v>
      </c>
      <c r="L41" s="9">
        <f t="shared" si="10"/>
        <v>759000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1050000</v>
      </c>
      <c r="T41" s="9">
        <f t="shared" si="10"/>
        <v>92500</v>
      </c>
      <c r="U41" s="9">
        <f t="shared" si="10"/>
        <v>0</v>
      </c>
      <c r="V41" s="9">
        <f t="shared" si="10"/>
        <v>750000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48000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8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44"/>
  <sheetViews>
    <sheetView workbookViewId="0">
      <pane xSplit="2" ySplit="5" topLeftCell="G33" activePane="bottomRight" state="frozen"/>
      <selection activeCell="B43" sqref="B43"/>
      <selection pane="topRight" activeCell="B43" sqref="B43"/>
      <selection pane="bottomLeft" activeCell="B43" sqref="B43"/>
      <selection pane="bottomRight" activeCell="A35" sqref="A35:XFD3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2">
        <v>45399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VLOOKUP($A6,[29]HISTOAVRIL24!$A$6:$BA$38,48,0)</f>
        <v>0</v>
      </c>
      <c r="F6" s="36">
        <f>MVTMARS24!I6-E6+L6</f>
        <v>945003.79869763087</v>
      </c>
      <c r="G6" s="5">
        <f>IF(MVTMARS24!I6+L6&gt;700000,(MVTMARS24!I6-E6+L6),0)</f>
        <v>945003.79869763087</v>
      </c>
      <c r="H6" s="36">
        <f t="shared" ref="H6:H39" si="0">$T$41/$G$41*G6</f>
        <v>0</v>
      </c>
      <c r="I6" s="6">
        <f>F6+H6</f>
        <v>945003.79869763087</v>
      </c>
      <c r="J6" s="36">
        <f>VLOOKUP($A6,[29]HISTOAVRIL24!$A$6:$AQ$42,22,0)</f>
        <v>0</v>
      </c>
      <c r="K6" s="36">
        <f>VLOOKUP($A6,[29]HISTOAVRIL24!$A$6:$AU$38,45,0)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VLOOKUP($A6,[29]HISTOAVRIL24!$A$6:$AU$38,7,0)</f>
        <v>0</v>
      </c>
      <c r="Q6" s="36">
        <f>VLOOKUP($A6,[29]HISTOAVRIL24!$A$6:$AU$38,23,0)</f>
        <v>0</v>
      </c>
      <c r="R6" s="36">
        <f>VLOOKUP($A6,[29]HISTOAVRIL24!$A$6:$AU$38,46,0)</f>
        <v>0</v>
      </c>
      <c r="S6" s="36">
        <f>VLOOKUP($A6,[29]HISTOAVRIL24!$A$6:$AU$38,26,0)</f>
        <v>0</v>
      </c>
      <c r="T6" s="36">
        <f>VLOOKUP($A6,[29]HISTOAVRIL24!$A$6:$BG$38,58,0)</f>
        <v>0</v>
      </c>
      <c r="U6" s="36">
        <f>VLOOKUP($A6,[29]HISTOAVRIL24!$A$6:$AU$38,28,0)</f>
        <v>0</v>
      </c>
      <c r="V6" s="36">
        <f>VLOOKUP($A6,[29]HISTOAVRIL24!$A$6:$AU$38,19,0)</f>
        <v>0</v>
      </c>
      <c r="W6" s="36">
        <f>VLOOKUP($A6,[29]HISTOAVRIL24!$A$6:$AU$38,20,0)</f>
        <v>0</v>
      </c>
      <c r="X6" s="36">
        <f>VLOOKUP($A6,[29]HISTOAVRIL24!$A$6:$AU$38,27,0)</f>
        <v>0</v>
      </c>
      <c r="Y6" s="36">
        <f>VLOOKUP($A6,[29]HISTOAVRIL24!$A$6:$BM$38,33,0)</f>
        <v>0</v>
      </c>
      <c r="Z6" s="36">
        <f>VLOOKUP($A6,[29]HISTOAVRIL24!$A$6:$BM$38,65,0)</f>
        <v>0</v>
      </c>
      <c r="AA6" s="36"/>
      <c r="AB6" s="36">
        <f>VLOOKUP($A6,[29]HISTOAVRIL24!$A$6:$AU$38,43,0)</f>
        <v>0</v>
      </c>
      <c r="AC6" s="36">
        <f>VLOOKUP($A6,[29]HISTOAVRIL24!$A$6:$AU$38,44,0)</f>
        <v>0</v>
      </c>
      <c r="AD6" s="36">
        <f>VLOOKUP($A6,[29]HISTOAVRIL24!$A$6:$AU$38,47,0)</f>
        <v>0</v>
      </c>
      <c r="AE6" s="36">
        <f>VLOOKUP(A6,[29]HISTOAVRIL24!$A$6:$BB$38,54,0)</f>
        <v>0</v>
      </c>
      <c r="AF6" s="36">
        <f>VLOOKUP($A6,[29]HISTOAVRIL24!$A$6:$CB$38,60,0)</f>
        <v>21000</v>
      </c>
      <c r="AG6" s="36">
        <f>VLOOKUP($A6,[29]HISTOAVRIL24!$A$6:$CB$38,61,0)</f>
        <v>100000</v>
      </c>
      <c r="AH6" s="36">
        <f>VLOOKUP($A6,[29]HISTOAVRIL24!$A$6:$CB$38,62,0)</f>
        <v>0</v>
      </c>
      <c r="AI6" s="36">
        <f>VLOOKUP($A6,[29]HISTOAVRIL24!$A$6:$CB$38,63,0)</f>
        <v>100000</v>
      </c>
      <c r="AJ6" s="36">
        <f>VLOOKUP($A6,[29]HISTOAVRIL24!$A$6:$CB$38,64,0)</f>
        <v>0</v>
      </c>
      <c r="AK6" s="36">
        <f>VLOOKUP($A6,[29]HISTOAVRIL24!$A$6:$CB$38,65,0)</f>
        <v>0</v>
      </c>
      <c r="AL6" s="36">
        <f>VLOOKUP($A6,[29]HISTOAVRIL24!$A$6:$CB$38,66,0)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VLOOKUP($A7,[29]HISTOAVRIL24!$A$6:$BA$38,48,0)</f>
        <v>0</v>
      </c>
      <c r="F7" s="36">
        <f>MVTMARS24!I7-E7+L7</f>
        <v>776773.28476822353</v>
      </c>
      <c r="G7" s="5">
        <f>IF(MVTMARS24!I7+L7&gt;700000,(MVTMARS24!I7-E7+L7),0)</f>
        <v>776773.28476822353</v>
      </c>
      <c r="H7" s="36">
        <f t="shared" si="0"/>
        <v>0</v>
      </c>
      <c r="I7" s="6">
        <f t="shared" ref="I7:I39" si="2">F7+H7</f>
        <v>776773.28476822353</v>
      </c>
      <c r="J7" s="36">
        <f>VLOOKUP($A7,[29]HISTOAVRIL24!$A$6:$AQ$42,22,0)</f>
        <v>0</v>
      </c>
      <c r="K7" s="36">
        <f>VLOOKUP($A7,[29]HISTOAVRIL24!$A$6:$AU$38,45,0)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VLOOKUP($A7,[29]HISTOAVRIL24!$A$6:$AU$38,7,0)</f>
        <v>3000</v>
      </c>
      <c r="Q7" s="36">
        <f>VLOOKUP($A7,[29]HISTOAVRIL24!$A$6:$AU$38,23,0)</f>
        <v>0</v>
      </c>
      <c r="R7" s="36">
        <f>VLOOKUP($A7,[29]HISTOAVRIL24!$A$6:$AU$38,46,0)</f>
        <v>0</v>
      </c>
      <c r="S7" s="36">
        <f>VLOOKUP($A7,[29]HISTOAVRIL24!$A$6:$AU$38,26,0)</f>
        <v>0</v>
      </c>
      <c r="T7" s="36">
        <f>VLOOKUP($A7,[29]HISTOAVRIL24!$A$6:$BG$38,58,0)</f>
        <v>0</v>
      </c>
      <c r="U7" s="36">
        <f>VLOOKUP($A7,[29]HISTOAVRIL24!$A$6:$AU$38,28,0)</f>
        <v>0</v>
      </c>
      <c r="V7" s="36">
        <f>VLOOKUP($A7,[29]HISTOAVRIL24!$A$6:$AU$38,19,0)</f>
        <v>0</v>
      </c>
      <c r="W7" s="36">
        <f>VLOOKUP($A7,[29]HISTOAVRIL24!$A$6:$AU$38,20,0)</f>
        <v>0</v>
      </c>
      <c r="X7" s="36">
        <f>VLOOKUP($A7,[29]HISTOAVRIL24!$A$6:$AU$38,27,0)</f>
        <v>0</v>
      </c>
      <c r="Y7" s="36">
        <f>VLOOKUP($A7,[29]HISTOAVRIL24!$A$6:$BM$38,33,0)</f>
        <v>0</v>
      </c>
      <c r="Z7" s="36">
        <f>VLOOKUP($A7,[29]HISTOAVRIL24!$A$6:$BM$38,65,0)</f>
        <v>0</v>
      </c>
      <c r="AA7" s="36"/>
      <c r="AB7" s="36">
        <f>VLOOKUP($A7,[29]HISTOAVRIL24!$A$6:$AU$38,43,0)</f>
        <v>0</v>
      </c>
      <c r="AC7" s="36">
        <f>VLOOKUP($A7,[29]HISTOAVRIL24!$A$6:$AU$38,44,0)</f>
        <v>0</v>
      </c>
      <c r="AD7" s="36">
        <f>VLOOKUP($A7,[29]HISTOAVRIL24!$A$6:$AU$38,47,0)</f>
        <v>0</v>
      </c>
      <c r="AE7" s="36">
        <f>VLOOKUP(A7,[29]HISTOAVRIL24!$A$6:$BB$38,54,0)</f>
        <v>0</v>
      </c>
      <c r="AF7" s="36">
        <f>VLOOKUP($A7,[29]HISTOAVRIL24!$A$6:$CB$38,60,0)</f>
        <v>0</v>
      </c>
      <c r="AG7" s="36">
        <f>VLOOKUP($A7,[29]HISTOAVRIL24!$A$6:$CB$38,61,0)</f>
        <v>0</v>
      </c>
      <c r="AH7" s="36">
        <f>VLOOKUP($A7,[29]HISTOAVRIL24!$A$6:$CB$38,62,0)</f>
        <v>0</v>
      </c>
      <c r="AI7" s="36">
        <f>VLOOKUP($A7,[29]HISTOAVRIL24!$A$6:$CB$38,63,0)</f>
        <v>0</v>
      </c>
      <c r="AJ7" s="36">
        <f>VLOOKUP($A7,[29]HISTOAVRIL24!$A$6:$CB$38,64,0)</f>
        <v>0</v>
      </c>
      <c r="AK7" s="36">
        <f>VLOOKUP($A7,[29]HISTOAVRIL24!$A$6:$CB$38,65,0)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VLOOKUP($A8,[29]HISTOAVRIL24!$A$6:$BA$38,48,0)</f>
        <v>0</v>
      </c>
      <c r="F8" s="36">
        <f>MVTMARS24!I8-E8+L8</f>
        <v>819572.94063192862</v>
      </c>
      <c r="G8" s="5">
        <f>IF(MVTMARS24!I8+L8&gt;700000,(MVTMARS24!I8-E8+L8),0)</f>
        <v>819572.94063192862</v>
      </c>
      <c r="H8" s="36">
        <f t="shared" si="0"/>
        <v>0</v>
      </c>
      <c r="I8" s="6">
        <f t="shared" si="2"/>
        <v>819572.94063192862</v>
      </c>
      <c r="J8" s="36">
        <f>VLOOKUP($A8,[29]HISTOAVRIL24!$A$6:$AQ$42,22,0)</f>
        <v>0</v>
      </c>
      <c r="K8" s="36">
        <f>VLOOKUP($A8,[29]HISTOAVRIL24!$A$6:$AU$38,45,0)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VLOOKUP($A8,[29]HISTOAVRIL24!$A$6:$AU$38,7,0)</f>
        <v>0</v>
      </c>
      <c r="Q8" s="36">
        <f>VLOOKUP($A8,[29]HISTOAVRIL24!$A$6:$AU$38,23,0)</f>
        <v>0</v>
      </c>
      <c r="R8" s="36">
        <f>VLOOKUP($A8,[29]HISTOAVRIL24!$A$6:$AU$38,46,0)</f>
        <v>0</v>
      </c>
      <c r="S8" s="36">
        <f>VLOOKUP($A8,[29]HISTOAVRIL24!$A$6:$AU$38,26,0)</f>
        <v>0</v>
      </c>
      <c r="T8" s="36">
        <f>VLOOKUP($A8,[29]HISTOAVRIL24!$A$6:$BG$38,58,0)</f>
        <v>0</v>
      </c>
      <c r="U8" s="36">
        <f>VLOOKUP($A8,[29]HISTOAVRIL24!$A$6:$AU$38,28,0)</f>
        <v>0</v>
      </c>
      <c r="V8" s="36">
        <f>VLOOKUP($A8,[29]HISTOAVRIL24!$A$6:$AU$38,19,0)</f>
        <v>0</v>
      </c>
      <c r="W8" s="36">
        <f>VLOOKUP($A8,[29]HISTOAVRIL24!$A$6:$AU$38,20,0)</f>
        <v>0</v>
      </c>
      <c r="X8" s="36">
        <f>VLOOKUP($A8,[29]HISTOAVRIL24!$A$6:$AU$38,27,0)</f>
        <v>0</v>
      </c>
      <c r="Y8" s="36">
        <f>VLOOKUP($A8,[29]HISTOAVRIL24!$A$6:$BM$38,33,0)</f>
        <v>0</v>
      </c>
      <c r="Z8" s="36">
        <f>VLOOKUP($A8,[29]HISTOAVRIL24!$A$6:$BM$38,65,0)</f>
        <v>0</v>
      </c>
      <c r="AA8" s="36"/>
      <c r="AB8" s="36">
        <f>VLOOKUP($A8,[29]HISTOAVRIL24!$A$6:$AU$38,43,0)</f>
        <v>0</v>
      </c>
      <c r="AC8" s="36">
        <f>VLOOKUP($A8,[29]HISTOAVRIL24!$A$6:$AU$38,44,0)</f>
        <v>0</v>
      </c>
      <c r="AD8" s="36">
        <f>VLOOKUP($A8,[29]HISTOAVRIL24!$A$6:$AU$38,47,0)</f>
        <v>0</v>
      </c>
      <c r="AE8" s="36">
        <f>VLOOKUP(A8,[29]HISTOAVRIL24!$A$6:$BB$38,54,0)</f>
        <v>0</v>
      </c>
      <c r="AF8" s="36">
        <f>VLOOKUP($A8,[29]HISTOAVRIL24!$A$6:$CB$38,60,0)</f>
        <v>0</v>
      </c>
      <c r="AG8" s="36">
        <f>VLOOKUP($A8,[29]HISTOAVRIL24!$A$6:$CB$38,61,0)</f>
        <v>0</v>
      </c>
      <c r="AH8" s="36">
        <f>VLOOKUP($A8,[29]HISTOAVRIL24!$A$6:$CB$38,62,0)</f>
        <v>0</v>
      </c>
      <c r="AI8" s="36">
        <f>VLOOKUP($A8,[29]HISTOAVRIL24!$A$6:$CB$38,63,0)</f>
        <v>0</v>
      </c>
      <c r="AJ8" s="36">
        <f>VLOOKUP($A8,[29]HISTOAVRIL24!$A$6:$CB$38,64,0)</f>
        <v>0</v>
      </c>
      <c r="AK8" s="36">
        <f>VLOOKUP($A8,[29]HISTOAVRIL24!$A$6:$CB$38,65,0)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VLOOKUP($A9,[29]HISTOAVRIL24!$A$6:$BA$38,48,0)</f>
        <v>0</v>
      </c>
      <c r="F9" s="36">
        <f>MVTMARS24!I9-E9+L9</f>
        <v>876928.46184166172</v>
      </c>
      <c r="G9" s="5">
        <f>IF(MVTMARS24!I9+L9&gt;700000,(MVTMARS24!I9-E9+L9),0)</f>
        <v>876928.46184166172</v>
      </c>
      <c r="H9" s="36">
        <f t="shared" si="0"/>
        <v>0</v>
      </c>
      <c r="I9" s="6">
        <f t="shared" si="2"/>
        <v>876928.46184166172</v>
      </c>
      <c r="J9" s="36">
        <f>VLOOKUP($A9,[29]HISTOAVRIL24!$A$6:$AQ$42,22,0)</f>
        <v>0</v>
      </c>
      <c r="K9" s="36">
        <f>VLOOKUP($A9,[29]HISTOAVRIL24!$A$6:$AU$38,45,0)</f>
        <v>22500</v>
      </c>
      <c r="L9" s="36">
        <f t="shared" si="3"/>
        <v>16500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VLOOKUP($A9,[29]HISTOAVRIL24!$A$6:$AU$38,7,0)</f>
        <v>0</v>
      </c>
      <c r="Q9" s="36">
        <f>VLOOKUP($A9,[29]HISTOAVRIL24!$A$6:$AU$38,23,0)</f>
        <v>0</v>
      </c>
      <c r="R9" s="36">
        <f>VLOOKUP($A9,[29]HISTOAVRIL24!$A$6:$AU$38,46,0)</f>
        <v>0</v>
      </c>
      <c r="S9" s="36">
        <f>VLOOKUP($A9,[29]HISTOAVRIL24!$A$6:$AU$38,26,0)</f>
        <v>0</v>
      </c>
      <c r="T9" s="36">
        <f>VLOOKUP($A9,[29]HISTOAVRIL24!$A$6:$BG$38,58,0)</f>
        <v>0</v>
      </c>
      <c r="U9" s="36">
        <f>VLOOKUP($A9,[29]HISTOAVRIL24!$A$6:$AU$38,28,0)</f>
        <v>0</v>
      </c>
      <c r="V9" s="36">
        <f>VLOOKUP($A9,[29]HISTOAVRIL24!$A$6:$AU$38,19,0)</f>
        <v>0</v>
      </c>
      <c r="W9" s="36">
        <f>VLOOKUP($A9,[29]HISTOAVRIL24!$A$6:$AU$38,20,0)</f>
        <v>0</v>
      </c>
      <c r="X9" s="36">
        <f>VLOOKUP($A9,[29]HISTOAVRIL24!$A$6:$AU$38,27,0)</f>
        <v>0</v>
      </c>
      <c r="Y9" s="36">
        <f>VLOOKUP($A9,[29]HISTOAVRIL24!$A$6:$BM$38,33,0)</f>
        <v>0</v>
      </c>
      <c r="Z9" s="36">
        <f>VLOOKUP($A9,[29]HISTOAVRIL24!$A$6:$BM$38,65,0)</f>
        <v>0</v>
      </c>
      <c r="AA9" s="36"/>
      <c r="AB9" s="36">
        <f>VLOOKUP($A9,[29]HISTOAVRIL24!$A$6:$AU$38,43,0)</f>
        <v>0</v>
      </c>
      <c r="AC9" s="36">
        <f>VLOOKUP($A9,[29]HISTOAVRIL24!$A$6:$AU$38,44,0)</f>
        <v>0</v>
      </c>
      <c r="AD9" s="36">
        <f>VLOOKUP($A9,[29]HISTOAVRIL24!$A$6:$AU$38,47,0)</f>
        <v>0</v>
      </c>
      <c r="AE9" s="36">
        <f>VLOOKUP(A9,[29]HISTOAVRIL24!$A$6:$BB$38,54,0)</f>
        <v>0</v>
      </c>
      <c r="AF9" s="36">
        <f>VLOOKUP($A9,[29]HISTOAVRIL24!$A$6:$CB$38,60,0)</f>
        <v>0</v>
      </c>
      <c r="AG9" s="36">
        <f>VLOOKUP($A9,[29]HISTOAVRIL24!$A$6:$CB$38,61,0)</f>
        <v>0</v>
      </c>
      <c r="AH9" s="36">
        <f>VLOOKUP($A9,[29]HISTOAVRIL24!$A$6:$CB$38,62,0)</f>
        <v>0</v>
      </c>
      <c r="AI9" s="36">
        <f>VLOOKUP($A9,[29]HISTOAVRIL24!$A$6:$CB$38,63,0)</f>
        <v>0</v>
      </c>
      <c r="AJ9" s="36">
        <f>VLOOKUP($A9,[29]HISTOAVRIL24!$A$6:$CB$38,64,0)</f>
        <v>0</v>
      </c>
      <c r="AK9" s="36">
        <f>VLOOKUP($A9,[29]HISTOAVRIL24!$A$6:$CB$38,65,0)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VLOOKUP($A10,[29]HISTOAVRIL24!$A$6:$BA$38,48,0)</f>
        <v>0</v>
      </c>
      <c r="F10" s="36">
        <f>MVTMARS24!I10-E10+L10</f>
        <v>816844.47000147158</v>
      </c>
      <c r="G10" s="5">
        <f>IF(MVTMARS24!I10+L10&gt;700000,(MVTMARS24!I10-E10+L10),0)</f>
        <v>816844.47000147158</v>
      </c>
      <c r="H10" s="36">
        <f t="shared" si="0"/>
        <v>0</v>
      </c>
      <c r="I10" s="6">
        <f t="shared" si="2"/>
        <v>816844.47000147158</v>
      </c>
      <c r="J10" s="36">
        <f>VLOOKUP($A10,[29]HISTOAVRIL24!$A$6:$AQ$42,22,0)</f>
        <v>0</v>
      </c>
      <c r="K10" s="36">
        <f>VLOOKUP($A10,[29]HISTOAVRIL24!$A$6:$AU$38,45,0)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VLOOKUP($A10,[29]HISTOAVRIL24!$A$6:$AU$38,7,0)</f>
        <v>0</v>
      </c>
      <c r="Q10" s="36">
        <f>VLOOKUP($A10,[29]HISTOAVRIL24!$A$6:$AU$38,23,0)</f>
        <v>0</v>
      </c>
      <c r="R10" s="36">
        <f>VLOOKUP($A10,[29]HISTOAVRIL24!$A$6:$AU$38,46,0)</f>
        <v>0</v>
      </c>
      <c r="S10" s="36">
        <f>VLOOKUP($A10,[29]HISTOAVRIL24!$A$6:$AU$38,26,0)</f>
        <v>0</v>
      </c>
      <c r="T10" s="36">
        <f>VLOOKUP($A10,[29]HISTOAVRIL24!$A$6:$BG$38,58,0)</f>
        <v>0</v>
      </c>
      <c r="U10" s="36">
        <f>VLOOKUP($A10,[29]HISTOAVRIL24!$A$6:$AU$38,28,0)</f>
        <v>0</v>
      </c>
      <c r="V10" s="36">
        <f>VLOOKUP($A10,[29]HISTOAVRIL24!$A$6:$AU$38,19,0)</f>
        <v>0</v>
      </c>
      <c r="W10" s="36">
        <f>VLOOKUP($A10,[29]HISTOAVRIL24!$A$6:$AU$38,20,0)</f>
        <v>0</v>
      </c>
      <c r="X10" s="36">
        <f>VLOOKUP($A10,[29]HISTOAVRIL24!$A$6:$AU$38,27,0)</f>
        <v>0</v>
      </c>
      <c r="Y10" s="36">
        <f>VLOOKUP($A10,[29]HISTOAVRIL24!$A$6:$BM$38,33,0)</f>
        <v>0</v>
      </c>
      <c r="Z10" s="36">
        <f>VLOOKUP($A10,[29]HISTOAVRIL24!$A$6:$BM$38,65,0)</f>
        <v>0</v>
      </c>
      <c r="AA10" s="36"/>
      <c r="AB10" s="36">
        <f>VLOOKUP($A10,[29]HISTOAVRIL24!$A$6:$AU$38,43,0)</f>
        <v>0</v>
      </c>
      <c r="AC10" s="36">
        <f>VLOOKUP($A10,[29]HISTOAVRIL24!$A$6:$AU$38,44,0)</f>
        <v>0</v>
      </c>
      <c r="AD10" s="36">
        <f>VLOOKUP($A10,[29]HISTOAVRIL24!$A$6:$AU$38,47,0)</f>
        <v>0</v>
      </c>
      <c r="AE10" s="36">
        <f>VLOOKUP(A10,[29]HISTOAVRIL24!$A$6:$BB$38,54,0)</f>
        <v>0</v>
      </c>
      <c r="AF10" s="36">
        <f>VLOOKUP($A10,[29]HISTOAVRIL24!$A$6:$CB$38,60,0)</f>
        <v>0</v>
      </c>
      <c r="AG10" s="36">
        <f>VLOOKUP($A10,[29]HISTOAVRIL24!$A$6:$CB$38,61,0)</f>
        <v>0</v>
      </c>
      <c r="AH10" s="36">
        <f>VLOOKUP($A10,[29]HISTOAVRIL24!$A$6:$CB$38,62,0)</f>
        <v>0</v>
      </c>
      <c r="AI10" s="36">
        <f>VLOOKUP($A10,[29]HISTOAVRIL24!$A$6:$CB$38,63,0)</f>
        <v>0</v>
      </c>
      <c r="AJ10" s="36">
        <f>VLOOKUP($A10,[29]HISTOAVRIL24!$A$6:$CB$38,64,0)</f>
        <v>0</v>
      </c>
      <c r="AK10" s="36">
        <f>VLOOKUP($A10,[29]HISTOAVRIL24!$A$6:$CB$38,65,0)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VLOOKUP($A11,[29]HISTOAVRIL24!$A$6:$BA$38,48,0)</f>
        <v>0</v>
      </c>
      <c r="F11" s="36">
        <f>MVTMARS24!I11-E11+L11</f>
        <v>834892.50466802681</v>
      </c>
      <c r="G11" s="5">
        <f>IF(MVTMARS24!I11+L11&gt;700000,(MVTMARS24!I11-E11+L11),0)</f>
        <v>834892.50466802681</v>
      </c>
      <c r="H11" s="36">
        <f t="shared" si="0"/>
        <v>0</v>
      </c>
      <c r="I11" s="6">
        <f t="shared" si="2"/>
        <v>834892.50466802681</v>
      </c>
      <c r="J11" s="36">
        <f>VLOOKUP($A11,[29]HISTOAVRIL24!$A$6:$AQ$42,22,0)</f>
        <v>0</v>
      </c>
      <c r="K11" s="36">
        <f>VLOOKUP($A11,[29]HISTOAVRIL24!$A$6:$AU$38,45,0)</f>
        <v>35000</v>
      </c>
      <c r="L11" s="36">
        <f t="shared" si="3"/>
        <v>29000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VLOOKUP($A11,[29]HISTOAVRIL24!$A$6:$AU$38,7,0)</f>
        <v>0</v>
      </c>
      <c r="Q11" s="36">
        <f>VLOOKUP($A11,[29]HISTOAVRIL24!$A$6:$AU$38,23,0)</f>
        <v>0</v>
      </c>
      <c r="R11" s="36">
        <f>VLOOKUP($A11,[29]HISTOAVRIL24!$A$6:$AU$38,46,0)</f>
        <v>0</v>
      </c>
      <c r="S11" s="36">
        <f>VLOOKUP($A11,[29]HISTOAVRIL24!$A$6:$AU$38,26,0)</f>
        <v>0</v>
      </c>
      <c r="T11" s="36">
        <f>VLOOKUP($A11,[29]HISTOAVRIL24!$A$6:$BG$38,58,0)</f>
        <v>0</v>
      </c>
      <c r="U11" s="36">
        <f>VLOOKUP($A11,[29]HISTOAVRIL24!$A$6:$AU$38,28,0)</f>
        <v>0</v>
      </c>
      <c r="V11" s="36">
        <f>VLOOKUP($A11,[29]HISTOAVRIL24!$A$6:$AU$38,19,0)</f>
        <v>0</v>
      </c>
      <c r="W11" s="36">
        <f>VLOOKUP($A11,[29]HISTOAVRIL24!$A$6:$AU$38,20,0)</f>
        <v>0</v>
      </c>
      <c r="X11" s="36">
        <f>VLOOKUP($A11,[29]HISTOAVRIL24!$A$6:$AU$38,27,0)</f>
        <v>0</v>
      </c>
      <c r="Y11" s="36">
        <f>VLOOKUP($A11,[29]HISTOAVRIL24!$A$6:$BM$38,33,0)</f>
        <v>0</v>
      </c>
      <c r="Z11" s="36">
        <f>VLOOKUP($A11,[29]HISTOAVRIL24!$A$6:$BM$38,65,0)</f>
        <v>0</v>
      </c>
      <c r="AA11" s="36"/>
      <c r="AB11" s="36">
        <f>VLOOKUP($A11,[29]HISTOAVRIL24!$A$6:$AU$38,43,0)</f>
        <v>0</v>
      </c>
      <c r="AC11" s="36">
        <f>VLOOKUP($A11,[29]HISTOAVRIL24!$A$6:$AU$38,44,0)</f>
        <v>0</v>
      </c>
      <c r="AD11" s="36">
        <f>VLOOKUP($A11,[29]HISTOAVRIL24!$A$6:$AU$38,47,0)</f>
        <v>0</v>
      </c>
      <c r="AE11" s="36">
        <f>VLOOKUP(A11,[29]HISTOAVRIL24!$A$6:$BB$38,54,0)</f>
        <v>0</v>
      </c>
      <c r="AF11" s="36">
        <f>VLOOKUP($A11,[29]HISTOAVRIL24!$A$6:$CB$38,60,0)</f>
        <v>0</v>
      </c>
      <c r="AG11" s="36">
        <f>VLOOKUP($A11,[29]HISTOAVRIL24!$A$6:$CB$38,61,0)</f>
        <v>0</v>
      </c>
      <c r="AH11" s="36">
        <f>VLOOKUP($A11,[29]HISTOAVRIL24!$A$6:$CB$38,62,0)</f>
        <v>0</v>
      </c>
      <c r="AI11" s="36">
        <f>VLOOKUP($A11,[29]HISTOAVRIL24!$A$6:$CB$38,63,0)</f>
        <v>0</v>
      </c>
      <c r="AJ11" s="36">
        <f>VLOOKUP($A11,[29]HISTOAVRIL24!$A$6:$CB$38,64,0)</f>
        <v>0</v>
      </c>
      <c r="AK11" s="36">
        <f>VLOOKUP($A11,[29]HISTOAVRIL24!$A$6:$CB$38,65,0)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VLOOKUP($A12,[29]HISTOAVRIL24!$A$6:$BA$38,48,0)</f>
        <v>0</v>
      </c>
      <c r="F12" s="36">
        <f>MVTMARS24!I12-E12+L12</f>
        <v>858120.04206278268</v>
      </c>
      <c r="G12" s="5">
        <f>IF(MVTMARS24!I12+L12&gt;700000,(MVTMARS24!I12-E12+L12),0)</f>
        <v>858120.04206278268</v>
      </c>
      <c r="H12" s="36">
        <f t="shared" si="0"/>
        <v>0</v>
      </c>
      <c r="I12" s="6">
        <f t="shared" si="2"/>
        <v>858120.04206278268</v>
      </c>
      <c r="J12" s="36">
        <f>VLOOKUP($A12,[29]HISTOAVRIL24!$A$6:$AQ$42,22,0)</f>
        <v>0</v>
      </c>
      <c r="K12" s="36">
        <f>VLOOKUP($A12,[29]HISTOAVRIL24!$A$6:$AU$38,45,0)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VLOOKUP($A12,[29]HISTOAVRIL24!$A$6:$AU$38,7,0)</f>
        <v>0</v>
      </c>
      <c r="Q12" s="36">
        <f>VLOOKUP($A12,[29]HISTOAVRIL24!$A$6:$AU$38,23,0)</f>
        <v>0</v>
      </c>
      <c r="R12" s="36">
        <f>VLOOKUP($A12,[29]HISTOAVRIL24!$A$6:$AU$38,46,0)</f>
        <v>0</v>
      </c>
      <c r="S12" s="36">
        <f>VLOOKUP($A12,[29]HISTOAVRIL24!$A$6:$AU$38,26,0)</f>
        <v>0</v>
      </c>
      <c r="T12" s="36">
        <f>VLOOKUP($A12,[29]HISTOAVRIL24!$A$6:$BG$38,58,0)</f>
        <v>0</v>
      </c>
      <c r="U12" s="36">
        <f>VLOOKUP($A12,[29]HISTOAVRIL24!$A$6:$AU$38,28,0)</f>
        <v>0</v>
      </c>
      <c r="V12" s="36">
        <f>VLOOKUP($A12,[29]HISTOAVRIL24!$A$6:$AU$38,19,0)</f>
        <v>0</v>
      </c>
      <c r="W12" s="36">
        <f>VLOOKUP($A12,[29]HISTOAVRIL24!$A$6:$AU$38,20,0)</f>
        <v>0</v>
      </c>
      <c r="X12" s="36">
        <f>VLOOKUP($A12,[29]HISTOAVRIL24!$A$6:$AU$38,27,0)</f>
        <v>0</v>
      </c>
      <c r="Y12" s="36">
        <f>VLOOKUP($A12,[29]HISTOAVRIL24!$A$6:$BM$38,33,0)</f>
        <v>0</v>
      </c>
      <c r="Z12" s="36">
        <f>VLOOKUP($A12,[29]HISTOAVRIL24!$A$6:$BM$38,65,0)</f>
        <v>0</v>
      </c>
      <c r="AA12" s="36"/>
      <c r="AB12" s="36">
        <f>VLOOKUP($A12,[29]HISTOAVRIL24!$A$6:$AU$38,43,0)</f>
        <v>0</v>
      </c>
      <c r="AC12" s="36">
        <f>VLOOKUP($A12,[29]HISTOAVRIL24!$A$6:$AU$38,44,0)</f>
        <v>0</v>
      </c>
      <c r="AD12" s="36">
        <f>VLOOKUP($A12,[29]HISTOAVRIL24!$A$6:$AU$38,47,0)</f>
        <v>0</v>
      </c>
      <c r="AE12" s="36">
        <f>VLOOKUP(A12,[29]HISTOAVRIL24!$A$6:$BB$38,54,0)</f>
        <v>0</v>
      </c>
      <c r="AF12" s="36">
        <f>VLOOKUP($A12,[29]HISTOAVRIL24!$A$6:$CB$38,60,0)</f>
        <v>0</v>
      </c>
      <c r="AG12" s="36">
        <f>VLOOKUP($A12,[29]HISTOAVRIL24!$A$6:$CB$38,61,0)</f>
        <v>0</v>
      </c>
      <c r="AH12" s="36">
        <f>VLOOKUP($A12,[29]HISTOAVRIL24!$A$6:$CB$38,62,0)</f>
        <v>0</v>
      </c>
      <c r="AI12" s="36">
        <f>VLOOKUP($A12,[29]HISTOAVRIL24!$A$6:$CB$38,63,0)</f>
        <v>0</v>
      </c>
      <c r="AJ12" s="36">
        <f>VLOOKUP($A12,[29]HISTOAVRIL24!$A$6:$CB$38,64,0)</f>
        <v>0</v>
      </c>
      <c r="AK12" s="36">
        <f>VLOOKUP($A12,[29]HISTOAVRIL24!$A$6:$CB$38,65,0)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VLOOKUP($A13,[29]HISTOAVRIL24!$A$6:$BA$38,48,0)</f>
        <v>0</v>
      </c>
      <c r="F13" s="36">
        <f>MVTMARS24!I13-E13+L13</f>
        <v>822594.78039043082</v>
      </c>
      <c r="G13" s="5">
        <f>IF(MVTMARS24!I13+L13&gt;700000,(MVTMARS24!I13-E13+L13),0)</f>
        <v>822594.78039043082</v>
      </c>
      <c r="H13" s="36">
        <f t="shared" si="0"/>
        <v>0</v>
      </c>
      <c r="I13" s="6">
        <f t="shared" si="2"/>
        <v>822594.78039043082</v>
      </c>
      <c r="J13" s="36">
        <f>VLOOKUP($A13,[29]HISTOAVRIL24!$A$6:$AQ$42,22,0)</f>
        <v>0</v>
      </c>
      <c r="K13" s="36">
        <f>VLOOKUP($A13,[29]HISTOAVRIL24!$A$6:$AU$38,45,0)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VLOOKUP($A13,[29]HISTOAVRIL24!$A$6:$AU$38,7,0)</f>
        <v>0</v>
      </c>
      <c r="Q13" s="36">
        <f>VLOOKUP($A13,[29]HISTOAVRIL24!$A$6:$AU$38,23,0)</f>
        <v>0</v>
      </c>
      <c r="R13" s="36">
        <f>VLOOKUP($A13,[29]HISTOAVRIL24!$A$6:$AU$38,46,0)</f>
        <v>0</v>
      </c>
      <c r="S13" s="36">
        <f>VLOOKUP($A13,[29]HISTOAVRIL24!$A$6:$AU$38,26,0)</f>
        <v>0</v>
      </c>
      <c r="T13" s="36">
        <f>VLOOKUP($A13,[29]HISTOAVRIL24!$A$6:$BG$38,58,0)</f>
        <v>0</v>
      </c>
      <c r="U13" s="36">
        <f>VLOOKUP($A13,[29]HISTOAVRIL24!$A$6:$AU$38,28,0)</f>
        <v>0</v>
      </c>
      <c r="V13" s="36">
        <f>VLOOKUP($A13,[29]HISTOAVRIL24!$A$6:$AU$38,19,0)</f>
        <v>0</v>
      </c>
      <c r="W13" s="36">
        <f>VLOOKUP($A13,[29]HISTOAVRIL24!$A$6:$AU$38,20,0)</f>
        <v>0</v>
      </c>
      <c r="X13" s="36">
        <f>VLOOKUP($A13,[29]HISTOAVRIL24!$A$6:$AU$38,27,0)</f>
        <v>0</v>
      </c>
      <c r="Y13" s="36">
        <f>VLOOKUP($A13,[29]HISTOAVRIL24!$A$6:$BM$38,33,0)</f>
        <v>0</v>
      </c>
      <c r="Z13" s="36">
        <f>VLOOKUP($A13,[29]HISTOAVRIL24!$A$6:$BM$38,65,0)</f>
        <v>0</v>
      </c>
      <c r="AA13" s="36"/>
      <c r="AB13" s="36">
        <f>VLOOKUP($A13,[29]HISTOAVRIL24!$A$6:$AU$38,43,0)</f>
        <v>0</v>
      </c>
      <c r="AC13" s="36">
        <f>VLOOKUP($A13,[29]HISTOAVRIL24!$A$6:$AU$38,44,0)</f>
        <v>0</v>
      </c>
      <c r="AD13" s="36">
        <f>VLOOKUP($A13,[29]HISTOAVRIL24!$A$6:$AU$38,47,0)</f>
        <v>0</v>
      </c>
      <c r="AE13" s="36">
        <f>VLOOKUP(A13,[29]HISTOAVRIL24!$A$6:$BB$38,54,0)</f>
        <v>0</v>
      </c>
      <c r="AF13" s="36">
        <f>VLOOKUP($A13,[29]HISTOAVRIL24!$A$6:$CB$38,60,0)</f>
        <v>0</v>
      </c>
      <c r="AG13" s="36">
        <f>VLOOKUP($A13,[29]HISTOAVRIL24!$A$6:$CB$38,61,0)</f>
        <v>0</v>
      </c>
      <c r="AH13" s="36">
        <f>VLOOKUP($A13,[29]HISTOAVRIL24!$A$6:$CB$38,62,0)</f>
        <v>0</v>
      </c>
      <c r="AI13" s="36">
        <f>VLOOKUP($A13,[29]HISTOAVRIL24!$A$6:$CB$38,63,0)</f>
        <v>0</v>
      </c>
      <c r="AJ13" s="36">
        <f>VLOOKUP($A13,[29]HISTOAVRIL24!$A$6:$CB$38,64,0)</f>
        <v>0</v>
      </c>
      <c r="AK13" s="36">
        <f>VLOOKUP($A13,[29]HISTOAVRIL24!$A$6:$CB$38,65,0)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VLOOKUP($A14,[29]HISTOAVRIL24!$A$6:$BA$38,48,0)</f>
        <v>0</v>
      </c>
      <c r="F14" s="36">
        <f>MVTMARS24!I14-E14+L14</f>
        <v>1374754.6531689162</v>
      </c>
      <c r="G14" s="5">
        <f>IF(MVTMARS24!I14+L14&gt;700000,(MVTMARS24!I14-E14+L14),0)</f>
        <v>1374754.6531689162</v>
      </c>
      <c r="H14" s="36">
        <f t="shared" si="0"/>
        <v>0</v>
      </c>
      <c r="I14" s="6">
        <f t="shared" si="2"/>
        <v>1374754.6531689162</v>
      </c>
      <c r="J14" s="36">
        <f>VLOOKUP($A14,[29]HISTOAVRIL24!$A$6:$AQ$42,22,0)</f>
        <v>0</v>
      </c>
      <c r="K14" s="36">
        <f>VLOOKUP($A14,[29]HISTOAVRIL24!$A$6:$AU$38,45,0)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VLOOKUP($A14,[29]HISTOAVRIL24!$A$6:$AU$38,7,0)</f>
        <v>0</v>
      </c>
      <c r="Q14" s="36">
        <f>VLOOKUP($A14,[29]HISTOAVRIL24!$A$6:$AU$38,23,0)</f>
        <v>0</v>
      </c>
      <c r="R14" s="36">
        <f>VLOOKUP($A14,[29]HISTOAVRIL24!$A$6:$AU$38,46,0)</f>
        <v>0</v>
      </c>
      <c r="S14" s="36">
        <f>VLOOKUP($A14,[29]HISTOAVRIL24!$A$6:$AU$38,26,0)</f>
        <v>0</v>
      </c>
      <c r="T14" s="36">
        <f>VLOOKUP($A14,[29]HISTOAVRIL24!$A$6:$BG$38,58,0)</f>
        <v>0</v>
      </c>
      <c r="U14" s="36">
        <f>VLOOKUP($A14,[29]HISTOAVRIL24!$A$6:$AU$38,28,0)</f>
        <v>0</v>
      </c>
      <c r="V14" s="36">
        <f>VLOOKUP($A14,[29]HISTOAVRIL24!$A$6:$AU$38,19,0)</f>
        <v>0</v>
      </c>
      <c r="W14" s="36">
        <f>VLOOKUP($A14,[29]HISTOAVRIL24!$A$6:$AU$38,20,0)</f>
        <v>0</v>
      </c>
      <c r="X14" s="36">
        <f>VLOOKUP($A14,[29]HISTOAVRIL24!$A$6:$AU$38,27,0)</f>
        <v>0</v>
      </c>
      <c r="Y14" s="36">
        <f>VLOOKUP($A14,[29]HISTOAVRIL24!$A$6:$BM$38,33,0)</f>
        <v>0</v>
      </c>
      <c r="Z14" s="36">
        <f>VLOOKUP($A14,[29]HISTOAVRIL24!$A$6:$BM$38,65,0)</f>
        <v>0</v>
      </c>
      <c r="AA14" s="36"/>
      <c r="AB14" s="36">
        <f>VLOOKUP($A14,[29]HISTOAVRIL24!$A$6:$AU$38,43,0)</f>
        <v>0</v>
      </c>
      <c r="AC14" s="36">
        <f>VLOOKUP($A14,[29]HISTOAVRIL24!$A$6:$AU$38,44,0)</f>
        <v>0</v>
      </c>
      <c r="AD14" s="36">
        <f>VLOOKUP($A14,[29]HISTOAVRIL24!$A$6:$AU$38,47,0)</f>
        <v>0</v>
      </c>
      <c r="AE14" s="36">
        <f>VLOOKUP(A14,[29]HISTOAVRIL24!$A$6:$BB$38,54,0)</f>
        <v>0</v>
      </c>
      <c r="AF14" s="36">
        <f>VLOOKUP($A14,[29]HISTOAVRIL24!$A$6:$CB$38,60,0)</f>
        <v>0</v>
      </c>
      <c r="AG14" s="36">
        <f>VLOOKUP($A14,[29]HISTOAVRIL24!$A$6:$CB$38,61,0)</f>
        <v>0</v>
      </c>
      <c r="AH14" s="36">
        <f>VLOOKUP($A14,[29]HISTOAVRIL24!$A$6:$CB$38,62,0)</f>
        <v>0</v>
      </c>
      <c r="AI14" s="36">
        <f>VLOOKUP($A14,[29]HISTOAVRIL24!$A$6:$CB$38,63,0)</f>
        <v>0</v>
      </c>
      <c r="AJ14" s="36">
        <f>VLOOKUP($A14,[29]HISTOAVRIL24!$A$6:$CB$38,64,0)</f>
        <v>0</v>
      </c>
      <c r="AK14" s="36">
        <f>VLOOKUP($A14,[29]HISTOAVRIL24!$A$6:$CB$38,65,0)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VLOOKUP($A15,[29]HISTOAVRIL24!$A$6:$BA$38,48,0)</f>
        <v>0</v>
      </c>
      <c r="F15" s="36">
        <f>MVTMARS24!I15-E15+L15</f>
        <v>884269.84272856009</v>
      </c>
      <c r="G15" s="5">
        <f>IF(MVTMARS24!I15+L15&gt;700000,(MVTMARS24!I15-E15+L15),0)</f>
        <v>884269.84272856009</v>
      </c>
      <c r="H15" s="36">
        <f t="shared" si="0"/>
        <v>0</v>
      </c>
      <c r="I15" s="6">
        <f t="shared" si="2"/>
        <v>884269.84272856009</v>
      </c>
      <c r="J15" s="36">
        <f>VLOOKUP($A15,[29]HISTOAVRIL24!$A$6:$AQ$42,22,0)</f>
        <v>0</v>
      </c>
      <c r="K15" s="36">
        <f>VLOOKUP($A15,[29]HISTOAVRIL24!$A$6:$AU$38,45,0)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VLOOKUP($A15,[29]HISTOAVRIL24!$A$6:$AU$38,7,0)</f>
        <v>0</v>
      </c>
      <c r="Q15" s="36">
        <f>VLOOKUP($A15,[29]HISTOAVRIL24!$A$6:$AU$38,23,0)</f>
        <v>0</v>
      </c>
      <c r="R15" s="36">
        <f>VLOOKUP($A15,[29]HISTOAVRIL24!$A$6:$AU$38,46,0)</f>
        <v>0</v>
      </c>
      <c r="S15" s="36">
        <f>VLOOKUP($A15,[29]HISTOAVRIL24!$A$6:$AU$38,26,0)</f>
        <v>0</v>
      </c>
      <c r="T15" s="36">
        <f>VLOOKUP($A15,[29]HISTOAVRIL24!$A$6:$BG$38,58,0)</f>
        <v>0</v>
      </c>
      <c r="U15" s="36">
        <f>VLOOKUP($A15,[29]HISTOAVRIL24!$A$6:$AU$38,28,0)</f>
        <v>0</v>
      </c>
      <c r="V15" s="36">
        <f>VLOOKUP($A15,[29]HISTOAVRIL24!$A$6:$AU$38,19,0)</f>
        <v>0</v>
      </c>
      <c r="W15" s="36">
        <f>VLOOKUP($A15,[29]HISTOAVRIL24!$A$6:$AU$38,20,0)</f>
        <v>0</v>
      </c>
      <c r="X15" s="36">
        <f>VLOOKUP($A15,[29]HISTOAVRIL24!$A$6:$AU$38,27,0)</f>
        <v>0</v>
      </c>
      <c r="Y15" s="36">
        <f>VLOOKUP($A15,[29]HISTOAVRIL24!$A$6:$BM$38,33,0)</f>
        <v>0</v>
      </c>
      <c r="Z15" s="36">
        <f>VLOOKUP($A15,[29]HISTOAVRIL24!$A$6:$BM$38,65,0)</f>
        <v>0</v>
      </c>
      <c r="AA15" s="36"/>
      <c r="AB15" s="36">
        <f>VLOOKUP($A15,[29]HISTOAVRIL24!$A$6:$AU$38,43,0)</f>
        <v>0</v>
      </c>
      <c r="AC15" s="36">
        <f>VLOOKUP($A15,[29]HISTOAVRIL24!$A$6:$AU$38,44,0)</f>
        <v>0</v>
      </c>
      <c r="AD15" s="36">
        <f>VLOOKUP($A15,[29]HISTOAVRIL24!$A$6:$AU$38,47,0)</f>
        <v>0</v>
      </c>
      <c r="AE15" s="36">
        <f>VLOOKUP(A15,[29]HISTOAVRIL24!$A$6:$BB$38,54,0)</f>
        <v>0</v>
      </c>
      <c r="AF15" s="36">
        <f>VLOOKUP($A15,[29]HISTOAVRIL24!$A$6:$CB$38,60,0)</f>
        <v>0</v>
      </c>
      <c r="AG15" s="36">
        <f>VLOOKUP($A15,[29]HISTOAVRIL24!$A$6:$CB$38,61,0)</f>
        <v>0</v>
      </c>
      <c r="AH15" s="36">
        <f>VLOOKUP($A15,[29]HISTOAVRIL24!$A$6:$CB$38,62,0)</f>
        <v>0</v>
      </c>
      <c r="AI15" s="36">
        <f>VLOOKUP($A15,[29]HISTOAVRIL24!$A$6:$CB$38,63,0)</f>
        <v>0</v>
      </c>
      <c r="AJ15" s="36">
        <f>VLOOKUP($A15,[29]HISTOAVRIL24!$A$6:$CB$38,64,0)</f>
        <v>0</v>
      </c>
      <c r="AK15" s="36">
        <f>VLOOKUP($A15,[29]HISTOAVRIL24!$A$6:$CB$38,65,0)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VLOOKUP($A16,[29]HISTOAVRIL24!$A$6:$BA$38,48,0)</f>
        <v>0</v>
      </c>
      <c r="F16" s="36">
        <f>MVTMARS24!I16-E16+L16</f>
        <v>994858.55322916305</v>
      </c>
      <c r="G16" s="5">
        <f>IF(MVTMARS24!I16+L16&gt;700000,(MVTMARS24!I16-E16+L16),0)</f>
        <v>994858.55322916305</v>
      </c>
      <c r="H16" s="36">
        <f t="shared" si="0"/>
        <v>0</v>
      </c>
      <c r="I16" s="6">
        <f t="shared" si="2"/>
        <v>994858.55322916305</v>
      </c>
      <c r="J16" s="36">
        <f>VLOOKUP($A16,[29]HISTOAVRIL24!$A$6:$AQ$42,22,0)</f>
        <v>0</v>
      </c>
      <c r="K16" s="36">
        <f>VLOOKUP($A16,[29]HISTOAVRIL24!$A$6:$AU$38,45,0)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VLOOKUP($A16,[29]HISTOAVRIL24!$A$6:$AU$38,7,0)</f>
        <v>0</v>
      </c>
      <c r="Q16" s="36">
        <f>VLOOKUP($A16,[29]HISTOAVRIL24!$A$6:$AU$38,23,0)</f>
        <v>0</v>
      </c>
      <c r="R16" s="36">
        <f>VLOOKUP($A16,[29]HISTOAVRIL24!$A$6:$AU$38,46,0)</f>
        <v>0</v>
      </c>
      <c r="S16" s="36">
        <f>VLOOKUP($A16,[29]HISTOAVRIL24!$A$6:$AU$38,26,0)</f>
        <v>0</v>
      </c>
      <c r="T16" s="36">
        <f>VLOOKUP($A16,[29]HISTOAVRIL24!$A$6:$BG$38,58,0)</f>
        <v>0</v>
      </c>
      <c r="U16" s="36">
        <f>VLOOKUP($A16,[29]HISTOAVRIL24!$A$6:$AU$38,28,0)</f>
        <v>0</v>
      </c>
      <c r="V16" s="36">
        <f>VLOOKUP($A16,[29]HISTOAVRIL24!$A$6:$AU$38,19,0)</f>
        <v>0</v>
      </c>
      <c r="W16" s="36">
        <f>VLOOKUP($A16,[29]HISTOAVRIL24!$A$6:$AU$38,20,0)</f>
        <v>0</v>
      </c>
      <c r="X16" s="36">
        <f>VLOOKUP($A16,[29]HISTOAVRIL24!$A$6:$AU$38,27,0)</f>
        <v>0</v>
      </c>
      <c r="Y16" s="36">
        <f>VLOOKUP($A16,[29]HISTOAVRIL24!$A$6:$BM$38,33,0)</f>
        <v>0</v>
      </c>
      <c r="Z16" s="36">
        <f>VLOOKUP($A16,[29]HISTOAVRIL24!$A$6:$BM$38,65,0)</f>
        <v>0</v>
      </c>
      <c r="AA16" s="36"/>
      <c r="AB16" s="36">
        <f>VLOOKUP($A16,[29]HISTOAVRIL24!$A$6:$AU$38,43,0)</f>
        <v>0</v>
      </c>
      <c r="AC16" s="36">
        <f>VLOOKUP($A16,[29]HISTOAVRIL24!$A$6:$AU$38,44,0)</f>
        <v>0</v>
      </c>
      <c r="AD16" s="36">
        <f>VLOOKUP($A16,[29]HISTOAVRIL24!$A$6:$AU$38,47,0)</f>
        <v>0</v>
      </c>
      <c r="AE16" s="36">
        <f>VLOOKUP(A16,[29]HISTOAVRIL24!$A$6:$BB$38,54,0)</f>
        <v>0</v>
      </c>
      <c r="AF16" s="36">
        <f>VLOOKUP($A16,[29]HISTOAVRIL24!$A$6:$CB$38,60,0)</f>
        <v>0</v>
      </c>
      <c r="AG16" s="36">
        <f>VLOOKUP($A16,[29]HISTOAVRIL24!$A$6:$CB$38,61,0)</f>
        <v>0</v>
      </c>
      <c r="AH16" s="36">
        <f>VLOOKUP($A16,[29]HISTOAVRIL24!$A$6:$CB$38,62,0)</f>
        <v>0</v>
      </c>
      <c r="AI16" s="36">
        <f>VLOOKUP($A16,[29]HISTOAVRIL24!$A$6:$CB$38,63,0)</f>
        <v>0</v>
      </c>
      <c r="AJ16" s="36">
        <f>VLOOKUP($A16,[29]HISTOAVRIL24!$A$6:$CB$38,64,0)</f>
        <v>0</v>
      </c>
      <c r="AK16" s="36">
        <f>VLOOKUP($A16,[29]HISTOAVRIL24!$A$6:$CB$38,65,0)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VLOOKUP($A17,[29]HISTOAVRIL24!$A$6:$BA$38,48,0)</f>
        <v>0</v>
      </c>
      <c r="F17" s="36">
        <f>MVTMARS24!I17-E17+L17</f>
        <v>832429.67134556815</v>
      </c>
      <c r="G17" s="5">
        <f>IF(MVTMARS24!I17+L17&gt;700000,(MVTMARS24!I17-E17+L17),0)</f>
        <v>832429.67134556815</v>
      </c>
      <c r="H17" s="36">
        <f t="shared" si="0"/>
        <v>0</v>
      </c>
      <c r="I17" s="6">
        <f t="shared" si="2"/>
        <v>832429.67134556815</v>
      </c>
      <c r="J17" s="36">
        <f>VLOOKUP($A17,[29]HISTOAVRIL24!$A$6:$AQ$42,22,0)</f>
        <v>0</v>
      </c>
      <c r="K17" s="36">
        <f>VLOOKUP($A17,[29]HISTOAVRIL24!$A$6:$AU$38,45,0)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VLOOKUP($A17,[29]HISTOAVRIL24!$A$6:$AU$38,7,0)</f>
        <v>0</v>
      </c>
      <c r="Q17" s="36">
        <f>VLOOKUP($A17,[29]HISTOAVRIL24!$A$6:$AU$38,23,0)</f>
        <v>0</v>
      </c>
      <c r="R17" s="36">
        <f>VLOOKUP($A17,[29]HISTOAVRIL24!$A$6:$AU$38,46,0)</f>
        <v>0</v>
      </c>
      <c r="S17" s="36">
        <f>VLOOKUP($A17,[29]HISTOAVRIL24!$A$6:$AU$38,26,0)</f>
        <v>0</v>
      </c>
      <c r="T17" s="36">
        <f>VLOOKUP($A17,[29]HISTOAVRIL24!$A$6:$BG$38,58,0)</f>
        <v>0</v>
      </c>
      <c r="U17" s="36">
        <f>VLOOKUP($A17,[29]HISTOAVRIL24!$A$6:$AU$38,28,0)</f>
        <v>0</v>
      </c>
      <c r="V17" s="36">
        <f>VLOOKUP($A17,[29]HISTOAVRIL24!$A$6:$AU$38,19,0)</f>
        <v>0</v>
      </c>
      <c r="W17" s="36">
        <f>VLOOKUP($A17,[29]HISTOAVRIL24!$A$6:$AU$38,20,0)</f>
        <v>0</v>
      </c>
      <c r="X17" s="36">
        <f>VLOOKUP($A17,[29]HISTOAVRIL24!$A$6:$AU$38,27,0)</f>
        <v>0</v>
      </c>
      <c r="Y17" s="36">
        <f>VLOOKUP($A17,[29]HISTOAVRIL24!$A$6:$BM$38,33,0)</f>
        <v>0</v>
      </c>
      <c r="Z17" s="36">
        <f>VLOOKUP($A17,[29]HISTOAVRIL24!$A$6:$BM$38,65,0)</f>
        <v>0</v>
      </c>
      <c r="AA17" s="36"/>
      <c r="AB17" s="36">
        <f>VLOOKUP($A17,[29]HISTOAVRIL24!$A$6:$AU$38,43,0)</f>
        <v>0</v>
      </c>
      <c r="AC17" s="36">
        <f>VLOOKUP($A17,[29]HISTOAVRIL24!$A$6:$AU$38,44,0)</f>
        <v>0</v>
      </c>
      <c r="AD17" s="36">
        <f>VLOOKUP($A17,[29]HISTOAVRIL24!$A$6:$AU$38,47,0)</f>
        <v>0</v>
      </c>
      <c r="AE17" s="36">
        <f>VLOOKUP(A17,[29]HISTOAVRIL24!$A$6:$BB$38,54,0)</f>
        <v>0</v>
      </c>
      <c r="AF17" s="36">
        <f>VLOOKUP($A17,[29]HISTOAVRIL24!$A$6:$CB$38,60,0)</f>
        <v>0</v>
      </c>
      <c r="AG17" s="36">
        <f>VLOOKUP($A17,[29]HISTOAVRIL24!$A$6:$CB$38,61,0)</f>
        <v>0</v>
      </c>
      <c r="AH17" s="36">
        <f>VLOOKUP($A17,[29]HISTOAVRIL24!$A$6:$CB$38,62,0)</f>
        <v>0</v>
      </c>
      <c r="AI17" s="36">
        <f>VLOOKUP($A17,[29]HISTOAVRIL24!$A$6:$CB$38,63,0)</f>
        <v>0</v>
      </c>
      <c r="AJ17" s="36">
        <f>VLOOKUP($A17,[29]HISTOAVRIL24!$A$6:$CB$38,64,0)</f>
        <v>0</v>
      </c>
      <c r="AK17" s="36">
        <f>VLOOKUP($A17,[29]HISTOAVRIL24!$A$6:$CB$38,65,0)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VLOOKUP($A18,[29]HISTOAVRIL24!$A$6:$BA$38,48,0)</f>
        <v>0</v>
      </c>
      <c r="F18" s="36">
        <f>MVTMARS24!I18-E18+L18</f>
        <v>878669.02055502485</v>
      </c>
      <c r="G18" s="5">
        <f>IF(MVTMARS24!I18+L18&gt;700000,(MVTMARS24!I18-E18+L18),0)</f>
        <v>878669.02055502485</v>
      </c>
      <c r="H18" s="36">
        <f t="shared" si="0"/>
        <v>0</v>
      </c>
      <c r="I18" s="6">
        <f t="shared" si="2"/>
        <v>878669.02055502485</v>
      </c>
      <c r="J18" s="36">
        <f>VLOOKUP($A18,[29]HISTOAVRIL24!$A$6:$AQ$42,22,0)</f>
        <v>0</v>
      </c>
      <c r="K18" s="36">
        <f>VLOOKUP($A18,[29]HISTOAVRIL24!$A$6:$AU$38,45,0)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VLOOKUP($A18,[29]HISTOAVRIL24!$A$6:$AU$38,7,0)</f>
        <v>0</v>
      </c>
      <c r="Q18" s="36">
        <f>VLOOKUP($A18,[29]HISTOAVRIL24!$A$6:$AU$38,23,0)</f>
        <v>0</v>
      </c>
      <c r="R18" s="36">
        <f>VLOOKUP($A18,[29]HISTOAVRIL24!$A$6:$AU$38,46,0)</f>
        <v>0</v>
      </c>
      <c r="S18" s="36">
        <f>VLOOKUP($A18,[29]HISTOAVRIL24!$A$6:$AU$38,26,0)</f>
        <v>0</v>
      </c>
      <c r="T18" s="36">
        <f>VLOOKUP($A18,[29]HISTOAVRIL24!$A$6:$BG$38,58,0)</f>
        <v>0</v>
      </c>
      <c r="U18" s="36">
        <f>VLOOKUP($A18,[29]HISTOAVRIL24!$A$6:$AU$38,28,0)</f>
        <v>0</v>
      </c>
      <c r="V18" s="36">
        <f>VLOOKUP($A18,[29]HISTOAVRIL24!$A$6:$AU$38,19,0)</f>
        <v>0</v>
      </c>
      <c r="W18" s="36">
        <f>VLOOKUP($A18,[29]HISTOAVRIL24!$A$6:$AU$38,20,0)</f>
        <v>0</v>
      </c>
      <c r="X18" s="36">
        <f>VLOOKUP($A18,[29]HISTOAVRIL24!$A$6:$AU$38,27,0)</f>
        <v>0</v>
      </c>
      <c r="Y18" s="36">
        <f>VLOOKUP($A18,[29]HISTOAVRIL24!$A$6:$BM$38,33,0)</f>
        <v>0</v>
      </c>
      <c r="Z18" s="36">
        <f>VLOOKUP($A18,[29]HISTOAVRIL24!$A$6:$BM$38,65,0)</f>
        <v>0</v>
      </c>
      <c r="AA18" s="36"/>
      <c r="AB18" s="36">
        <f>VLOOKUP($A18,[29]HISTOAVRIL24!$A$6:$AU$38,43,0)</f>
        <v>0</v>
      </c>
      <c r="AC18" s="36">
        <f>VLOOKUP($A18,[29]HISTOAVRIL24!$A$6:$AU$38,44,0)</f>
        <v>0</v>
      </c>
      <c r="AD18" s="36">
        <f>VLOOKUP($A18,[29]HISTOAVRIL24!$A$6:$AU$38,47,0)</f>
        <v>0</v>
      </c>
      <c r="AE18" s="36">
        <f>VLOOKUP(A18,[29]HISTOAVRIL24!$A$6:$BB$38,54,0)</f>
        <v>0</v>
      </c>
      <c r="AF18" s="36">
        <f>VLOOKUP($A18,[29]HISTOAVRIL24!$A$6:$CB$38,60,0)</f>
        <v>0</v>
      </c>
      <c r="AG18" s="36">
        <f>VLOOKUP($A18,[29]HISTOAVRIL24!$A$6:$CB$38,61,0)</f>
        <v>0</v>
      </c>
      <c r="AH18" s="36">
        <f>VLOOKUP($A18,[29]HISTOAVRIL24!$A$6:$CB$38,62,0)</f>
        <v>0</v>
      </c>
      <c r="AI18" s="36">
        <f>VLOOKUP($A18,[29]HISTOAVRIL24!$A$6:$CB$38,63,0)</f>
        <v>0</v>
      </c>
      <c r="AJ18" s="36">
        <f>VLOOKUP($A18,[29]HISTOAVRIL24!$A$6:$CB$38,64,0)</f>
        <v>0</v>
      </c>
      <c r="AK18" s="36">
        <f>VLOOKUP($A18,[29]HISTOAVRIL24!$A$6:$CB$38,65,0)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MVTMARS24!I19-E19+L19</f>
        <v>676217</v>
      </c>
      <c r="G19" s="5">
        <f>IF(MVTMARS24!I19+L19&gt;700000,(MVTMARS24!I19-E19+L19),0)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MVTMARS24!I20-E20+L20</f>
        <v>76000</v>
      </c>
      <c r="G20" s="5">
        <f>IF(MVTMARS24!I20+L20&gt;700000,(MVTMARS24!I20-E20+L20),0)</f>
        <v>0</v>
      </c>
      <c r="H20" s="36">
        <f t="shared" si="0"/>
        <v>0</v>
      </c>
      <c r="I20" s="6">
        <f t="shared" si="2"/>
        <v>76000</v>
      </c>
      <c r="J20" s="36">
        <f>VLOOKUP($A20,[29]HISTOAVRIL24!$A$6:$AQ$42,22,0)</f>
        <v>0</v>
      </c>
      <c r="K20" s="36">
        <f>VLOOKUP($A20,[29]HISTOAVRIL24!$A$6:$AU$38,45,0)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VLOOKUP($A20,[29]HISTOAVRIL24!$A$6:$AU$38,7,0)</f>
        <v>0</v>
      </c>
      <c r="Q20" s="36">
        <f>VLOOKUP($A20,[29]HISTOAVRIL24!$A$6:$AU$38,23,0)</f>
        <v>0</v>
      </c>
      <c r="R20" s="36">
        <f>VLOOKUP($A20,[29]HISTOAVRIL24!$A$6:$AU$38,46,0)</f>
        <v>0</v>
      </c>
      <c r="S20" s="36">
        <f>VLOOKUP($A20,[29]HISTOAVRIL24!$A$6:$AU$38,26,0)</f>
        <v>0</v>
      </c>
      <c r="T20" s="36">
        <f>VLOOKUP($A20,[29]HISTOAVRIL24!$A$6:$BG$38,58,0)</f>
        <v>0</v>
      </c>
      <c r="U20" s="36">
        <f>VLOOKUP($A20,[29]HISTOAVRIL24!$A$6:$AU$38,28,0)</f>
        <v>0</v>
      </c>
      <c r="V20" s="36">
        <f>VLOOKUP($A20,[29]HISTOAVRIL24!$A$6:$AU$38,19,0)</f>
        <v>0</v>
      </c>
      <c r="W20" s="36">
        <f>VLOOKUP($A20,[29]HISTOAVRIL24!$A$6:$AU$38,20,0)</f>
        <v>0</v>
      </c>
      <c r="X20" s="36">
        <f>VLOOKUP($A20,[29]HISTOAVRIL24!$A$6:$AU$38,27,0)</f>
        <v>0</v>
      </c>
      <c r="Y20" s="36">
        <f>VLOOKUP($A20,[29]HISTOAVRIL24!$A$6:$BM$38,33,0)</f>
        <v>0</v>
      </c>
      <c r="Z20" s="36">
        <f>VLOOKUP($A20,[29]HISTOAVRIL24!$A$6:$BM$38,65,0)</f>
        <v>0</v>
      </c>
      <c r="AA20" s="36"/>
      <c r="AB20" s="36">
        <f>VLOOKUP($A20,[29]HISTOAVRIL24!$A$6:$AU$38,43,0)</f>
        <v>0</v>
      </c>
      <c r="AC20" s="36">
        <f>VLOOKUP($A20,[29]HISTOAVRIL24!$A$6:$AU$38,44,0)</f>
        <v>0</v>
      </c>
      <c r="AD20" s="36">
        <f>VLOOKUP($A20,[29]HISTOAVRIL24!$A$6:$AU$38,47,0)</f>
        <v>0</v>
      </c>
      <c r="AE20" s="36">
        <f>VLOOKUP(A20,[29]HISTOAVRIL24!$A$6:$BB$38,54,0)</f>
        <v>0</v>
      </c>
      <c r="AF20" s="36">
        <f>VLOOKUP($A20,[29]HISTOAVRIL24!$A$6:$CB$38,60,0)</f>
        <v>0</v>
      </c>
      <c r="AG20" s="36">
        <f>VLOOKUP($A20,[29]HISTOAVRIL24!$A$6:$CB$38,61,0)</f>
        <v>0</v>
      </c>
      <c r="AH20" s="36">
        <f>VLOOKUP($A20,[29]HISTOAVRIL24!$A$6:$CB$38,62,0)</f>
        <v>0</v>
      </c>
      <c r="AI20" s="36">
        <f>VLOOKUP($A20,[29]HISTOAVRIL24!$A$6:$CB$38,63,0)</f>
        <v>0</v>
      </c>
      <c r="AJ20" s="36">
        <f>VLOOKUP($A20,[29]HISTOAVRIL24!$A$6:$CB$38,64,0)</f>
        <v>0</v>
      </c>
      <c r="AK20" s="36">
        <f>VLOOKUP($A20,[29]HISTOAVRIL24!$A$6:$CB$38,65,0)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MVTMARS24!I21-E21+L21</f>
        <v>855351.96899536892</v>
      </c>
      <c r="G21" s="5">
        <f>IF(MVTMARS24!I21+L21&gt;700000,(MVTMARS24!I21-E21+L21),0)</f>
        <v>855351.96899536892</v>
      </c>
      <c r="H21" s="36">
        <f t="shared" si="0"/>
        <v>0</v>
      </c>
      <c r="I21" s="6">
        <f t="shared" si="2"/>
        <v>855351.96899536892</v>
      </c>
      <c r="J21" s="36">
        <f>VLOOKUP($A21,[29]HISTOAVRIL24!$A$6:$AQ$42,22,0)</f>
        <v>0</v>
      </c>
      <c r="K21" s="36">
        <f>VLOOKUP($A21,[29]HISTOAVRIL24!$A$6:$AU$38,45,0)</f>
        <v>24000</v>
      </c>
      <c r="L21" s="36">
        <f t="shared" si="3"/>
        <v>18000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VLOOKUP($A21,[29]HISTOAVRIL24!$A$6:$AU$38,7,0)</f>
        <v>0</v>
      </c>
      <c r="Q21" s="36">
        <f>VLOOKUP($A21,[29]HISTOAVRIL24!$A$6:$AU$38,23,0)</f>
        <v>0</v>
      </c>
      <c r="R21" s="36">
        <f>VLOOKUP($A21,[29]HISTOAVRIL24!$A$6:$AU$38,46,0)</f>
        <v>0</v>
      </c>
      <c r="S21" s="36">
        <f>VLOOKUP($A21,[29]HISTOAVRIL24!$A$6:$AU$38,26,0)</f>
        <v>0</v>
      </c>
      <c r="T21" s="36">
        <f>VLOOKUP($A21,[29]HISTOAVRIL24!$A$6:$BG$38,58,0)</f>
        <v>0</v>
      </c>
      <c r="U21" s="36">
        <f>VLOOKUP($A21,[29]HISTOAVRIL24!$A$6:$AU$38,28,0)</f>
        <v>0</v>
      </c>
      <c r="V21" s="36">
        <f>VLOOKUP($A21,[29]HISTOAVRIL24!$A$6:$AU$38,19,0)</f>
        <v>0</v>
      </c>
      <c r="W21" s="36">
        <f>VLOOKUP($A21,[29]HISTOAVRIL24!$A$6:$AU$38,20,0)</f>
        <v>0</v>
      </c>
      <c r="X21" s="36">
        <f>VLOOKUP($A21,[29]HISTOAVRIL24!$A$6:$AU$38,27,0)</f>
        <v>0</v>
      </c>
      <c r="Y21" s="36">
        <f>VLOOKUP($A21,[29]HISTOAVRIL24!$A$6:$BM$38,33,0)</f>
        <v>0</v>
      </c>
      <c r="Z21" s="36">
        <f>VLOOKUP($A21,[29]HISTOAVRIL24!$A$6:$BM$38,65,0)</f>
        <v>0</v>
      </c>
      <c r="AA21" s="36"/>
      <c r="AB21" s="36">
        <f>VLOOKUP($A21,[29]HISTOAVRIL24!$A$6:$AU$38,43,0)</f>
        <v>0</v>
      </c>
      <c r="AC21" s="36">
        <f>VLOOKUP($A21,[29]HISTOAVRIL24!$A$6:$AU$38,44,0)</f>
        <v>0</v>
      </c>
      <c r="AD21" s="36">
        <f>VLOOKUP($A21,[29]HISTOAVRIL24!$A$6:$AU$38,47,0)</f>
        <v>0</v>
      </c>
      <c r="AE21" s="36">
        <f>VLOOKUP(A21,[29]HISTOAVRIL24!$A$6:$BB$38,54,0)</f>
        <v>0</v>
      </c>
      <c r="AF21" s="36">
        <f>VLOOKUP($A21,[29]HISTOAVRIL24!$A$6:$CB$38,60,0)</f>
        <v>0</v>
      </c>
      <c r="AG21" s="36">
        <f>VLOOKUP($A21,[29]HISTOAVRIL24!$A$6:$CB$38,61,0)</f>
        <v>0</v>
      </c>
      <c r="AH21" s="36">
        <f>VLOOKUP($A21,[29]HISTOAVRIL24!$A$6:$CB$38,62,0)</f>
        <v>0</v>
      </c>
      <c r="AI21" s="36">
        <f>VLOOKUP($A21,[29]HISTOAVRIL24!$A$6:$CB$38,63,0)</f>
        <v>0</v>
      </c>
      <c r="AJ21" s="36">
        <f>VLOOKUP($A21,[29]HISTOAVRIL24!$A$6:$CB$38,64,0)</f>
        <v>0</v>
      </c>
      <c r="AK21" s="36">
        <f>VLOOKUP($A21,[29]HISTOAVRIL24!$A$6:$CB$38,65,0)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MVTMARS24!I22-E22+L22</f>
        <v>823777.07147251477</v>
      </c>
      <c r="G22" s="5">
        <f>IF(MVTMARS24!I22+L22&gt;700000,(MVTMARS24!I22-E22+L22),0)</f>
        <v>823777.07147251477</v>
      </c>
      <c r="H22" s="36">
        <f t="shared" si="0"/>
        <v>0</v>
      </c>
      <c r="I22" s="6">
        <f t="shared" si="2"/>
        <v>823777.07147251477</v>
      </c>
      <c r="J22" s="36">
        <f>VLOOKUP($A22,[29]HISTOAVRIL24!$A$6:$AQ$42,22,0)</f>
        <v>0</v>
      </c>
      <c r="K22" s="36">
        <f>VLOOKUP($A22,[29]HISTOAVRIL24!$A$6:$AU$38,45,0)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VLOOKUP($A22,[29]HISTOAVRIL24!$A$6:$AU$38,7,0)</f>
        <v>0</v>
      </c>
      <c r="Q22" s="36">
        <f>VLOOKUP($A22,[29]HISTOAVRIL24!$A$6:$AU$38,23,0)</f>
        <v>0</v>
      </c>
      <c r="R22" s="36">
        <f>VLOOKUP($A22,[29]HISTOAVRIL24!$A$6:$AU$38,46,0)</f>
        <v>0</v>
      </c>
      <c r="S22" s="36">
        <f>VLOOKUP($A22,[29]HISTOAVRIL24!$A$6:$AU$38,26,0)</f>
        <v>0</v>
      </c>
      <c r="T22" s="36">
        <f>VLOOKUP($A22,[29]HISTOAVRIL24!$A$6:$BG$38,58,0)</f>
        <v>0</v>
      </c>
      <c r="U22" s="36">
        <f>VLOOKUP($A22,[29]HISTOAVRIL24!$A$6:$AU$38,28,0)</f>
        <v>0</v>
      </c>
      <c r="V22" s="36">
        <f>VLOOKUP($A22,[29]HISTOAVRIL24!$A$6:$AU$38,19,0)</f>
        <v>0</v>
      </c>
      <c r="W22" s="36">
        <f>VLOOKUP($A22,[29]HISTOAVRIL24!$A$6:$AU$38,20,0)</f>
        <v>0</v>
      </c>
      <c r="X22" s="36">
        <f>VLOOKUP($A22,[29]HISTOAVRIL24!$A$6:$AU$38,27,0)</f>
        <v>0</v>
      </c>
      <c r="Y22" s="36">
        <f>VLOOKUP($A22,[29]HISTOAVRIL24!$A$6:$BM$38,33,0)</f>
        <v>0</v>
      </c>
      <c r="Z22" s="36">
        <f>VLOOKUP($A22,[29]HISTOAVRIL24!$A$6:$BM$38,65,0)</f>
        <v>0</v>
      </c>
      <c r="AA22" s="36"/>
      <c r="AB22" s="36">
        <f>VLOOKUP($A22,[29]HISTOAVRIL24!$A$6:$AU$38,43,0)</f>
        <v>0</v>
      </c>
      <c r="AC22" s="36">
        <f>VLOOKUP($A22,[29]HISTOAVRIL24!$A$6:$AU$38,44,0)</f>
        <v>0</v>
      </c>
      <c r="AD22" s="36">
        <f>VLOOKUP($A22,[29]HISTOAVRIL24!$A$6:$AU$38,47,0)</f>
        <v>0</v>
      </c>
      <c r="AE22" s="36">
        <f>VLOOKUP(A22,[29]HISTOAVRIL24!$A$6:$BB$38,54,0)</f>
        <v>0</v>
      </c>
      <c r="AF22" s="36">
        <f>VLOOKUP($A22,[29]HISTOAVRIL24!$A$6:$CB$38,60,0)</f>
        <v>0</v>
      </c>
      <c r="AG22" s="36">
        <f>VLOOKUP($A22,[29]HISTOAVRIL24!$A$6:$CB$38,61,0)</f>
        <v>0</v>
      </c>
      <c r="AH22" s="36">
        <f>VLOOKUP($A22,[29]HISTOAVRIL24!$A$6:$CB$38,62,0)</f>
        <v>0</v>
      </c>
      <c r="AI22" s="36">
        <f>VLOOKUP($A22,[29]HISTOAVRIL24!$A$6:$CB$38,63,0)</f>
        <v>0</v>
      </c>
      <c r="AJ22" s="36">
        <f>VLOOKUP($A22,[29]HISTOAVRIL24!$A$6:$CB$38,64,0)</f>
        <v>0</v>
      </c>
      <c r="AK22" s="36">
        <f>VLOOKUP($A22,[29]HISTOAVRIL24!$A$6:$CB$38,65,0)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MVTMARS24!I23-E23+L23</f>
        <v>929576.20918963733</v>
      </c>
      <c r="G23" s="5">
        <f>IF(MVTMARS24!I23+L23&gt;700000,(MVTMARS24!I23-E23+L23),0)</f>
        <v>929576.20918963733</v>
      </c>
      <c r="H23" s="36">
        <f t="shared" si="0"/>
        <v>0</v>
      </c>
      <c r="I23" s="6">
        <f t="shared" si="2"/>
        <v>929576.20918963733</v>
      </c>
      <c r="J23" s="36">
        <f>VLOOKUP($A23,[29]HISTOAVRIL24!$A$6:$AQ$42,22,0)</f>
        <v>0</v>
      </c>
      <c r="K23" s="36">
        <f>VLOOKUP($A23,[29]HISTOAVRIL24!$A$6:$AU$38,45,0)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VLOOKUP($A23,[29]HISTOAVRIL24!$A$6:$AU$38,7,0)</f>
        <v>0</v>
      </c>
      <c r="Q23" s="36">
        <f>VLOOKUP($A23,[29]HISTOAVRIL24!$A$6:$AU$38,23,0)</f>
        <v>0</v>
      </c>
      <c r="R23" s="36">
        <f>VLOOKUP($A23,[29]HISTOAVRIL24!$A$6:$AU$38,46,0)</f>
        <v>0</v>
      </c>
      <c r="S23" s="36">
        <f>VLOOKUP($A23,[29]HISTOAVRIL24!$A$6:$AU$38,26,0)</f>
        <v>0</v>
      </c>
      <c r="T23" s="36">
        <f>VLOOKUP($A23,[29]HISTOAVRIL24!$A$6:$BG$38,58,0)</f>
        <v>0</v>
      </c>
      <c r="U23" s="36">
        <f>VLOOKUP($A23,[29]HISTOAVRIL24!$A$6:$AU$38,28,0)</f>
        <v>0</v>
      </c>
      <c r="V23" s="36">
        <f>VLOOKUP($A23,[29]HISTOAVRIL24!$A$6:$AU$38,19,0)</f>
        <v>0</v>
      </c>
      <c r="W23" s="36">
        <f>VLOOKUP($A23,[29]HISTOAVRIL24!$A$6:$AU$38,20,0)</f>
        <v>0</v>
      </c>
      <c r="X23" s="36">
        <f>VLOOKUP($A23,[29]HISTOAVRIL24!$A$6:$AU$38,27,0)</f>
        <v>0</v>
      </c>
      <c r="Y23" s="36">
        <f>VLOOKUP($A23,[29]HISTOAVRIL24!$A$6:$BM$38,33,0)</f>
        <v>0</v>
      </c>
      <c r="Z23" s="36">
        <f>VLOOKUP($A23,[29]HISTOAVRIL24!$A$6:$BM$38,65,0)</f>
        <v>0</v>
      </c>
      <c r="AA23" s="36"/>
      <c r="AB23" s="36">
        <f>VLOOKUP($A23,[29]HISTOAVRIL24!$A$6:$AU$38,43,0)</f>
        <v>0</v>
      </c>
      <c r="AC23" s="36">
        <f>VLOOKUP($A23,[29]HISTOAVRIL24!$A$6:$AU$38,44,0)</f>
        <v>0</v>
      </c>
      <c r="AD23" s="36">
        <f>VLOOKUP($A23,[29]HISTOAVRIL24!$A$6:$AU$38,47,0)</f>
        <v>0</v>
      </c>
      <c r="AE23" s="36">
        <f>VLOOKUP(A23,[29]HISTOAVRIL24!$A$6:$BB$38,54,0)</f>
        <v>0</v>
      </c>
      <c r="AF23" s="36">
        <f>VLOOKUP($A23,[29]HISTOAVRIL24!$A$6:$CB$38,60,0)</f>
        <v>0</v>
      </c>
      <c r="AG23" s="36">
        <f>VLOOKUP($A23,[29]HISTOAVRIL24!$A$6:$CB$38,61,0)</f>
        <v>0</v>
      </c>
      <c r="AH23" s="36">
        <f>VLOOKUP($A23,[29]HISTOAVRIL24!$A$6:$CB$38,62,0)</f>
        <v>0</v>
      </c>
      <c r="AI23" s="36">
        <f>VLOOKUP($A23,[29]HISTOAVRIL24!$A$6:$CB$38,63,0)</f>
        <v>0</v>
      </c>
      <c r="AJ23" s="36">
        <f>VLOOKUP($A23,[29]HISTOAVRIL24!$A$6:$CB$38,64,0)</f>
        <v>0</v>
      </c>
      <c r="AK23" s="36">
        <f>VLOOKUP($A23,[29]HISTOAVRIL24!$A$6:$CB$38,65,0)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MVTMARS24!I24-E24+L24</f>
        <v>1102559.0010468005</v>
      </c>
      <c r="G24" s="5">
        <f>IF(MVTMARS24!I24+L24&gt;700000,(MVTMARS24!I24-E24+L24),0)</f>
        <v>1102559.0010468005</v>
      </c>
      <c r="H24" s="36">
        <f t="shared" si="0"/>
        <v>0</v>
      </c>
      <c r="I24" s="6">
        <f t="shared" si="2"/>
        <v>1102559.0010468005</v>
      </c>
      <c r="J24" s="36">
        <f>VLOOKUP($A24,[29]HISTOAVRIL24!$A$6:$AQ$42,22,0)</f>
        <v>0</v>
      </c>
      <c r="K24" s="36">
        <f>VLOOKUP($A24,[29]HISTOAVRIL24!$A$6:$AU$38,45,0)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VLOOKUP($A24,[29]HISTOAVRIL24!$A$6:$AU$38,7,0)</f>
        <v>0</v>
      </c>
      <c r="Q24" s="36">
        <f>VLOOKUP($A24,[29]HISTOAVRIL24!$A$6:$AU$38,23,0)</f>
        <v>0</v>
      </c>
      <c r="R24" s="36">
        <f>VLOOKUP($A24,[29]HISTOAVRIL24!$A$6:$AU$38,46,0)</f>
        <v>0</v>
      </c>
      <c r="S24" s="36">
        <f>VLOOKUP($A24,[29]HISTOAVRIL24!$A$6:$AU$38,26,0)</f>
        <v>0</v>
      </c>
      <c r="T24" s="36">
        <f>VLOOKUP($A24,[29]HISTOAVRIL24!$A$6:$BG$38,58,0)</f>
        <v>0</v>
      </c>
      <c r="U24" s="36">
        <f>VLOOKUP($A24,[29]HISTOAVRIL24!$A$6:$AU$38,28,0)</f>
        <v>0</v>
      </c>
      <c r="V24" s="36">
        <f>VLOOKUP($A24,[29]HISTOAVRIL24!$A$6:$AU$38,19,0)</f>
        <v>0</v>
      </c>
      <c r="W24" s="36">
        <f>VLOOKUP($A24,[29]HISTOAVRIL24!$A$6:$AU$38,20,0)</f>
        <v>0</v>
      </c>
      <c r="X24" s="36">
        <f>VLOOKUP($A24,[29]HISTOAVRIL24!$A$6:$AU$38,27,0)</f>
        <v>0</v>
      </c>
      <c r="Y24" s="36">
        <f>VLOOKUP($A24,[29]HISTOAVRIL24!$A$6:$BM$38,33,0)</f>
        <v>0</v>
      </c>
      <c r="Z24" s="36">
        <f>VLOOKUP($A24,[29]HISTOAVRIL24!$A$6:$BM$38,65,0)</f>
        <v>0</v>
      </c>
      <c r="AA24" s="36"/>
      <c r="AB24" s="36">
        <f>VLOOKUP($A24,[29]HISTOAVRIL24!$A$6:$AU$38,43,0)</f>
        <v>0</v>
      </c>
      <c r="AC24" s="36">
        <f>VLOOKUP($A24,[29]HISTOAVRIL24!$A$6:$AU$38,44,0)</f>
        <v>0</v>
      </c>
      <c r="AD24" s="36">
        <f>VLOOKUP($A24,[29]HISTOAVRIL24!$A$6:$AU$38,47,0)</f>
        <v>0</v>
      </c>
      <c r="AE24" s="36">
        <f>VLOOKUP(A24,[29]HISTOAVRIL24!$A$6:$BB$38,54,0)</f>
        <v>0</v>
      </c>
      <c r="AF24" s="36">
        <f>VLOOKUP($A24,[29]HISTOAVRIL24!$A$6:$CB$38,60,0)</f>
        <v>0</v>
      </c>
      <c r="AG24" s="36">
        <f>VLOOKUP($A24,[29]HISTOAVRIL24!$A$6:$CB$38,61,0)</f>
        <v>0</v>
      </c>
      <c r="AH24" s="36">
        <f>VLOOKUP($A24,[29]HISTOAVRIL24!$A$6:$CB$38,62,0)</f>
        <v>0</v>
      </c>
      <c r="AI24" s="36">
        <f>VLOOKUP($A24,[29]HISTOAVRIL24!$A$6:$CB$38,63,0)</f>
        <v>0</v>
      </c>
      <c r="AJ24" s="36">
        <f>VLOOKUP($A24,[29]HISTOAVRIL24!$A$6:$CB$38,64,0)</f>
        <v>0</v>
      </c>
      <c r="AK24" s="36">
        <f>VLOOKUP($A24,[29]HISTOAVRIL24!$A$6:$CB$38,65,0)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MVTMARS24!I25-E25+L25</f>
        <v>936102.52476419345</v>
      </c>
      <c r="G25" s="5">
        <f>IF(MVTMARS24!I25+L25&gt;700000,(MVTMARS24!I25-E25+L25),0)</f>
        <v>936102.52476419345</v>
      </c>
      <c r="H25" s="36">
        <f t="shared" si="0"/>
        <v>0</v>
      </c>
      <c r="I25" s="6">
        <f t="shared" si="2"/>
        <v>936102.52476419345</v>
      </c>
      <c r="J25" s="36">
        <f>VLOOKUP($A25,[29]HISTOAVRIL24!$A$6:$AQ$42,22,0)</f>
        <v>0</v>
      </c>
      <c r="K25" s="36">
        <f>VLOOKUP($A25,[29]HISTOAVRIL24!$A$6:$AU$38,45,0)</f>
        <v>47000</v>
      </c>
      <c r="L25" s="36">
        <f t="shared" si="3"/>
        <v>41000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VLOOKUP($A25,[29]HISTOAVRIL24!$A$6:$AU$38,7,0)</f>
        <v>3000</v>
      </c>
      <c r="Q25" s="36">
        <f>VLOOKUP($A25,[29]HISTOAVRIL24!$A$6:$AU$38,23,0)</f>
        <v>0</v>
      </c>
      <c r="R25" s="36">
        <f>VLOOKUP($A25,[29]HISTOAVRIL24!$A$6:$AU$38,46,0)</f>
        <v>0</v>
      </c>
      <c r="S25" s="36">
        <f>VLOOKUP($A25,[29]HISTOAVRIL24!$A$6:$AU$38,26,0)</f>
        <v>0</v>
      </c>
      <c r="T25" s="36">
        <f>VLOOKUP($A25,[29]HISTOAVRIL24!$A$6:$BG$38,58,0)</f>
        <v>0</v>
      </c>
      <c r="U25" s="36">
        <f>VLOOKUP($A25,[29]HISTOAVRIL24!$A$6:$AU$38,28,0)</f>
        <v>0</v>
      </c>
      <c r="V25" s="36">
        <f>VLOOKUP($A25,[29]HISTOAVRIL24!$A$6:$AU$38,19,0)</f>
        <v>0</v>
      </c>
      <c r="W25" s="36">
        <f>VLOOKUP($A25,[29]HISTOAVRIL24!$A$6:$AU$38,20,0)</f>
        <v>0</v>
      </c>
      <c r="X25" s="36">
        <f>VLOOKUP($A25,[29]HISTOAVRIL24!$A$6:$AU$38,27,0)</f>
        <v>0</v>
      </c>
      <c r="Y25" s="36">
        <f>VLOOKUP($A25,[29]HISTOAVRIL24!$A$6:$BM$38,33,0)</f>
        <v>0</v>
      </c>
      <c r="Z25" s="36">
        <f>VLOOKUP($A25,[29]HISTOAVRIL24!$A$6:$BM$38,65,0)</f>
        <v>0</v>
      </c>
      <c r="AA25" s="36"/>
      <c r="AB25" s="36">
        <f>VLOOKUP($A25,[29]HISTOAVRIL24!$A$6:$AU$38,43,0)</f>
        <v>0</v>
      </c>
      <c r="AC25" s="36">
        <f>VLOOKUP($A25,[29]HISTOAVRIL24!$A$6:$AU$38,44,0)</f>
        <v>0</v>
      </c>
      <c r="AD25" s="36">
        <f>VLOOKUP($A25,[29]HISTOAVRIL24!$A$6:$AU$38,47,0)</f>
        <v>0</v>
      </c>
      <c r="AE25" s="36">
        <f>VLOOKUP(A25,[29]HISTOAVRIL24!$A$6:$BB$38,54,0)</f>
        <v>0</v>
      </c>
      <c r="AF25" s="36">
        <f>VLOOKUP($A25,[29]HISTOAVRIL24!$A$6:$CB$38,60,0)</f>
        <v>0</v>
      </c>
      <c r="AG25" s="36">
        <f>VLOOKUP($A25,[29]HISTOAVRIL24!$A$6:$CB$38,61,0)</f>
        <v>0</v>
      </c>
      <c r="AH25" s="36">
        <f>VLOOKUP($A25,[29]HISTOAVRIL24!$A$6:$CB$38,62,0)</f>
        <v>0</v>
      </c>
      <c r="AI25" s="36">
        <f>VLOOKUP($A25,[29]HISTOAVRIL24!$A$6:$CB$38,63,0)</f>
        <v>0</v>
      </c>
      <c r="AJ25" s="36">
        <f>VLOOKUP($A25,[29]HISTOAVRIL24!$A$6:$CB$38,64,0)</f>
        <v>0</v>
      </c>
      <c r="AK25" s="36">
        <f>VLOOKUP($A25,[29]HISTOAVRIL24!$A$6:$CB$38,65,0)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MVTMARS24!I26-E26+L26</f>
        <v>842278.18276075949</v>
      </c>
      <c r="G26" s="5">
        <f>IF(MVTMARS24!I26+L26&gt;700000,(MVTMARS24!I26-E26+L26),0)</f>
        <v>842278.18276075949</v>
      </c>
      <c r="H26" s="36">
        <f t="shared" si="0"/>
        <v>0</v>
      </c>
      <c r="I26" s="6">
        <f t="shared" si="2"/>
        <v>842278.18276075949</v>
      </c>
      <c r="J26" s="36">
        <f>VLOOKUP($A26,[29]HISTOAVRIL24!$A$6:$AQ$42,22,0)</f>
        <v>0</v>
      </c>
      <c r="K26" s="36">
        <f>VLOOKUP($A26,[29]HISTOAVRIL24!$A$6:$AU$38,45,0)</f>
        <v>23000</v>
      </c>
      <c r="L26" s="36">
        <f t="shared" si="3"/>
        <v>17000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VLOOKUP($A26,[29]HISTOAVRIL24!$A$6:$AU$38,7,0)</f>
        <v>0</v>
      </c>
      <c r="Q26" s="36">
        <f>VLOOKUP($A26,[29]HISTOAVRIL24!$A$6:$AU$38,23,0)</f>
        <v>0</v>
      </c>
      <c r="R26" s="36">
        <f>VLOOKUP($A26,[29]HISTOAVRIL24!$A$6:$AU$38,46,0)</f>
        <v>0</v>
      </c>
      <c r="S26" s="36">
        <f>VLOOKUP($A26,[29]HISTOAVRIL24!$A$6:$AU$38,26,0)</f>
        <v>0</v>
      </c>
      <c r="T26" s="36">
        <f>VLOOKUP($A26,[29]HISTOAVRIL24!$A$6:$BG$38,58,0)</f>
        <v>0</v>
      </c>
      <c r="U26" s="36">
        <f>VLOOKUP($A26,[29]HISTOAVRIL24!$A$6:$AU$38,28,0)</f>
        <v>0</v>
      </c>
      <c r="V26" s="36">
        <f>VLOOKUP($A26,[29]HISTOAVRIL24!$A$6:$AU$38,19,0)</f>
        <v>0</v>
      </c>
      <c r="W26" s="36">
        <f>VLOOKUP($A26,[29]HISTOAVRIL24!$A$6:$AU$38,20,0)</f>
        <v>0</v>
      </c>
      <c r="X26" s="36">
        <f>VLOOKUP($A26,[29]HISTOAVRIL24!$A$6:$AU$38,27,0)</f>
        <v>0</v>
      </c>
      <c r="Y26" s="36">
        <f>VLOOKUP($A26,[29]HISTOAVRIL24!$A$6:$BM$38,33,0)</f>
        <v>0</v>
      </c>
      <c r="Z26" s="36">
        <f>VLOOKUP($A26,[29]HISTOAVRIL24!$A$6:$BM$38,65,0)</f>
        <v>0</v>
      </c>
      <c r="AA26" s="36"/>
      <c r="AB26" s="36">
        <f>VLOOKUP($A26,[29]HISTOAVRIL24!$A$6:$AU$38,43,0)</f>
        <v>0</v>
      </c>
      <c r="AC26" s="36">
        <f>VLOOKUP($A26,[29]HISTOAVRIL24!$A$6:$AU$38,44,0)</f>
        <v>0</v>
      </c>
      <c r="AD26" s="36">
        <f>VLOOKUP($A26,[29]HISTOAVRIL24!$A$6:$AU$38,47,0)</f>
        <v>0</v>
      </c>
      <c r="AE26" s="36">
        <f>VLOOKUP(A26,[29]HISTOAVRIL24!$A$6:$BB$38,54,0)</f>
        <v>0</v>
      </c>
      <c r="AF26" s="36">
        <f>VLOOKUP($A26,[29]HISTOAVRIL24!$A$6:$CB$38,60,0)</f>
        <v>0</v>
      </c>
      <c r="AG26" s="36">
        <f>VLOOKUP($A26,[29]HISTOAVRIL24!$A$6:$CB$38,61,0)</f>
        <v>0</v>
      </c>
      <c r="AH26" s="36">
        <f>VLOOKUP($A26,[29]HISTOAVRIL24!$A$6:$CB$38,62,0)</f>
        <v>0</v>
      </c>
      <c r="AI26" s="36">
        <f>VLOOKUP($A26,[29]HISTOAVRIL24!$A$6:$CB$38,63,0)</f>
        <v>0</v>
      </c>
      <c r="AJ26" s="36">
        <f>VLOOKUP($A26,[29]HISTOAVRIL24!$A$6:$CB$38,64,0)</f>
        <v>0</v>
      </c>
      <c r="AK26" s="36">
        <f>VLOOKUP($A26,[29]HISTOAVRIL24!$A$6:$CB$38,65,0)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MVTMARS24!I27-E27+L27</f>
        <v>842837.74305685516</v>
      </c>
      <c r="G27" s="5">
        <f>IF(MVTMARS24!I27+L27&gt;700000,(MVTMARS24!I27-E27+L27),0)</f>
        <v>842837.74305685516</v>
      </c>
      <c r="H27" s="36">
        <f t="shared" si="0"/>
        <v>0</v>
      </c>
      <c r="I27" s="6">
        <f t="shared" si="2"/>
        <v>842837.74305685516</v>
      </c>
      <c r="J27" s="36">
        <f>VLOOKUP($A27,[29]HISTOAVRIL24!$A$6:$AQ$42,22,0)</f>
        <v>0</v>
      </c>
      <c r="K27" s="36">
        <f>VLOOKUP($A27,[29]HISTOAVRIL24!$A$6:$AU$38,45,0)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VLOOKUP($A27,[29]HISTOAVRIL24!$A$6:$AU$38,7,0)</f>
        <v>0</v>
      </c>
      <c r="Q27" s="36">
        <f>VLOOKUP($A27,[29]HISTOAVRIL24!$A$6:$AU$38,23,0)</f>
        <v>0</v>
      </c>
      <c r="R27" s="36">
        <f>VLOOKUP($A27,[29]HISTOAVRIL24!$A$6:$AU$38,46,0)</f>
        <v>0</v>
      </c>
      <c r="S27" s="36">
        <f>VLOOKUP($A27,[29]HISTOAVRIL24!$A$6:$AU$38,26,0)</f>
        <v>0</v>
      </c>
      <c r="T27" s="36">
        <f>VLOOKUP($A27,[29]HISTOAVRIL24!$A$6:$BG$38,58,0)</f>
        <v>0</v>
      </c>
      <c r="U27" s="36">
        <f>VLOOKUP($A27,[29]HISTOAVRIL24!$A$6:$AU$38,28,0)</f>
        <v>0</v>
      </c>
      <c r="V27" s="36">
        <f>VLOOKUP($A27,[29]HISTOAVRIL24!$A$6:$AU$38,19,0)</f>
        <v>0</v>
      </c>
      <c r="W27" s="36">
        <f>VLOOKUP($A27,[29]HISTOAVRIL24!$A$6:$AU$38,20,0)</f>
        <v>0</v>
      </c>
      <c r="X27" s="36">
        <f>VLOOKUP($A27,[29]HISTOAVRIL24!$A$6:$AU$38,27,0)</f>
        <v>0</v>
      </c>
      <c r="Y27" s="36">
        <f>VLOOKUP($A27,[29]HISTOAVRIL24!$A$6:$BM$38,33,0)</f>
        <v>0</v>
      </c>
      <c r="Z27" s="36">
        <f>VLOOKUP($A27,[29]HISTOAVRIL24!$A$6:$BM$38,65,0)</f>
        <v>0</v>
      </c>
      <c r="AA27" s="36"/>
      <c r="AB27" s="36">
        <f>VLOOKUP($A27,[29]HISTOAVRIL24!$A$6:$AU$38,43,0)</f>
        <v>0</v>
      </c>
      <c r="AC27" s="36">
        <f>VLOOKUP($A27,[29]HISTOAVRIL24!$A$6:$AU$38,44,0)</f>
        <v>0</v>
      </c>
      <c r="AD27" s="36">
        <f>VLOOKUP($A27,[29]HISTOAVRIL24!$A$6:$AU$38,47,0)</f>
        <v>0</v>
      </c>
      <c r="AE27" s="36">
        <f>VLOOKUP(A27,[29]HISTOAVRIL24!$A$6:$BB$38,54,0)</f>
        <v>0</v>
      </c>
      <c r="AF27" s="36">
        <f>VLOOKUP($A27,[29]HISTOAVRIL24!$A$6:$CB$38,60,0)</f>
        <v>0</v>
      </c>
      <c r="AG27" s="36">
        <f>VLOOKUP($A27,[29]HISTOAVRIL24!$A$6:$CB$38,61,0)</f>
        <v>0</v>
      </c>
      <c r="AH27" s="36">
        <f>VLOOKUP($A27,[29]HISTOAVRIL24!$A$6:$CB$38,62,0)</f>
        <v>0</v>
      </c>
      <c r="AI27" s="36">
        <f>VLOOKUP($A27,[29]HISTOAVRIL24!$A$6:$CB$38,63,0)</f>
        <v>0</v>
      </c>
      <c r="AJ27" s="36">
        <f>VLOOKUP($A27,[29]HISTOAVRIL24!$A$6:$CB$38,64,0)</f>
        <v>0</v>
      </c>
      <c r="AK27" s="36">
        <f>VLOOKUP($A27,[29]HISTOAVRIL24!$A$6:$CB$38,65,0)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MVTMARS24!I28-E28+L28</f>
        <v>745180.40115325153</v>
      </c>
      <c r="G28" s="5">
        <f>IF(MVTMARS24!I28+L28&gt;700000,(MVTMARS24!I28-E28+L28),0)</f>
        <v>745180.40115325153</v>
      </c>
      <c r="H28" s="36">
        <f t="shared" si="0"/>
        <v>0</v>
      </c>
      <c r="I28" s="6">
        <f t="shared" si="2"/>
        <v>745180.40115325153</v>
      </c>
      <c r="J28" s="36">
        <f>VLOOKUP($A28,[29]HISTOAVRIL24!$A$6:$AQ$42,22,0)</f>
        <v>0</v>
      </c>
      <c r="K28" s="36">
        <f>VLOOKUP($A28,[29]HISTOAVRIL24!$A$6:$AU$38,45,0)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VLOOKUP($A28,[29]HISTOAVRIL24!$A$6:$AU$38,7,0)</f>
        <v>0</v>
      </c>
      <c r="Q28" s="36">
        <f>VLOOKUP($A28,[29]HISTOAVRIL24!$A$6:$AU$38,23,0)</f>
        <v>0</v>
      </c>
      <c r="R28" s="36">
        <f>VLOOKUP($A28,[29]HISTOAVRIL24!$A$6:$AU$38,46,0)</f>
        <v>0</v>
      </c>
      <c r="S28" s="36">
        <f>VLOOKUP($A28,[29]HISTOAVRIL24!$A$6:$AU$38,26,0)</f>
        <v>0</v>
      </c>
      <c r="T28" s="36">
        <f>VLOOKUP($A28,[29]HISTOAVRIL24!$A$6:$BG$38,58,0)</f>
        <v>0</v>
      </c>
      <c r="U28" s="36">
        <f>VLOOKUP($A28,[29]HISTOAVRIL24!$A$6:$AU$38,28,0)</f>
        <v>0</v>
      </c>
      <c r="V28" s="36">
        <f>VLOOKUP($A28,[29]HISTOAVRIL24!$A$6:$AU$38,19,0)</f>
        <v>0</v>
      </c>
      <c r="W28" s="36">
        <f>VLOOKUP($A28,[29]HISTOAVRIL24!$A$6:$AU$38,20,0)</f>
        <v>0</v>
      </c>
      <c r="X28" s="36">
        <f>VLOOKUP($A28,[29]HISTOAVRIL24!$A$6:$AU$38,27,0)</f>
        <v>0</v>
      </c>
      <c r="Y28" s="36">
        <f>VLOOKUP($A28,[29]HISTOAVRIL24!$A$6:$BM$38,33,0)</f>
        <v>0</v>
      </c>
      <c r="Z28" s="36">
        <f>VLOOKUP($A28,[29]HISTOAVRIL24!$A$6:$BM$38,65,0)</f>
        <v>0</v>
      </c>
      <c r="AA28" s="36"/>
      <c r="AB28" s="36">
        <f>VLOOKUP($A28,[29]HISTOAVRIL24!$A$6:$AU$38,43,0)</f>
        <v>0</v>
      </c>
      <c r="AC28" s="36">
        <f>VLOOKUP($A28,[29]HISTOAVRIL24!$A$6:$AU$38,44,0)</f>
        <v>0</v>
      </c>
      <c r="AD28" s="36">
        <f>VLOOKUP($A28,[29]HISTOAVRIL24!$A$6:$AU$38,47,0)</f>
        <v>0</v>
      </c>
      <c r="AE28" s="36">
        <f>VLOOKUP(A28,[29]HISTOAVRIL24!$A$6:$BB$38,54,0)</f>
        <v>0</v>
      </c>
      <c r="AF28" s="36">
        <f>VLOOKUP($A28,[29]HISTOAVRIL24!$A$6:$CB$38,60,0)</f>
        <v>0</v>
      </c>
      <c r="AG28" s="36">
        <f>VLOOKUP($A28,[29]HISTOAVRIL24!$A$6:$CB$38,61,0)</f>
        <v>0</v>
      </c>
      <c r="AH28" s="36">
        <f>VLOOKUP($A28,[29]HISTOAVRIL24!$A$6:$CB$38,62,0)</f>
        <v>0</v>
      </c>
      <c r="AI28" s="36">
        <f>VLOOKUP($A28,[29]HISTOAVRIL24!$A$6:$CB$38,63,0)</f>
        <v>0</v>
      </c>
      <c r="AJ28" s="36">
        <f>VLOOKUP($A28,[29]HISTOAVRIL24!$A$6:$CB$38,64,0)</f>
        <v>0</v>
      </c>
      <c r="AK28" s="36">
        <f>VLOOKUP($A28,[29]HISTOAVRIL24!$A$6:$CB$38,65,0)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MVTMARS24!I29-E29+L29</f>
        <v>869131.05819251109</v>
      </c>
      <c r="G29" s="5">
        <f>IF(MVTMARS24!I29+L29&gt;700000,(MVTMARS24!I29-E29+L29),0)</f>
        <v>869131.05819251109</v>
      </c>
      <c r="H29" s="36">
        <f t="shared" si="0"/>
        <v>0</v>
      </c>
      <c r="I29" s="6">
        <f t="shared" si="2"/>
        <v>869131.05819251109</v>
      </c>
      <c r="J29" s="36">
        <f>VLOOKUP($A29,[29]HISTOAVRIL24!$A$6:$AQ$42,22,0)</f>
        <v>0</v>
      </c>
      <c r="K29" s="36">
        <f>VLOOKUP($A29,[29]HISTOAVRIL24!$A$6:$AU$38,45,0)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VLOOKUP($A29,[29]HISTOAVRIL24!$A$6:$AU$38,7,0)</f>
        <v>0</v>
      </c>
      <c r="Q29" s="36">
        <f>VLOOKUP($A29,[29]HISTOAVRIL24!$A$6:$AU$38,23,0)</f>
        <v>0</v>
      </c>
      <c r="R29" s="36">
        <f>VLOOKUP($A29,[29]HISTOAVRIL24!$A$6:$AU$38,46,0)</f>
        <v>0</v>
      </c>
      <c r="S29" s="36">
        <f>VLOOKUP($A29,[29]HISTOAVRIL24!$A$6:$AU$38,26,0)</f>
        <v>0</v>
      </c>
      <c r="T29" s="36">
        <f>VLOOKUP($A29,[29]HISTOAVRIL24!$A$6:$BG$38,58,0)</f>
        <v>0</v>
      </c>
      <c r="U29" s="36">
        <f>VLOOKUP($A29,[29]HISTOAVRIL24!$A$6:$AU$38,28,0)</f>
        <v>0</v>
      </c>
      <c r="V29" s="36">
        <f>VLOOKUP($A29,[29]HISTOAVRIL24!$A$6:$AU$38,19,0)</f>
        <v>0</v>
      </c>
      <c r="W29" s="36">
        <f>VLOOKUP($A29,[29]HISTOAVRIL24!$A$6:$AU$38,20,0)</f>
        <v>0</v>
      </c>
      <c r="X29" s="36">
        <f>VLOOKUP($A29,[29]HISTOAVRIL24!$A$6:$AU$38,27,0)</f>
        <v>0</v>
      </c>
      <c r="Y29" s="36">
        <f>VLOOKUP($A29,[29]HISTOAVRIL24!$A$6:$BM$38,33,0)</f>
        <v>0</v>
      </c>
      <c r="Z29" s="36">
        <f>VLOOKUP($A29,[29]HISTOAVRIL24!$A$6:$BM$38,65,0)</f>
        <v>0</v>
      </c>
      <c r="AA29" s="36"/>
      <c r="AB29" s="36">
        <f>VLOOKUP($A29,[29]HISTOAVRIL24!$A$6:$AU$38,43,0)</f>
        <v>0</v>
      </c>
      <c r="AC29" s="36">
        <f>VLOOKUP($A29,[29]HISTOAVRIL24!$A$6:$AU$38,44,0)</f>
        <v>0</v>
      </c>
      <c r="AD29" s="36">
        <f>VLOOKUP($A29,[29]HISTOAVRIL24!$A$6:$AU$38,47,0)</f>
        <v>0</v>
      </c>
      <c r="AE29" s="36">
        <f>VLOOKUP(A29,[29]HISTOAVRIL24!$A$6:$BB$38,54,0)</f>
        <v>0</v>
      </c>
      <c r="AF29" s="36">
        <f>VLOOKUP($A29,[29]HISTOAVRIL24!$A$6:$CB$38,60,0)</f>
        <v>0</v>
      </c>
      <c r="AG29" s="36">
        <f>VLOOKUP($A29,[29]HISTOAVRIL24!$A$6:$CB$38,61,0)</f>
        <v>0</v>
      </c>
      <c r="AH29" s="36">
        <f>VLOOKUP($A29,[29]HISTOAVRIL24!$A$6:$CB$38,62,0)</f>
        <v>0</v>
      </c>
      <c r="AI29" s="36">
        <f>VLOOKUP($A29,[29]HISTOAVRIL24!$A$6:$CB$38,63,0)</f>
        <v>0</v>
      </c>
      <c r="AJ29" s="36">
        <f>VLOOKUP($A29,[29]HISTOAVRIL24!$A$6:$CB$38,64,0)</f>
        <v>0</v>
      </c>
      <c r="AK29" s="36">
        <f>VLOOKUP($A29,[29]HISTOAVRIL24!$A$6:$CB$38,65,0)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MVTMARS24!I30-E30+L30</f>
        <v>774791.07097684417</v>
      </c>
      <c r="G30" s="5">
        <f>IF(MVTMARS24!I30+L30&gt;700000,(MVTMARS24!I30-E30+L30),0)</f>
        <v>774791.07097684417</v>
      </c>
      <c r="H30" s="36">
        <f t="shared" si="0"/>
        <v>0</v>
      </c>
      <c r="I30" s="6">
        <f t="shared" si="2"/>
        <v>774791.07097684417</v>
      </c>
      <c r="J30" s="36">
        <f>VLOOKUP($A30,[29]HISTOAVRIL24!$A$6:$AQ$42,22,0)</f>
        <v>0</v>
      </c>
      <c r="K30" s="36">
        <f>VLOOKUP($A30,[29]HISTOAVRIL24!$A$6:$AU$38,45,0)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VLOOKUP($A30,[29]HISTOAVRIL24!$A$6:$AU$38,7,0)</f>
        <v>0</v>
      </c>
      <c r="Q30" s="36">
        <f>VLOOKUP($A30,[29]HISTOAVRIL24!$A$6:$AU$38,23,0)</f>
        <v>0</v>
      </c>
      <c r="R30" s="36">
        <f>VLOOKUP($A30,[29]HISTOAVRIL24!$A$6:$AU$38,46,0)</f>
        <v>0</v>
      </c>
      <c r="S30" s="36">
        <f>VLOOKUP($A30,[29]HISTOAVRIL24!$A$6:$AU$38,26,0)</f>
        <v>0</v>
      </c>
      <c r="T30" s="36">
        <f>VLOOKUP($A30,[29]HISTOAVRIL24!$A$6:$BG$38,58,0)</f>
        <v>0</v>
      </c>
      <c r="U30" s="36">
        <f>VLOOKUP($A30,[29]HISTOAVRIL24!$A$6:$AU$38,28,0)</f>
        <v>0</v>
      </c>
      <c r="V30" s="36">
        <f>VLOOKUP($A30,[29]HISTOAVRIL24!$A$6:$AU$38,19,0)</f>
        <v>0</v>
      </c>
      <c r="W30" s="36">
        <f>VLOOKUP($A30,[29]HISTOAVRIL24!$A$6:$AU$38,20,0)</f>
        <v>0</v>
      </c>
      <c r="X30" s="36">
        <f>VLOOKUP($A30,[29]HISTOAVRIL24!$A$6:$AU$38,27,0)</f>
        <v>0</v>
      </c>
      <c r="Y30" s="36">
        <f>VLOOKUP($A30,[29]HISTOAVRIL24!$A$6:$BM$38,33,0)</f>
        <v>0</v>
      </c>
      <c r="Z30" s="36">
        <f>VLOOKUP($A30,[29]HISTOAVRIL24!$A$6:$BM$38,65,0)</f>
        <v>0</v>
      </c>
      <c r="AA30" s="36"/>
      <c r="AB30" s="36">
        <f>VLOOKUP($A30,[29]HISTOAVRIL24!$A$6:$AU$38,43,0)</f>
        <v>0</v>
      </c>
      <c r="AC30" s="36">
        <f>VLOOKUP($A30,[29]HISTOAVRIL24!$A$6:$AU$38,44,0)</f>
        <v>0</v>
      </c>
      <c r="AD30" s="36">
        <f>VLOOKUP($A30,[29]HISTOAVRIL24!$A$6:$AU$38,47,0)</f>
        <v>0</v>
      </c>
      <c r="AE30" s="36">
        <f>VLOOKUP(A30,[29]HISTOAVRIL24!$A$6:$BB$38,54,0)</f>
        <v>0</v>
      </c>
      <c r="AF30" s="36">
        <f>VLOOKUP($A30,[29]HISTOAVRIL24!$A$6:$CB$38,60,0)</f>
        <v>0</v>
      </c>
      <c r="AG30" s="36">
        <f>VLOOKUP($A30,[29]HISTOAVRIL24!$A$6:$CB$38,61,0)</f>
        <v>0</v>
      </c>
      <c r="AH30" s="36">
        <f>VLOOKUP($A30,[29]HISTOAVRIL24!$A$6:$CB$38,62,0)</f>
        <v>0</v>
      </c>
      <c r="AI30" s="36">
        <f>VLOOKUP($A30,[29]HISTOAVRIL24!$A$6:$CB$38,63,0)</f>
        <v>0</v>
      </c>
      <c r="AJ30" s="36">
        <f>VLOOKUP($A30,[29]HISTOAVRIL24!$A$6:$CB$38,64,0)</f>
        <v>0</v>
      </c>
      <c r="AK30" s="36">
        <f>VLOOKUP($A30,[29]HISTOAVRIL24!$A$6:$CB$38,65,0)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MVTMARS24!I31-E31+L31</f>
        <v>933799.47776563698</v>
      </c>
      <c r="G31" s="5">
        <f>IF(MVTMARS24!I31+L31&gt;700000,(MVTMARS24!I31-E31+L31),0)</f>
        <v>933799.47776563698</v>
      </c>
      <c r="H31" s="36">
        <f t="shared" si="0"/>
        <v>0</v>
      </c>
      <c r="I31" s="6">
        <f t="shared" si="2"/>
        <v>933799.47776563698</v>
      </c>
      <c r="J31" s="36">
        <f>VLOOKUP($A31,[29]HISTOAVRIL24!$A$6:$AQ$42,22,0)</f>
        <v>0</v>
      </c>
      <c r="K31" s="36">
        <f>VLOOKUP($A31,[29]HISTOAVRIL24!$A$6:$AU$38,45,0)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VLOOKUP($A31,[29]HISTOAVRIL24!$A$6:$AU$38,7,0)</f>
        <v>0</v>
      </c>
      <c r="Q31" s="36">
        <f>VLOOKUP($A31,[29]HISTOAVRIL24!$A$6:$AU$38,23,0)</f>
        <v>0</v>
      </c>
      <c r="R31" s="36">
        <f>VLOOKUP($A31,[29]HISTOAVRIL24!$A$6:$AU$38,46,0)</f>
        <v>0</v>
      </c>
      <c r="S31" s="36">
        <f>VLOOKUP($A31,[29]HISTOAVRIL24!$A$6:$AU$38,26,0)</f>
        <v>0</v>
      </c>
      <c r="T31" s="36">
        <f>VLOOKUP($A31,[29]HISTOAVRIL24!$A$6:$BG$38,58,0)</f>
        <v>0</v>
      </c>
      <c r="U31" s="36">
        <f>VLOOKUP($A31,[29]HISTOAVRIL24!$A$6:$AU$38,28,0)</f>
        <v>0</v>
      </c>
      <c r="V31" s="36">
        <f>VLOOKUP($A31,[29]HISTOAVRIL24!$A$6:$AU$38,19,0)</f>
        <v>0</v>
      </c>
      <c r="W31" s="36">
        <f>VLOOKUP($A31,[29]HISTOAVRIL24!$A$6:$AU$38,20,0)</f>
        <v>0</v>
      </c>
      <c r="X31" s="36">
        <f>VLOOKUP($A31,[29]HISTOAVRIL24!$A$6:$AU$38,27,0)</f>
        <v>0</v>
      </c>
      <c r="Y31" s="36">
        <f>VLOOKUP($A31,[29]HISTOAVRIL24!$A$6:$BM$38,33,0)</f>
        <v>0</v>
      </c>
      <c r="Z31" s="36">
        <f>VLOOKUP($A31,[29]HISTOAVRIL24!$A$6:$BM$38,65,0)</f>
        <v>0</v>
      </c>
      <c r="AA31" s="36"/>
      <c r="AB31" s="36">
        <f>VLOOKUP($A31,[29]HISTOAVRIL24!$A$6:$AU$38,43,0)</f>
        <v>0</v>
      </c>
      <c r="AC31" s="36">
        <f>VLOOKUP($A31,[29]HISTOAVRIL24!$A$6:$AU$38,44,0)</f>
        <v>0</v>
      </c>
      <c r="AD31" s="36">
        <f>VLOOKUP($A31,[29]HISTOAVRIL24!$A$6:$AU$38,47,0)</f>
        <v>0</v>
      </c>
      <c r="AE31" s="36">
        <f>VLOOKUP(A31,[29]HISTOAVRIL24!$A$6:$BB$38,54,0)</f>
        <v>0</v>
      </c>
      <c r="AF31" s="36">
        <f>VLOOKUP($A31,[29]HISTOAVRIL24!$A$6:$CB$38,60,0)</f>
        <v>0</v>
      </c>
      <c r="AG31" s="36">
        <f>VLOOKUP($A31,[29]HISTOAVRIL24!$A$6:$CB$38,61,0)</f>
        <v>0</v>
      </c>
      <c r="AH31" s="36">
        <f>VLOOKUP($A31,[29]HISTOAVRIL24!$A$6:$CB$38,62,0)</f>
        <v>0</v>
      </c>
      <c r="AI31" s="36">
        <f>VLOOKUP($A31,[29]HISTOAVRIL24!$A$6:$CB$38,63,0)</f>
        <v>0</v>
      </c>
      <c r="AJ31" s="36">
        <f>VLOOKUP($A31,[29]HISTOAVRIL24!$A$6:$CB$38,64,0)</f>
        <v>0</v>
      </c>
      <c r="AK31" s="36">
        <f>VLOOKUP($A31,[29]HISTOAVRIL24!$A$6:$CB$38,65,0)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MVTMARS24!I32-E32+L32</f>
        <v>823282.72977224528</v>
      </c>
      <c r="G32" s="5">
        <f>IF(MVTMARS24!I32+L32&gt;700000,(MVTMARS24!I32-E32+L32),0)</f>
        <v>823282.72977224528</v>
      </c>
      <c r="H32" s="36">
        <f t="shared" si="0"/>
        <v>0</v>
      </c>
      <c r="I32" s="6">
        <f t="shared" si="2"/>
        <v>823282.72977224528</v>
      </c>
      <c r="J32" s="36">
        <f>VLOOKUP($A32,[29]HISTOAVRIL24!$A$6:$AQ$42,22,0)</f>
        <v>0</v>
      </c>
      <c r="K32" s="36">
        <f>VLOOKUP($A32,[29]HISTOAVRIL24!$A$6:$AU$38,45,0)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VLOOKUP($A32,[29]HISTOAVRIL24!$A$6:$AU$38,7,0)</f>
        <v>0</v>
      </c>
      <c r="Q32" s="36">
        <f>VLOOKUP($A32,[29]HISTOAVRIL24!$A$6:$AU$38,23,0)</f>
        <v>0</v>
      </c>
      <c r="R32" s="36">
        <f>VLOOKUP($A32,[29]HISTOAVRIL24!$A$6:$AU$38,46,0)</f>
        <v>0</v>
      </c>
      <c r="S32" s="36">
        <f>VLOOKUP($A32,[29]HISTOAVRIL24!$A$6:$AU$38,26,0)</f>
        <v>0</v>
      </c>
      <c r="T32" s="36">
        <f>VLOOKUP($A32,[29]HISTOAVRIL24!$A$6:$BG$38,58,0)</f>
        <v>0</v>
      </c>
      <c r="U32" s="36">
        <f>VLOOKUP($A32,[29]HISTOAVRIL24!$A$6:$AU$38,28,0)</f>
        <v>0</v>
      </c>
      <c r="V32" s="36">
        <f>VLOOKUP($A32,[29]HISTOAVRIL24!$A$6:$AU$38,19,0)</f>
        <v>0</v>
      </c>
      <c r="W32" s="36">
        <f>VLOOKUP($A32,[29]HISTOAVRIL24!$A$6:$AU$38,20,0)</f>
        <v>0</v>
      </c>
      <c r="X32" s="36">
        <f>VLOOKUP($A32,[29]HISTOAVRIL24!$A$6:$AU$38,27,0)</f>
        <v>0</v>
      </c>
      <c r="Y32" s="36">
        <f>VLOOKUP($A32,[29]HISTOAVRIL24!$A$6:$BM$38,33,0)</f>
        <v>0</v>
      </c>
      <c r="Z32" s="36">
        <f>VLOOKUP($A32,[29]HISTOAVRIL24!$A$6:$BM$38,65,0)</f>
        <v>0</v>
      </c>
      <c r="AA32" s="36"/>
      <c r="AB32" s="36">
        <f>VLOOKUP($A32,[29]HISTOAVRIL24!$A$6:$AU$38,43,0)</f>
        <v>0</v>
      </c>
      <c r="AC32" s="36">
        <f>VLOOKUP($A32,[29]HISTOAVRIL24!$A$6:$AU$38,44,0)</f>
        <v>0</v>
      </c>
      <c r="AD32" s="36">
        <f>VLOOKUP($A32,[29]HISTOAVRIL24!$A$6:$AU$38,47,0)</f>
        <v>0</v>
      </c>
      <c r="AE32" s="36">
        <f>VLOOKUP(A32,[29]HISTOAVRIL24!$A$6:$BB$38,54,0)</f>
        <v>0</v>
      </c>
      <c r="AF32" s="36">
        <f>VLOOKUP($A32,[29]HISTOAVRIL24!$A$6:$CB$38,60,0)</f>
        <v>0</v>
      </c>
      <c r="AG32" s="36">
        <f>VLOOKUP($A32,[29]HISTOAVRIL24!$A$6:$CB$38,61,0)</f>
        <v>0</v>
      </c>
      <c r="AH32" s="36">
        <f>VLOOKUP($A32,[29]HISTOAVRIL24!$A$6:$CB$38,62,0)</f>
        <v>0</v>
      </c>
      <c r="AI32" s="36">
        <f>VLOOKUP($A32,[29]HISTOAVRIL24!$A$6:$CB$38,63,0)</f>
        <v>0</v>
      </c>
      <c r="AJ32" s="36">
        <f>VLOOKUP($A32,[29]HISTOAVRIL24!$A$6:$CB$38,64,0)</f>
        <v>0</v>
      </c>
      <c r="AK32" s="36">
        <f>VLOOKUP($A32,[29]HISTOAVRIL24!$A$6:$CB$38,65,0)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MVTMARS24!I33-E33+L33</f>
        <v>823591.00081650028</v>
      </c>
      <c r="G33" s="5">
        <f>IF(MVTMARS24!I33+L33&gt;700000,(MVTMARS24!I33-E33+L33),0)</f>
        <v>823591.00081650028</v>
      </c>
      <c r="H33" s="36">
        <f t="shared" si="0"/>
        <v>0</v>
      </c>
      <c r="I33" s="6">
        <f t="shared" si="2"/>
        <v>823591.00081650028</v>
      </c>
      <c r="J33" s="36">
        <f>VLOOKUP($A33,[29]HISTOAVRIL24!$A$6:$AQ$42,22,0)</f>
        <v>0</v>
      </c>
      <c r="K33" s="36">
        <f>VLOOKUP($A33,[29]HISTOAVRIL24!$A$6:$AU$38,45,0)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VLOOKUP($A33,[29]HISTOAVRIL24!$A$6:$AU$38,7,0)</f>
        <v>0</v>
      </c>
      <c r="Q33" s="36">
        <f>VLOOKUP($A33,[29]HISTOAVRIL24!$A$6:$AU$38,23,0)</f>
        <v>0</v>
      </c>
      <c r="R33" s="36">
        <f>VLOOKUP($A33,[29]HISTOAVRIL24!$A$6:$AU$38,46,0)</f>
        <v>0</v>
      </c>
      <c r="S33" s="36">
        <f>VLOOKUP($A33,[29]HISTOAVRIL24!$A$6:$AU$38,26,0)</f>
        <v>0</v>
      </c>
      <c r="T33" s="36">
        <f>VLOOKUP($A33,[29]HISTOAVRIL24!$A$6:$BG$38,58,0)</f>
        <v>0</v>
      </c>
      <c r="U33" s="36">
        <f>VLOOKUP($A33,[29]HISTOAVRIL24!$A$6:$AU$38,28,0)</f>
        <v>0</v>
      </c>
      <c r="V33" s="36">
        <f>VLOOKUP($A33,[29]HISTOAVRIL24!$A$6:$AU$38,19,0)</f>
        <v>0</v>
      </c>
      <c r="W33" s="36">
        <f>VLOOKUP($A33,[29]HISTOAVRIL24!$A$6:$AU$38,20,0)</f>
        <v>0</v>
      </c>
      <c r="X33" s="36">
        <f>VLOOKUP($A33,[29]HISTOAVRIL24!$A$6:$AU$38,27,0)</f>
        <v>0</v>
      </c>
      <c r="Y33" s="36">
        <f>VLOOKUP($A33,[29]HISTOAVRIL24!$A$6:$BM$38,33,0)</f>
        <v>0</v>
      </c>
      <c r="Z33" s="36">
        <f>VLOOKUP($A33,[29]HISTOAVRIL24!$A$6:$BM$38,65,0)</f>
        <v>0</v>
      </c>
      <c r="AA33" s="36"/>
      <c r="AB33" s="36">
        <f>VLOOKUP($A33,[29]HISTOAVRIL24!$A$6:$AU$38,43,0)</f>
        <v>0</v>
      </c>
      <c r="AC33" s="36">
        <f>VLOOKUP($A33,[29]HISTOAVRIL24!$A$6:$AU$38,44,0)</f>
        <v>0</v>
      </c>
      <c r="AD33" s="36">
        <f>VLOOKUP($A33,[29]HISTOAVRIL24!$A$6:$AU$38,47,0)</f>
        <v>0</v>
      </c>
      <c r="AE33" s="36">
        <f>VLOOKUP(A33,[29]HISTOAVRIL24!$A$6:$BB$38,54,0)</f>
        <v>0</v>
      </c>
      <c r="AF33" s="36">
        <f>VLOOKUP($A33,[29]HISTOAVRIL24!$A$6:$CB$38,60,0)</f>
        <v>0</v>
      </c>
      <c r="AG33" s="36">
        <f>VLOOKUP($A33,[29]HISTOAVRIL24!$A$6:$CB$38,61,0)</f>
        <v>0</v>
      </c>
      <c r="AH33" s="36">
        <f>VLOOKUP($A33,[29]HISTOAVRIL24!$A$6:$CB$38,62,0)</f>
        <v>0</v>
      </c>
      <c r="AI33" s="36">
        <f>VLOOKUP($A33,[29]HISTOAVRIL24!$A$6:$CB$38,63,0)</f>
        <v>0</v>
      </c>
      <c r="AJ33" s="36">
        <f>VLOOKUP($A33,[29]HISTOAVRIL24!$A$6:$CB$38,64,0)</f>
        <v>0</v>
      </c>
      <c r="AK33" s="36">
        <f>VLOOKUP($A33,[29]HISTOAVRIL24!$A$6:$CB$38,65,0)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MVTMARS24!I34-E34+L34</f>
        <v>481000</v>
      </c>
      <c r="G34" s="5">
        <f>IF(MVTMARS24!I34+L34&gt;700000,(MVTMARS24!I34-E34+L34),0)</f>
        <v>0</v>
      </c>
      <c r="H34" s="36">
        <f t="shared" si="0"/>
        <v>0</v>
      </c>
      <c r="I34" s="6">
        <f t="shared" si="2"/>
        <v>481000</v>
      </c>
      <c r="J34" s="36">
        <f>VLOOKUP($A34,[29]HISTOAVRIL24!$A$6:$AQ$42,22,0)</f>
        <v>0</v>
      </c>
      <c r="K34" s="36">
        <f>VLOOKUP($A34,[29]HISTOAVRIL24!$A$6:$AU$38,45,0)</f>
        <v>105000</v>
      </c>
      <c r="L34" s="36">
        <f t="shared" si="3"/>
        <v>99000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VLOOKUP($A34,[29]HISTOAVRIL24!$A$6:$AU$38,7,0)</f>
        <v>0</v>
      </c>
      <c r="Q34" s="36">
        <f>VLOOKUP($A34,[29]HISTOAVRIL24!$A$6:$AU$38,23,0)</f>
        <v>0</v>
      </c>
      <c r="R34" s="36">
        <f>VLOOKUP($A34,[29]HISTOAVRIL24!$A$6:$AU$38,46,0)</f>
        <v>0</v>
      </c>
      <c r="S34" s="36">
        <f>VLOOKUP($A34,[29]HISTOAVRIL24!$A$6:$AU$38,26,0)</f>
        <v>0</v>
      </c>
      <c r="T34" s="36">
        <f>VLOOKUP($A34,[29]HISTOAVRIL24!$A$6:$BG$38,58,0)</f>
        <v>0</v>
      </c>
      <c r="U34" s="36">
        <f>VLOOKUP($A34,[29]HISTOAVRIL24!$A$6:$AU$38,28,0)</f>
        <v>0</v>
      </c>
      <c r="V34" s="36">
        <f>VLOOKUP($A34,[29]HISTOAVRIL24!$A$6:$AU$38,19,0)</f>
        <v>0</v>
      </c>
      <c r="W34" s="36">
        <f>VLOOKUP($A34,[29]HISTOAVRIL24!$A$6:$AU$38,20,0)</f>
        <v>0</v>
      </c>
      <c r="X34" s="36">
        <f>VLOOKUP($A34,[29]HISTOAVRIL24!$A$6:$AU$38,27,0)</f>
        <v>0</v>
      </c>
      <c r="Y34" s="36">
        <f>VLOOKUP($A34,[29]HISTOAVRIL24!$A$6:$BM$38,33,0)</f>
        <v>0</v>
      </c>
      <c r="Z34" s="36">
        <f>VLOOKUP($A34,[29]HISTOAVRIL24!$A$6:$BM$38,65,0)</f>
        <v>0</v>
      </c>
      <c r="AA34" s="36"/>
      <c r="AB34" s="36">
        <f>VLOOKUP($A34,[29]HISTOAVRIL24!$A$6:$AU$38,43,0)</f>
        <v>0</v>
      </c>
      <c r="AC34" s="36">
        <f>VLOOKUP($A34,[29]HISTOAVRIL24!$A$6:$AU$38,44,0)</f>
        <v>0</v>
      </c>
      <c r="AD34" s="36">
        <f>VLOOKUP($A34,[29]HISTOAVRIL24!$A$6:$AU$38,47,0)</f>
        <v>0</v>
      </c>
      <c r="AE34" s="36">
        <f>VLOOKUP(A34,[29]HISTOAVRIL24!$A$6:$BB$38,54,0)</f>
        <v>0</v>
      </c>
      <c r="AF34" s="36">
        <f>VLOOKUP($A34,[29]HISTOAVRIL24!$A$6:$CB$38,60,0)</f>
        <v>0</v>
      </c>
      <c r="AG34" s="36">
        <f>VLOOKUP($A34,[29]HISTOAVRIL24!$A$6:$CB$38,61,0)</f>
        <v>0</v>
      </c>
      <c r="AH34" s="36">
        <f>VLOOKUP($A34,[29]HISTOAVRIL24!$A$6:$CB$38,62,0)</f>
        <v>0</v>
      </c>
      <c r="AI34" s="36">
        <f>VLOOKUP($A34,[29]HISTOAVRIL24!$A$6:$CB$38,63,0)</f>
        <v>0</v>
      </c>
      <c r="AJ34" s="36">
        <f>VLOOKUP($A34,[29]HISTOAVRIL24!$A$6:$CB$38,64,0)</f>
        <v>0</v>
      </c>
      <c r="AK34" s="36">
        <f>VLOOKUP($A34,[29]HISTOAVRIL24!$A$6:$CB$38,65,0)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MVTMARS24!I35-E35+L35</f>
        <v>176000</v>
      </c>
      <c r="G35" s="5">
        <f>IF(MVTMARS24!I35+L35&gt;700000,(MVTMARS24!I35-E35+L35),0)</f>
        <v>0</v>
      </c>
      <c r="H35" s="36">
        <f t="shared" si="0"/>
        <v>0</v>
      </c>
      <c r="I35" s="6">
        <f t="shared" si="2"/>
        <v>176000</v>
      </c>
      <c r="J35" s="36">
        <f>VLOOKUP($A35,[29]HISTOAVRIL24!$A$6:$AQ$42,22,0)</f>
        <v>0</v>
      </c>
      <c r="K35" s="36">
        <f>VLOOKUP($A35,[29]HISTOAVRIL24!$A$6:$AU$38,45,0)</f>
        <v>22000</v>
      </c>
      <c r="L35" s="36">
        <f t="shared" si="3"/>
        <v>16000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VLOOKUP($A35,[29]HISTOAVRIL24!$A$6:$AU$38,7,0)</f>
        <v>3000</v>
      </c>
      <c r="Q35" s="36">
        <f>VLOOKUP($A35,[29]HISTOAVRIL24!$A$6:$AU$38,23,0)</f>
        <v>0</v>
      </c>
      <c r="R35" s="36">
        <f>VLOOKUP($A35,[29]HISTOAVRIL24!$A$6:$AU$38,46,0)</f>
        <v>0</v>
      </c>
      <c r="S35" s="36">
        <f>VLOOKUP($A35,[29]HISTOAVRIL24!$A$6:$AU$38,26,0)</f>
        <v>0</v>
      </c>
      <c r="T35" s="36">
        <f>VLOOKUP($A35,[29]HISTOAVRIL24!$A$6:$BG$38,58,0)</f>
        <v>0</v>
      </c>
      <c r="U35" s="36">
        <f>VLOOKUP($A35,[29]HISTOAVRIL24!$A$6:$AU$38,28,0)</f>
        <v>0</v>
      </c>
      <c r="V35" s="36">
        <f>VLOOKUP($A35,[29]HISTOAVRIL24!$A$6:$AU$38,19,0)</f>
        <v>0</v>
      </c>
      <c r="W35" s="36">
        <f>VLOOKUP($A35,[29]HISTOAVRIL24!$A$6:$AU$38,20,0)</f>
        <v>0</v>
      </c>
      <c r="X35" s="36">
        <f>VLOOKUP($A35,[29]HISTOAVRIL24!$A$6:$AU$38,27,0)</f>
        <v>0</v>
      </c>
      <c r="Y35" s="36">
        <f>VLOOKUP($A35,[29]HISTOAVRIL24!$A$6:$BM$38,33,0)</f>
        <v>0</v>
      </c>
      <c r="Z35" s="36">
        <f>VLOOKUP($A35,[29]HISTOAVRIL24!$A$6:$BM$38,65,0)</f>
        <v>0</v>
      </c>
      <c r="AA35" s="36"/>
      <c r="AB35" s="36">
        <f>VLOOKUP($A35,[29]HISTOAVRIL24!$A$6:$AU$38,43,0)</f>
        <v>0</v>
      </c>
      <c r="AC35" s="36">
        <f>VLOOKUP($A35,[29]HISTOAVRIL24!$A$6:$AU$38,44,0)</f>
        <v>0</v>
      </c>
      <c r="AD35" s="36">
        <f>VLOOKUP($A35,[29]HISTOAVRIL24!$A$6:$AU$38,47,0)</f>
        <v>0</v>
      </c>
      <c r="AE35" s="36">
        <f>VLOOKUP(A35,[29]HISTOAVRIL24!$A$6:$BB$38,54,0)</f>
        <v>0</v>
      </c>
      <c r="AF35" s="36">
        <f>VLOOKUP($A35,[29]HISTOAVRIL24!$A$6:$CB$38,60,0)</f>
        <v>0</v>
      </c>
      <c r="AG35" s="36">
        <f>VLOOKUP($A35,[29]HISTOAVRIL24!$A$6:$CB$38,61,0)</f>
        <v>0</v>
      </c>
      <c r="AH35" s="36">
        <f>VLOOKUP($A35,[29]HISTOAVRIL24!$A$6:$CB$38,62,0)</f>
        <v>0</v>
      </c>
      <c r="AI35" s="36">
        <f>VLOOKUP($A35,[29]HISTOAVRIL24!$A$6:$CB$38,63,0)</f>
        <v>0</v>
      </c>
      <c r="AJ35" s="36">
        <f>VLOOKUP($A35,[29]HISTOAVRIL24!$A$6:$CB$38,64,0)</f>
        <v>0</v>
      </c>
      <c r="AK35" s="36">
        <f>VLOOKUP($A35,[29]HISTOAVRIL24!$A$6:$CB$38,65,0)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MVTMARS24!I36-E36+L36</f>
        <v>860641.58514659188</v>
      </c>
      <c r="G36" s="5">
        <f>IF(MVTMARS24!I36+L36&gt;700000,(MVTMARS24!I36-E36+L36),0)</f>
        <v>860641.58514659188</v>
      </c>
      <c r="H36" s="36">
        <f t="shared" si="0"/>
        <v>0</v>
      </c>
      <c r="I36" s="6">
        <f t="shared" si="2"/>
        <v>860641.58514659188</v>
      </c>
      <c r="J36" s="36">
        <f>VLOOKUP($A36,[29]HISTOAVRIL24!$A$6:$AQ$42,22,0)</f>
        <v>0</v>
      </c>
      <c r="K36" s="36">
        <f>VLOOKUP($A36,[29]HISTOAVRIL24!$A$6:$AU$38,45,0)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VLOOKUP($A36,[29]HISTOAVRIL24!$A$6:$AU$38,7,0)</f>
        <v>0</v>
      </c>
      <c r="Q36" s="36">
        <f>VLOOKUP($A36,[29]HISTOAVRIL24!$A$6:$AU$38,23,0)</f>
        <v>0</v>
      </c>
      <c r="R36" s="36">
        <f>VLOOKUP($A36,[29]HISTOAVRIL24!$A$6:$AU$38,46,0)</f>
        <v>0</v>
      </c>
      <c r="S36" s="36">
        <f>VLOOKUP($A36,[29]HISTOAVRIL24!$A$6:$AU$38,26,0)</f>
        <v>0</v>
      </c>
      <c r="T36" s="36">
        <f>VLOOKUP($A36,[29]HISTOAVRIL24!$A$6:$BG$38,58,0)</f>
        <v>0</v>
      </c>
      <c r="U36" s="36">
        <f>VLOOKUP($A36,[29]HISTOAVRIL24!$A$6:$AU$38,28,0)</f>
        <v>0</v>
      </c>
      <c r="V36" s="36">
        <f>VLOOKUP($A36,[29]HISTOAVRIL24!$A$6:$AU$38,19,0)</f>
        <v>0</v>
      </c>
      <c r="W36" s="36">
        <f>VLOOKUP($A36,[29]HISTOAVRIL24!$A$6:$AU$38,20,0)</f>
        <v>0</v>
      </c>
      <c r="X36" s="36">
        <f>VLOOKUP($A36,[29]HISTOAVRIL24!$A$6:$AU$38,27,0)</f>
        <v>0</v>
      </c>
      <c r="Y36" s="36">
        <f>VLOOKUP($A36,[29]HISTOAVRIL24!$A$6:$BM$38,33,0)</f>
        <v>0</v>
      </c>
      <c r="Z36" s="36">
        <f>VLOOKUP($A36,[29]HISTOAVRIL24!$A$6:$BM$38,65,0)</f>
        <v>0</v>
      </c>
      <c r="AA36" s="36"/>
      <c r="AB36" s="36">
        <f>VLOOKUP($A36,[29]HISTOAVRIL24!$A$6:$AU$38,43,0)</f>
        <v>0</v>
      </c>
      <c r="AC36" s="36">
        <f>VLOOKUP($A36,[29]HISTOAVRIL24!$A$6:$AU$38,44,0)</f>
        <v>0</v>
      </c>
      <c r="AD36" s="36">
        <f>VLOOKUP($A36,[29]HISTOAVRIL24!$A$6:$AU$38,47,0)</f>
        <v>0</v>
      </c>
      <c r="AE36" s="36">
        <f>VLOOKUP(A36,[29]HISTOAVRIL24!$A$6:$BB$38,54,0)</f>
        <v>0</v>
      </c>
      <c r="AF36" s="36">
        <f>VLOOKUP($A36,[29]HISTOAVRIL24!$A$6:$CB$38,60,0)</f>
        <v>0</v>
      </c>
      <c r="AG36" s="36">
        <f>VLOOKUP($A36,[29]HISTOAVRIL24!$A$6:$CB$38,61,0)</f>
        <v>0</v>
      </c>
      <c r="AH36" s="36">
        <f>VLOOKUP($A36,[29]HISTOAVRIL24!$A$6:$CB$38,62,0)</f>
        <v>0</v>
      </c>
      <c r="AI36" s="36">
        <f>VLOOKUP($A36,[29]HISTOAVRIL24!$A$6:$CB$38,63,0)</f>
        <v>0</v>
      </c>
      <c r="AJ36" s="36">
        <f>VLOOKUP($A36,[29]HISTOAVRIL24!$A$6:$CB$38,64,0)</f>
        <v>0</v>
      </c>
      <c r="AK36" s="36">
        <f>VLOOKUP($A36,[29]HISTOAVRIL24!$A$6:$CB$38,65,0)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MVTMARS24!I37-E37+L37</f>
        <v>1892063.2967345803</v>
      </c>
      <c r="G37" s="5">
        <f>IF(MVTMARS24!I37+L37&gt;700000,(MVTMARS24!I37-E37+L37),0)</f>
        <v>1892063.2967345803</v>
      </c>
      <c r="H37" s="36">
        <f t="shared" si="0"/>
        <v>0</v>
      </c>
      <c r="I37" s="6">
        <f t="shared" si="2"/>
        <v>1892063.2967345803</v>
      </c>
      <c r="J37" s="36">
        <f>VLOOKUP($A37,[29]HISTOAVRIL24!$A$6:$AQ$42,22,0)</f>
        <v>0</v>
      </c>
      <c r="K37" s="36">
        <f>VLOOKUP($A37,[29]HISTOAVRIL24!$A$6:$AU$38,45,0)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VLOOKUP($A37,[29]HISTOAVRIL24!$A$6:$AU$38,7,0)</f>
        <v>3000</v>
      </c>
      <c r="Q37" s="36">
        <f>VLOOKUP($A37,[29]HISTOAVRIL24!$A$6:$AU$38,23,0)</f>
        <v>0</v>
      </c>
      <c r="R37" s="36">
        <f>VLOOKUP($A37,[29]HISTOAVRIL24!$A$6:$AU$38,46,0)</f>
        <v>0</v>
      </c>
      <c r="S37" s="36">
        <f>VLOOKUP($A37,[29]HISTOAVRIL24!$A$6:$AU$38,26,0)</f>
        <v>0</v>
      </c>
      <c r="T37" s="36">
        <f>VLOOKUP($A37,[29]HISTOAVRIL24!$A$6:$BG$38,58,0)</f>
        <v>0</v>
      </c>
      <c r="U37" s="36">
        <f>VLOOKUP($A37,[29]HISTOAVRIL24!$A$6:$AU$38,28,0)</f>
        <v>0</v>
      </c>
      <c r="V37" s="36">
        <f>VLOOKUP($A37,[29]HISTOAVRIL24!$A$6:$AU$38,19,0)</f>
        <v>0</v>
      </c>
      <c r="W37" s="36">
        <f>VLOOKUP($A37,[29]HISTOAVRIL24!$A$6:$AU$38,20,0)</f>
        <v>0</v>
      </c>
      <c r="X37" s="36">
        <f>VLOOKUP($A37,[29]HISTOAVRIL24!$A$6:$AU$38,27,0)</f>
        <v>0</v>
      </c>
      <c r="Y37" s="36">
        <f>VLOOKUP($A37,[29]HISTOAVRIL24!$A$6:$BM$38,33,0)</f>
        <v>0</v>
      </c>
      <c r="Z37" s="36">
        <f>VLOOKUP($A37,[29]HISTOAVRIL24!$A$6:$BM$38,65,0)</f>
        <v>0</v>
      </c>
      <c r="AA37" s="36"/>
      <c r="AB37" s="36">
        <f>VLOOKUP($A37,[29]HISTOAVRIL24!$A$6:$AU$38,43,0)</f>
        <v>0</v>
      </c>
      <c r="AC37" s="36">
        <f>VLOOKUP($A37,[29]HISTOAVRIL24!$A$6:$AU$38,44,0)</f>
        <v>0</v>
      </c>
      <c r="AD37" s="36">
        <f>VLOOKUP($A37,[29]HISTOAVRIL24!$A$6:$AU$38,47,0)</f>
        <v>0</v>
      </c>
      <c r="AE37" s="36">
        <f>VLOOKUP(A37,[29]HISTOAVRIL24!$A$6:$BB$38,54,0)</f>
        <v>0</v>
      </c>
      <c r="AF37" s="36">
        <f>VLOOKUP($A37,[29]HISTOAVRIL24!$A$6:$CB$38,60,0)</f>
        <v>0</v>
      </c>
      <c r="AG37" s="36">
        <f>VLOOKUP($A37,[29]HISTOAVRIL24!$A$6:$CB$38,61,0)</f>
        <v>0</v>
      </c>
      <c r="AH37" s="36">
        <f>VLOOKUP($A37,[29]HISTOAVRIL24!$A$6:$CB$38,62,0)</f>
        <v>0</v>
      </c>
      <c r="AI37" s="36">
        <f>VLOOKUP($A37,[29]HISTOAVRIL24!$A$6:$CB$38,63,0)</f>
        <v>0</v>
      </c>
      <c r="AJ37" s="36">
        <f>VLOOKUP($A37,[29]HISTOAVRIL24!$A$6:$CB$38,64,0)</f>
        <v>0</v>
      </c>
      <c r="AK37" s="36">
        <f>VLOOKUP($A37,[29]HISTOAVRIL24!$A$6:$CB$38,65,0)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MVTMARS24!I38-E38+L38</f>
        <v>76000</v>
      </c>
      <c r="G38" s="5">
        <f>IF(MVTMARS24!I38+L38&gt;700000,(MVTMARS24!I38-E38+L38),0)</f>
        <v>0</v>
      </c>
      <c r="H38" s="36">
        <f t="shared" si="0"/>
        <v>0</v>
      </c>
      <c r="I38" s="6">
        <f t="shared" si="2"/>
        <v>76000</v>
      </c>
      <c r="J38" s="36">
        <f>VLOOKUP($A38,[29]HISTOAVRIL24!$A$6:$AQ$42,22,0)</f>
        <v>0</v>
      </c>
      <c r="K38" s="36">
        <f>VLOOKUP($A38,[29]HISTOAVRIL24!$A$6:$AU$38,45,0)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VLOOKUP($A38,[29]HISTOAVRIL24!$A$6:$AU$38,7,0)</f>
        <v>0</v>
      </c>
      <c r="Q38" s="36">
        <f>VLOOKUP($A38,[29]HISTOAVRIL24!$A$6:$AU$38,23,0)</f>
        <v>0</v>
      </c>
      <c r="R38" s="36">
        <f>VLOOKUP($A38,[29]HISTOAVRIL24!$A$6:$AU$38,46,0)</f>
        <v>0</v>
      </c>
      <c r="S38" s="36">
        <f>VLOOKUP($A38,[29]HISTOAVRIL24!$A$6:$AU$38,26,0)</f>
        <v>0</v>
      </c>
      <c r="T38" s="36">
        <f>VLOOKUP($A38,[29]HISTOAVRIL24!$A$6:$BG$38,58,0)</f>
        <v>0</v>
      </c>
      <c r="U38" s="36">
        <f>VLOOKUP($A38,[29]HISTOAVRIL24!$A$6:$AU$38,28,0)</f>
        <v>0</v>
      </c>
      <c r="V38" s="36">
        <f>VLOOKUP($A38,[29]HISTOAVRIL24!$A$6:$AU$38,19,0)</f>
        <v>0</v>
      </c>
      <c r="W38" s="36">
        <f>VLOOKUP($A38,[29]HISTOAVRIL24!$A$6:$AU$38,20,0)</f>
        <v>0</v>
      </c>
      <c r="X38" s="36">
        <f>VLOOKUP($A38,[29]HISTOAVRIL24!$A$6:$AU$38,27,0)</f>
        <v>0</v>
      </c>
      <c r="Y38" s="36">
        <f>VLOOKUP($A38,[29]HISTOAVRIL24!$A$6:$BM$38,33,0)</f>
        <v>0</v>
      </c>
      <c r="Z38" s="36">
        <f>VLOOKUP($A38,[29]HISTOAVRIL24!$A$6:$BM$38,65,0)</f>
        <v>0</v>
      </c>
      <c r="AA38" s="36"/>
      <c r="AB38" s="36">
        <f>VLOOKUP($A38,[29]HISTOAVRIL24!$A$6:$AU$38,43,0)</f>
        <v>0</v>
      </c>
      <c r="AC38" s="36">
        <f>VLOOKUP($A38,[29]HISTOAVRIL24!$A$6:$AU$38,44,0)</f>
        <v>0</v>
      </c>
      <c r="AD38" s="36">
        <f>VLOOKUP($A38,[29]HISTOAVRIL24!$A$6:$AU$38,47,0)</f>
        <v>0</v>
      </c>
      <c r="AE38" s="36">
        <f>VLOOKUP(A38,[29]HISTOAVRIL24!$A$6:$BB$38,54,0)</f>
        <v>0</v>
      </c>
      <c r="AF38" s="36">
        <f>VLOOKUP($A38,[29]HISTOAVRIL24!$A$6:$CB$38,60,0)</f>
        <v>0</v>
      </c>
      <c r="AG38" s="36">
        <f>VLOOKUP($A38,[29]HISTOAVRIL24!$A$6:$CB$38,61,0)</f>
        <v>0</v>
      </c>
      <c r="AH38" s="36">
        <f>VLOOKUP($A38,[29]HISTOAVRIL24!$A$6:$CB$38,62,0)</f>
        <v>0</v>
      </c>
      <c r="AI38" s="36">
        <f>VLOOKUP($A38,[29]HISTOAVRIL24!$A$6:$CB$38,63,0)</f>
        <v>0</v>
      </c>
      <c r="AJ38" s="36">
        <f>VLOOKUP($A38,[29]HISTOAVRIL24!$A$6:$CB$38,64,0)</f>
        <v>0</v>
      </c>
      <c r="AK38" s="36">
        <f>VLOOKUP($A38,[29]HISTOAVRIL24!$A$6:$CB$38,65,0)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MVTMARS24!I39-E39+L39</f>
        <v>2056763.7271882389</v>
      </c>
      <c r="G39" s="5">
        <f>IF(MVTMARS24!I39+L39&gt;700000,(MVTMARS24!I39-E39+L39),0)</f>
        <v>2056763.7271882389</v>
      </c>
      <c r="H39" s="36">
        <f t="shared" si="0"/>
        <v>0</v>
      </c>
      <c r="I39" s="6">
        <f t="shared" si="2"/>
        <v>2056763.7271882389</v>
      </c>
      <c r="J39" s="36">
        <f>VLOOKUP($A39,[29]HISTOAVRIL24!$A$6:$AQ$42,22,0)</f>
        <v>0</v>
      </c>
      <c r="K39" s="36">
        <f>VLOOKUP($A39,[29]HISTOAVRIL24!$A$6:$AU$38,45,0)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VLOOKUP($A39,[29]HISTOAVRIL24!$A$6:$AU$38,7,0)</f>
        <v>0</v>
      </c>
      <c r="Q39" s="36">
        <f>VLOOKUP($A39,[29]HISTOAVRIL24!$A$6:$AU$38,23,0)</f>
        <v>0</v>
      </c>
      <c r="R39" s="36">
        <f>VLOOKUP($A39,[29]HISTOAVRIL24!$A$6:$AU$38,46,0)</f>
        <v>0</v>
      </c>
      <c r="S39" s="36">
        <f>VLOOKUP($A39,[29]HISTOAVRIL24!$A$6:$AU$38,26,0)</f>
        <v>0</v>
      </c>
      <c r="T39" s="36">
        <f>VLOOKUP($A39,[29]HISTOAVRIL24!$A$6:$BG$38,58,0)</f>
        <v>0</v>
      </c>
      <c r="U39" s="36">
        <f>VLOOKUP($A39,[29]HISTOAVRIL24!$A$6:$AU$38,28,0)</f>
        <v>0</v>
      </c>
      <c r="V39" s="36">
        <f>VLOOKUP($A39,[29]HISTOAVRIL24!$A$6:$AU$38,19,0)</f>
        <v>0</v>
      </c>
      <c r="W39" s="36">
        <f>VLOOKUP($A39,[29]HISTOAVRIL24!$A$6:$AU$38,20,0)</f>
        <v>0</v>
      </c>
      <c r="X39" s="36">
        <f>VLOOKUP($A39,[29]HISTOAVRIL24!$A$6:$AU$38,27,0)</f>
        <v>0</v>
      </c>
      <c r="Y39" s="36">
        <f>VLOOKUP($A39,[29]HISTOAVRIL24!$A$6:$BM$38,33,0)</f>
        <v>0</v>
      </c>
      <c r="Z39" s="36">
        <f>VLOOKUP($A39,[29]HISTOAVRIL24!$A$6:$BM$38,65,0)</f>
        <v>0</v>
      </c>
      <c r="AA39" s="36"/>
      <c r="AB39" s="36">
        <f>VLOOKUP($A39,[29]HISTOAVRIL24!$A$6:$AU$38,43,0)</f>
        <v>0</v>
      </c>
      <c r="AC39" s="36">
        <f>VLOOKUP($A39,[29]HISTOAVRIL24!$A$6:$AU$38,44,0)</f>
        <v>0</v>
      </c>
      <c r="AD39" s="36">
        <f>VLOOKUP($A39,[29]HISTOAVRIL24!$A$6:$AU$38,47,0)</f>
        <v>0</v>
      </c>
      <c r="AE39" s="36">
        <f>VLOOKUP(A39,[29]HISTOAVRIL24!$A$6:$BB$38,54,0)</f>
        <v>0</v>
      </c>
      <c r="AF39" s="36">
        <f>VLOOKUP($A39,[29]HISTOAVRIL24!$A$6:$CB$38,60,0)</f>
        <v>0</v>
      </c>
      <c r="AG39" s="36">
        <f>VLOOKUP($A39,[29]HISTOAVRIL24!$A$6:$CB$38,61,0)</f>
        <v>0</v>
      </c>
      <c r="AH39" s="36">
        <f>VLOOKUP($A39,[29]HISTOAVRIL24!$A$6:$CB$38,62,0)</f>
        <v>0</v>
      </c>
      <c r="AI39" s="36">
        <f>VLOOKUP($A39,[29]HISTOAVRIL24!$A$6:$CB$38,63,0)</f>
        <v>0</v>
      </c>
      <c r="AJ39" s="36">
        <f>VLOOKUP($A39,[29]HISTOAVRIL24!$A$6:$CB$38,64,0)</f>
        <v>0</v>
      </c>
      <c r="AK39" s="36">
        <f>VLOOKUP($A39,[29]HISTOAVRIL24!$A$6:$CB$38,65,0)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29312656.07312192</v>
      </c>
      <c r="G41" s="9">
        <f t="shared" si="10"/>
        <v>27827439.07312192</v>
      </c>
      <c r="H41" s="36">
        <f t="shared" si="10"/>
        <v>0</v>
      </c>
      <c r="I41" s="9">
        <f t="shared" si="10"/>
        <v>29312656.07312192</v>
      </c>
      <c r="J41" s="9">
        <f t="shared" si="10"/>
        <v>0</v>
      </c>
      <c r="K41" s="9">
        <f t="shared" si="10"/>
        <v>970500</v>
      </c>
      <c r="L41" s="9">
        <f t="shared" si="10"/>
        <v>778500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21000</v>
      </c>
      <c r="AG41" s="9">
        <f t="shared" si="10"/>
        <v>100000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9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44"/>
  <sheetViews>
    <sheetView workbookViewId="0">
      <pane xSplit="2" ySplit="5" topLeftCell="G39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2">
        <v>45429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VLOOKUP($A6,[29]HISTOMAI24!$A$6:$BA$38,48,0)</f>
        <v>0</v>
      </c>
      <c r="F6" s="36">
        <f>MVTAVRIL24!I6-E6+L6</f>
        <v>945003.79869763087</v>
      </c>
      <c r="G6" s="5">
        <f>IF(MVTAVRIL24!I6+L6&gt;700000,(MVTAVRIL24!I6-E6+L6),0)</f>
        <v>945003.79869763087</v>
      </c>
      <c r="H6" s="36">
        <f t="shared" ref="H6:H39" si="0">$T$41/$G$41*G6</f>
        <v>2788.5580942068755</v>
      </c>
      <c r="I6" s="6">
        <f>F6+H6</f>
        <v>947792.35679183772</v>
      </c>
      <c r="J6" s="36">
        <f>VLOOKUP($A6,[29]HISTOMAI24!$A$6:$AQ$42,22,0)</f>
        <v>0</v>
      </c>
      <c r="K6" s="36">
        <f>VLOOKUP($A6,[29]HISTOMAI24!$A$6:$AU$38,45,0)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VLOOKUP($A6,[29]HISTOMAI24!$A$6:$AU$38,7,0)</f>
        <v>0</v>
      </c>
      <c r="Q6" s="36">
        <f>VLOOKUP($A6,[29]HISTOMAI24!$A$6:$AU$38,23,0)</f>
        <v>0</v>
      </c>
      <c r="R6" s="36">
        <f>VLOOKUP($A6,[29]HISTOMAI24!$A$6:$AU$38,46,0)</f>
        <v>0</v>
      </c>
      <c r="S6" s="36">
        <f>VLOOKUP($A6,[29]HISTOMAI24!$A$6:$AU$38,26,0)</f>
        <v>0</v>
      </c>
      <c r="T6" s="36">
        <f>VLOOKUP($A6,[29]HISTOMAI24!$A$6:$BG$38,58,0)</f>
        <v>0</v>
      </c>
      <c r="U6" s="36">
        <f>VLOOKUP($A6,[29]HISTOMAI24!$A$6:$AU$38,28,0)</f>
        <v>0</v>
      </c>
      <c r="V6" s="36">
        <f>VLOOKUP($A6,[29]HISTOMAI24!$A$6:$AU$38,19,0)</f>
        <v>0</v>
      </c>
      <c r="W6" s="36">
        <f>VLOOKUP($A6,[29]HISTOMAI24!$A$6:$AU$38,20,0)</f>
        <v>0</v>
      </c>
      <c r="X6" s="36">
        <f>VLOOKUP($A6,[29]HISTOMAI24!$A$6:$AU$38,27,0)</f>
        <v>0</v>
      </c>
      <c r="Y6" s="36">
        <f>VLOOKUP($A6,[29]HISTOMAI24!$A$6:$BM$38,33,0)</f>
        <v>0</v>
      </c>
      <c r="Z6" s="36">
        <f>VLOOKUP($A6,[29]HISTOMAI24!$A$6:$BM$38,65,0)</f>
        <v>0</v>
      </c>
      <c r="AA6" s="36"/>
      <c r="AB6" s="36">
        <f>VLOOKUP($A6,[29]HISTOMAI24!$A$6:$AU$38,43,0)</f>
        <v>0</v>
      </c>
      <c r="AC6" s="36">
        <f>VLOOKUP($A6,[29]HISTOMAI24!$A$6:$AU$38,44,0)</f>
        <v>0</v>
      </c>
      <c r="AD6" s="36">
        <f>VLOOKUP($A6,[29]HISTOMAI24!$A$6:$AU$38,47,0)</f>
        <v>0</v>
      </c>
      <c r="AE6" s="36">
        <f>VLOOKUP(A6,[29]HISTOMAI24!$A$6:$BB$38,54,0)</f>
        <v>0</v>
      </c>
      <c r="AF6" s="36">
        <f>VLOOKUP($A6,[29]HISTOMAI24!$A$6:$CB$38,60,0)</f>
        <v>19000</v>
      </c>
      <c r="AG6" s="36">
        <f>VLOOKUP($A6,[29]HISTOMAI24!$A$6:$CB$38,61,0)</f>
        <v>0</v>
      </c>
      <c r="AH6" s="36">
        <f>VLOOKUP($A6,[29]HISTOMAI24!$A$6:$CB$38,62,0)</f>
        <v>0</v>
      </c>
      <c r="AI6" s="36">
        <f>VLOOKUP($A6,[29]HISTOMAI24!$A$6:$CB$38,63,0)</f>
        <v>100000</v>
      </c>
      <c r="AJ6" s="36">
        <f>VLOOKUP($A6,[29]HISTOMAI24!$A$6:$CB$38,64,0)</f>
        <v>0</v>
      </c>
      <c r="AK6" s="36">
        <f>VLOOKUP($A6,[29]HISTOMAI24!$A$6:$CB$38,65,0)</f>
        <v>0</v>
      </c>
      <c r="AL6" s="36">
        <f>VLOOKUP($A6,[29]HISTOMAI24!$A$6:$CB$38,66,0)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VLOOKUP($A7,[29]HISTOMAI24!$A$6:$BA$38,48,0)</f>
        <v>0</v>
      </c>
      <c r="F7" s="36">
        <f>MVTAVRIL24!I7-E7+L7</f>
        <v>795773.28476822353</v>
      </c>
      <c r="G7" s="5">
        <f>IF(MVTAVRIL24!I7+L7&gt;700000,(MVTAVRIL24!I7-E7+L7),0)</f>
        <v>795773.28476822353</v>
      </c>
      <c r="H7" s="36">
        <f t="shared" si="0"/>
        <v>2348.2022373372984</v>
      </c>
      <c r="I7" s="6">
        <f t="shared" ref="I7:I39" si="2">F7+H7</f>
        <v>798121.48700556078</v>
      </c>
      <c r="J7" s="36">
        <f>VLOOKUP($A7,[29]HISTOMAI24!$A$6:$AQ$42,22,0)</f>
        <v>0</v>
      </c>
      <c r="K7" s="36">
        <f>VLOOKUP($A7,[29]HISTOMAI24!$A$6:$AU$38,45,0)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VLOOKUP($A7,[29]HISTOMAI24!$A$6:$AU$38,7,0)</f>
        <v>0</v>
      </c>
      <c r="Q7" s="36">
        <f>VLOOKUP($A7,[29]HISTOMAI24!$A$6:$AU$38,23,0)</f>
        <v>0</v>
      </c>
      <c r="R7" s="36">
        <f>VLOOKUP($A7,[29]HISTOMAI24!$A$6:$AU$38,46,0)</f>
        <v>0</v>
      </c>
      <c r="S7" s="36">
        <f>VLOOKUP($A7,[29]HISTOMAI24!$A$6:$AU$38,26,0)</f>
        <v>0</v>
      </c>
      <c r="T7" s="36">
        <f>VLOOKUP($A7,[29]HISTOMAI24!$A$6:$BG$38,58,0)</f>
        <v>0</v>
      </c>
      <c r="U7" s="36">
        <f>VLOOKUP($A7,[29]HISTOMAI24!$A$6:$AU$38,28,0)</f>
        <v>0</v>
      </c>
      <c r="V7" s="36">
        <f>VLOOKUP($A7,[29]HISTOMAI24!$A$6:$AU$38,19,0)</f>
        <v>0</v>
      </c>
      <c r="W7" s="36">
        <f>VLOOKUP($A7,[29]HISTOMAI24!$A$6:$AU$38,20,0)</f>
        <v>0</v>
      </c>
      <c r="X7" s="36">
        <f>VLOOKUP($A7,[29]HISTOMAI24!$A$6:$AU$38,27,0)</f>
        <v>0</v>
      </c>
      <c r="Y7" s="36">
        <f>VLOOKUP($A7,[29]HISTOMAI24!$A$6:$BM$38,33,0)</f>
        <v>0</v>
      </c>
      <c r="Z7" s="36">
        <f>VLOOKUP($A7,[29]HISTOMAI24!$A$6:$BM$38,65,0)</f>
        <v>0</v>
      </c>
      <c r="AA7" s="36"/>
      <c r="AB7" s="36">
        <f>VLOOKUP($A7,[29]HISTOMAI24!$A$6:$AU$38,43,0)</f>
        <v>0</v>
      </c>
      <c r="AC7" s="36">
        <f>VLOOKUP($A7,[29]HISTOMAI24!$A$6:$AU$38,44,0)</f>
        <v>0</v>
      </c>
      <c r="AD7" s="36">
        <f>VLOOKUP($A7,[29]HISTOMAI24!$A$6:$AU$38,47,0)</f>
        <v>0</v>
      </c>
      <c r="AE7" s="36">
        <f>VLOOKUP(A7,[29]HISTOMAI24!$A$6:$BB$38,54,0)</f>
        <v>0</v>
      </c>
      <c r="AF7" s="36">
        <f>VLOOKUP($A7,[29]HISTOMAI24!$A$6:$CB$38,60,0)</f>
        <v>0</v>
      </c>
      <c r="AG7" s="36">
        <f>VLOOKUP($A7,[29]HISTOMAI24!$A$6:$CB$38,61,0)</f>
        <v>0</v>
      </c>
      <c r="AH7" s="36">
        <f>VLOOKUP($A7,[29]HISTOMAI24!$A$6:$CB$38,62,0)</f>
        <v>0</v>
      </c>
      <c r="AI7" s="36">
        <f>VLOOKUP($A7,[29]HISTOMAI24!$A$6:$CB$38,63,0)</f>
        <v>0</v>
      </c>
      <c r="AJ7" s="36">
        <f>VLOOKUP($A7,[29]HISTOMAI24!$A$6:$CB$38,64,0)</f>
        <v>0</v>
      </c>
      <c r="AK7" s="36">
        <f>VLOOKUP($A7,[29]HISTOMAI24!$A$6:$CB$38,65,0)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VLOOKUP($A8,[29]HISTOMAI24!$A$6:$BA$38,48,0)</f>
        <v>0</v>
      </c>
      <c r="F8" s="36">
        <f>MVTAVRIL24!I8-E8+L8</f>
        <v>838572.94063192862</v>
      </c>
      <c r="G8" s="5">
        <f>IF(MVTAVRIL24!I8+L8&gt;700000,(MVTAVRIL24!I8-E8+L8),0)</f>
        <v>838572.94063192862</v>
      </c>
      <c r="H8" s="36">
        <f t="shared" si="0"/>
        <v>2474.497313560787</v>
      </c>
      <c r="I8" s="6">
        <f t="shared" si="2"/>
        <v>841047.43794548942</v>
      </c>
      <c r="J8" s="36">
        <f>VLOOKUP($A8,[29]HISTOMAI24!$A$6:$AQ$42,22,0)</f>
        <v>0</v>
      </c>
      <c r="K8" s="36">
        <f>VLOOKUP($A8,[29]HISTOMAI24!$A$6:$AU$38,45,0)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VLOOKUP($A8,[29]HISTOMAI24!$A$6:$AU$38,7,0)</f>
        <v>0</v>
      </c>
      <c r="Q8" s="36">
        <f>VLOOKUP($A8,[29]HISTOMAI24!$A$6:$AU$38,23,0)</f>
        <v>0</v>
      </c>
      <c r="R8" s="36">
        <f>VLOOKUP($A8,[29]HISTOMAI24!$A$6:$AU$38,46,0)</f>
        <v>0</v>
      </c>
      <c r="S8" s="36">
        <f>VLOOKUP($A8,[29]HISTOMAI24!$A$6:$AU$38,26,0)</f>
        <v>0</v>
      </c>
      <c r="T8" s="36">
        <f>VLOOKUP($A8,[29]HISTOMAI24!$A$6:$BG$38,58,0)</f>
        <v>0</v>
      </c>
      <c r="U8" s="36">
        <f>VLOOKUP($A8,[29]HISTOMAI24!$A$6:$AU$38,28,0)</f>
        <v>0</v>
      </c>
      <c r="V8" s="36">
        <f>VLOOKUP($A8,[29]HISTOMAI24!$A$6:$AU$38,19,0)</f>
        <v>0</v>
      </c>
      <c r="W8" s="36">
        <f>VLOOKUP($A8,[29]HISTOMAI24!$A$6:$AU$38,20,0)</f>
        <v>0</v>
      </c>
      <c r="X8" s="36">
        <f>VLOOKUP($A8,[29]HISTOMAI24!$A$6:$AU$38,27,0)</f>
        <v>0</v>
      </c>
      <c r="Y8" s="36">
        <f>VLOOKUP($A8,[29]HISTOMAI24!$A$6:$BM$38,33,0)</f>
        <v>0</v>
      </c>
      <c r="Z8" s="36">
        <f>VLOOKUP($A8,[29]HISTOMAI24!$A$6:$BM$38,65,0)</f>
        <v>0</v>
      </c>
      <c r="AA8" s="36"/>
      <c r="AB8" s="36">
        <f>VLOOKUP($A8,[29]HISTOMAI24!$A$6:$AU$38,43,0)</f>
        <v>0</v>
      </c>
      <c r="AC8" s="36">
        <f>VLOOKUP($A8,[29]HISTOMAI24!$A$6:$AU$38,44,0)</f>
        <v>0</v>
      </c>
      <c r="AD8" s="36">
        <f>VLOOKUP($A8,[29]HISTOMAI24!$A$6:$AU$38,47,0)</f>
        <v>0</v>
      </c>
      <c r="AE8" s="36">
        <f>VLOOKUP(A8,[29]HISTOMAI24!$A$6:$BB$38,54,0)</f>
        <v>0</v>
      </c>
      <c r="AF8" s="36">
        <f>VLOOKUP($A8,[29]HISTOMAI24!$A$6:$CB$38,60,0)</f>
        <v>0</v>
      </c>
      <c r="AG8" s="36">
        <f>VLOOKUP($A8,[29]HISTOMAI24!$A$6:$CB$38,61,0)</f>
        <v>0</v>
      </c>
      <c r="AH8" s="36">
        <f>VLOOKUP($A8,[29]HISTOMAI24!$A$6:$CB$38,62,0)</f>
        <v>0</v>
      </c>
      <c r="AI8" s="36">
        <f>VLOOKUP($A8,[29]HISTOMAI24!$A$6:$CB$38,63,0)</f>
        <v>0</v>
      </c>
      <c r="AJ8" s="36">
        <f>VLOOKUP($A8,[29]HISTOMAI24!$A$6:$CB$38,64,0)</f>
        <v>0</v>
      </c>
      <c r="AK8" s="36">
        <f>VLOOKUP($A8,[29]HISTOMAI24!$A$6:$CB$38,65,0)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VLOOKUP($A9,[29]HISTOMAI24!$A$6:$BA$38,48,0)</f>
        <v>0</v>
      </c>
      <c r="F9" s="36">
        <f>MVTAVRIL24!I9-E9+L9</f>
        <v>895928.46184166172</v>
      </c>
      <c r="G9" s="5">
        <f>IF(MVTAVRIL24!I9+L9&gt;700000,(MVTAVRIL24!I9-E9+L9),0)</f>
        <v>895928.46184166172</v>
      </c>
      <c r="H9" s="36">
        <f t="shared" si="0"/>
        <v>2643.7444669979241</v>
      </c>
      <c r="I9" s="6">
        <f t="shared" si="2"/>
        <v>898572.20630865963</v>
      </c>
      <c r="J9" s="36">
        <f>VLOOKUP($A9,[29]HISTOMAI24!$A$6:$AQ$42,22,0)</f>
        <v>0</v>
      </c>
      <c r="K9" s="36">
        <f>VLOOKUP($A9,[29]HISTOMAI24!$A$6:$AU$38,45,0)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VLOOKUP($A9,[29]HISTOMAI24!$A$6:$AU$38,7,0)</f>
        <v>0</v>
      </c>
      <c r="Q9" s="36">
        <f>VLOOKUP($A9,[29]HISTOMAI24!$A$6:$AU$38,23,0)</f>
        <v>0</v>
      </c>
      <c r="R9" s="36">
        <f>VLOOKUP($A9,[29]HISTOMAI24!$A$6:$AU$38,46,0)</f>
        <v>0</v>
      </c>
      <c r="S9" s="36">
        <f>VLOOKUP($A9,[29]HISTOMAI24!$A$6:$AU$38,26,0)</f>
        <v>0</v>
      </c>
      <c r="T9" s="36">
        <f>VLOOKUP($A9,[29]HISTOMAI24!$A$6:$BG$38,58,0)</f>
        <v>0</v>
      </c>
      <c r="U9" s="36">
        <f>VLOOKUP($A9,[29]HISTOMAI24!$A$6:$AU$38,28,0)</f>
        <v>0</v>
      </c>
      <c r="V9" s="36">
        <f>VLOOKUP($A9,[29]HISTOMAI24!$A$6:$AU$38,19,0)</f>
        <v>0</v>
      </c>
      <c r="W9" s="36">
        <f>VLOOKUP($A9,[29]HISTOMAI24!$A$6:$AU$38,20,0)</f>
        <v>0</v>
      </c>
      <c r="X9" s="36">
        <f>VLOOKUP($A9,[29]HISTOMAI24!$A$6:$AU$38,27,0)</f>
        <v>0</v>
      </c>
      <c r="Y9" s="36">
        <f>VLOOKUP($A9,[29]HISTOMAI24!$A$6:$BM$38,33,0)</f>
        <v>0</v>
      </c>
      <c r="Z9" s="36">
        <f>VLOOKUP($A9,[29]HISTOMAI24!$A$6:$BM$38,65,0)</f>
        <v>0</v>
      </c>
      <c r="AA9" s="36"/>
      <c r="AB9" s="36">
        <f>VLOOKUP($A9,[29]HISTOMAI24!$A$6:$AU$38,43,0)</f>
        <v>0</v>
      </c>
      <c r="AC9" s="36">
        <f>VLOOKUP($A9,[29]HISTOMAI24!$A$6:$AU$38,44,0)</f>
        <v>0</v>
      </c>
      <c r="AD9" s="36">
        <f>VLOOKUP($A9,[29]HISTOMAI24!$A$6:$AU$38,47,0)</f>
        <v>0</v>
      </c>
      <c r="AE9" s="36">
        <f>VLOOKUP(A9,[29]HISTOMAI24!$A$6:$BB$38,54,0)</f>
        <v>0</v>
      </c>
      <c r="AF9" s="36">
        <f>VLOOKUP($A9,[29]HISTOMAI24!$A$6:$CB$38,60,0)</f>
        <v>0</v>
      </c>
      <c r="AG9" s="36">
        <f>VLOOKUP($A9,[29]HISTOMAI24!$A$6:$CB$38,61,0)</f>
        <v>0</v>
      </c>
      <c r="AH9" s="36">
        <f>VLOOKUP($A9,[29]HISTOMAI24!$A$6:$CB$38,62,0)</f>
        <v>0</v>
      </c>
      <c r="AI9" s="36">
        <f>VLOOKUP($A9,[29]HISTOMAI24!$A$6:$CB$38,63,0)</f>
        <v>0</v>
      </c>
      <c r="AJ9" s="36">
        <f>VLOOKUP($A9,[29]HISTOMAI24!$A$6:$CB$38,64,0)</f>
        <v>0</v>
      </c>
      <c r="AK9" s="36">
        <f>VLOOKUP($A9,[29]HISTOMAI24!$A$6:$CB$38,65,0)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VLOOKUP($A10,[29]HISTOMAI24!$A$6:$BA$38,48,0)</f>
        <v>0</v>
      </c>
      <c r="F10" s="36">
        <f>MVTAVRIL24!I10-E10+L10</f>
        <v>833844.47000147158</v>
      </c>
      <c r="G10" s="5">
        <f>IF(MVTAVRIL24!I10+L10&gt;700000,(MVTAVRIL24!I10-E10+L10),0)</f>
        <v>833844.47000147158</v>
      </c>
      <c r="H10" s="36">
        <f t="shared" si="0"/>
        <v>2460.5443378500518</v>
      </c>
      <c r="I10" s="6">
        <f t="shared" si="2"/>
        <v>836305.01433932164</v>
      </c>
      <c r="J10" s="36">
        <f>VLOOKUP($A10,[29]HISTOMAI24!$A$6:$AQ$42,22,0)</f>
        <v>0</v>
      </c>
      <c r="K10" s="36">
        <f>VLOOKUP($A10,[29]HISTOMAI24!$A$6:$AU$38,45,0)</f>
        <v>23000</v>
      </c>
      <c r="L10" s="36">
        <f t="shared" si="3"/>
        <v>17000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VLOOKUP($A10,[29]HISTOMAI24!$A$6:$AU$38,7,0)</f>
        <v>0</v>
      </c>
      <c r="Q10" s="36">
        <f>VLOOKUP($A10,[29]HISTOMAI24!$A$6:$AU$38,23,0)</f>
        <v>0</v>
      </c>
      <c r="R10" s="36">
        <f>VLOOKUP($A10,[29]HISTOMAI24!$A$6:$AU$38,46,0)</f>
        <v>0</v>
      </c>
      <c r="S10" s="36">
        <f>VLOOKUP($A10,[29]HISTOMAI24!$A$6:$AU$38,26,0)</f>
        <v>0</v>
      </c>
      <c r="T10" s="36">
        <f>VLOOKUP($A10,[29]HISTOMAI24!$A$6:$BG$38,58,0)</f>
        <v>0</v>
      </c>
      <c r="U10" s="36">
        <f>VLOOKUP($A10,[29]HISTOMAI24!$A$6:$AU$38,28,0)</f>
        <v>0</v>
      </c>
      <c r="V10" s="36">
        <f>VLOOKUP($A10,[29]HISTOMAI24!$A$6:$AU$38,19,0)</f>
        <v>0</v>
      </c>
      <c r="W10" s="36">
        <f>VLOOKUP($A10,[29]HISTOMAI24!$A$6:$AU$38,20,0)</f>
        <v>0</v>
      </c>
      <c r="X10" s="36">
        <f>VLOOKUP($A10,[29]HISTOMAI24!$A$6:$AU$38,27,0)</f>
        <v>0</v>
      </c>
      <c r="Y10" s="36">
        <f>VLOOKUP($A10,[29]HISTOMAI24!$A$6:$BM$38,33,0)</f>
        <v>0</v>
      </c>
      <c r="Z10" s="36">
        <f>VLOOKUP($A10,[29]HISTOMAI24!$A$6:$BM$38,65,0)</f>
        <v>0</v>
      </c>
      <c r="AA10" s="36"/>
      <c r="AB10" s="36">
        <f>VLOOKUP($A10,[29]HISTOMAI24!$A$6:$AU$38,43,0)</f>
        <v>0</v>
      </c>
      <c r="AC10" s="36">
        <f>VLOOKUP($A10,[29]HISTOMAI24!$A$6:$AU$38,44,0)</f>
        <v>0</v>
      </c>
      <c r="AD10" s="36">
        <f>VLOOKUP($A10,[29]HISTOMAI24!$A$6:$AU$38,47,0)</f>
        <v>0</v>
      </c>
      <c r="AE10" s="36">
        <f>VLOOKUP(A10,[29]HISTOMAI24!$A$6:$BB$38,54,0)</f>
        <v>0</v>
      </c>
      <c r="AF10" s="36">
        <f>VLOOKUP($A10,[29]HISTOMAI24!$A$6:$CB$38,60,0)</f>
        <v>0</v>
      </c>
      <c r="AG10" s="36">
        <f>VLOOKUP($A10,[29]HISTOMAI24!$A$6:$CB$38,61,0)</f>
        <v>0</v>
      </c>
      <c r="AH10" s="36">
        <f>VLOOKUP($A10,[29]HISTOMAI24!$A$6:$CB$38,62,0)</f>
        <v>0</v>
      </c>
      <c r="AI10" s="36">
        <f>VLOOKUP($A10,[29]HISTOMAI24!$A$6:$CB$38,63,0)</f>
        <v>0</v>
      </c>
      <c r="AJ10" s="36">
        <f>VLOOKUP($A10,[29]HISTOMAI24!$A$6:$CB$38,64,0)</f>
        <v>0</v>
      </c>
      <c r="AK10" s="36">
        <f>VLOOKUP($A10,[29]HISTOMAI24!$A$6:$CB$38,65,0)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VLOOKUP($A11,[29]HISTOMAI24!$A$6:$BA$38,48,0)</f>
        <v>0</v>
      </c>
      <c r="F11" s="36">
        <f>MVTAVRIL24!I11-E11+L11</f>
        <v>858892.50466802681</v>
      </c>
      <c r="G11" s="5">
        <f>IF(MVTAVRIL24!I11+L11&gt;700000,(MVTAVRIL24!I11-E11+L11),0)</f>
        <v>858892.50466802681</v>
      </c>
      <c r="H11" s="36">
        <f t="shared" si="0"/>
        <v>2534.4571622319841</v>
      </c>
      <c r="I11" s="6">
        <f t="shared" si="2"/>
        <v>861426.96183025884</v>
      </c>
      <c r="J11" s="36">
        <f>VLOOKUP($A11,[29]HISTOMAI24!$A$6:$AQ$42,22,0)</f>
        <v>0</v>
      </c>
      <c r="K11" s="36">
        <f>VLOOKUP($A11,[29]HISTOMAI24!$A$6:$AU$38,45,0)</f>
        <v>30000</v>
      </c>
      <c r="L11" s="36">
        <f t="shared" si="3"/>
        <v>24000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VLOOKUP($A11,[29]HISTOMAI24!$A$6:$AU$38,7,0)</f>
        <v>0</v>
      </c>
      <c r="Q11" s="36">
        <f>VLOOKUP($A11,[29]HISTOMAI24!$A$6:$AU$38,23,0)</f>
        <v>0</v>
      </c>
      <c r="R11" s="36">
        <f>VLOOKUP($A11,[29]HISTOMAI24!$A$6:$AU$38,46,0)</f>
        <v>0</v>
      </c>
      <c r="S11" s="36">
        <f>VLOOKUP($A11,[29]HISTOMAI24!$A$6:$AU$38,26,0)</f>
        <v>0</v>
      </c>
      <c r="T11" s="36">
        <f>VLOOKUP($A11,[29]HISTOMAI24!$A$6:$BG$38,58,0)</f>
        <v>0</v>
      </c>
      <c r="U11" s="36">
        <f>VLOOKUP($A11,[29]HISTOMAI24!$A$6:$AU$38,28,0)</f>
        <v>0</v>
      </c>
      <c r="V11" s="36">
        <f>VLOOKUP($A11,[29]HISTOMAI24!$A$6:$AU$38,19,0)</f>
        <v>0</v>
      </c>
      <c r="W11" s="36">
        <f>VLOOKUP($A11,[29]HISTOMAI24!$A$6:$AU$38,20,0)</f>
        <v>0</v>
      </c>
      <c r="X11" s="36">
        <f>VLOOKUP($A11,[29]HISTOMAI24!$A$6:$AU$38,27,0)</f>
        <v>0</v>
      </c>
      <c r="Y11" s="36">
        <f>VLOOKUP($A11,[29]HISTOMAI24!$A$6:$BM$38,33,0)</f>
        <v>0</v>
      </c>
      <c r="Z11" s="36">
        <f>VLOOKUP($A11,[29]HISTOMAI24!$A$6:$BM$38,65,0)</f>
        <v>0</v>
      </c>
      <c r="AA11" s="36"/>
      <c r="AB11" s="36">
        <f>VLOOKUP($A11,[29]HISTOMAI24!$A$6:$AU$38,43,0)</f>
        <v>0</v>
      </c>
      <c r="AC11" s="36">
        <f>VLOOKUP($A11,[29]HISTOMAI24!$A$6:$AU$38,44,0)</f>
        <v>0</v>
      </c>
      <c r="AD11" s="36">
        <f>VLOOKUP($A11,[29]HISTOMAI24!$A$6:$AU$38,47,0)</f>
        <v>0</v>
      </c>
      <c r="AE11" s="36">
        <f>VLOOKUP(A11,[29]HISTOMAI24!$A$6:$BB$38,54,0)</f>
        <v>0</v>
      </c>
      <c r="AF11" s="36">
        <f>VLOOKUP($A11,[29]HISTOMAI24!$A$6:$CB$38,60,0)</f>
        <v>0</v>
      </c>
      <c r="AG11" s="36">
        <f>VLOOKUP($A11,[29]HISTOMAI24!$A$6:$CB$38,61,0)</f>
        <v>0</v>
      </c>
      <c r="AH11" s="36">
        <f>VLOOKUP($A11,[29]HISTOMAI24!$A$6:$CB$38,62,0)</f>
        <v>0</v>
      </c>
      <c r="AI11" s="36">
        <f>VLOOKUP($A11,[29]HISTOMAI24!$A$6:$CB$38,63,0)</f>
        <v>0</v>
      </c>
      <c r="AJ11" s="36">
        <f>VLOOKUP($A11,[29]HISTOMAI24!$A$6:$CB$38,64,0)</f>
        <v>0</v>
      </c>
      <c r="AK11" s="36">
        <f>VLOOKUP($A11,[29]HISTOMAI24!$A$6:$CB$38,65,0)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VLOOKUP($A12,[29]HISTOMAI24!$A$6:$BA$38,48,0)</f>
        <v>0</v>
      </c>
      <c r="F12" s="36">
        <f>MVTAVRIL24!I12-E12+L12</f>
        <v>882120.04206278268</v>
      </c>
      <c r="G12" s="5">
        <f>IF(MVTAVRIL24!I12+L12&gt;700000,(MVTAVRIL24!I12-E12+L12),0)</f>
        <v>882120.04206278268</v>
      </c>
      <c r="H12" s="36">
        <f t="shared" si="0"/>
        <v>2602.9979845015928</v>
      </c>
      <c r="I12" s="6">
        <f t="shared" si="2"/>
        <v>884723.04004728433</v>
      </c>
      <c r="J12" s="36">
        <f>VLOOKUP($A12,[29]HISTOMAI24!$A$6:$AQ$42,22,0)</f>
        <v>0</v>
      </c>
      <c r="K12" s="36">
        <f>VLOOKUP($A12,[29]HISTOMAI24!$A$6:$AU$38,45,0)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VLOOKUP($A12,[29]HISTOMAI24!$A$6:$AU$38,7,0)</f>
        <v>0</v>
      </c>
      <c r="Q12" s="36">
        <f>VLOOKUP($A12,[29]HISTOMAI24!$A$6:$AU$38,23,0)</f>
        <v>0</v>
      </c>
      <c r="R12" s="36">
        <f>VLOOKUP($A12,[29]HISTOMAI24!$A$6:$AU$38,46,0)</f>
        <v>0</v>
      </c>
      <c r="S12" s="36">
        <f>VLOOKUP($A12,[29]HISTOMAI24!$A$6:$AU$38,26,0)</f>
        <v>0</v>
      </c>
      <c r="T12" s="36">
        <f>VLOOKUP($A12,[29]HISTOMAI24!$A$6:$BG$38,58,0)</f>
        <v>0</v>
      </c>
      <c r="U12" s="36">
        <f>VLOOKUP($A12,[29]HISTOMAI24!$A$6:$AU$38,28,0)</f>
        <v>0</v>
      </c>
      <c r="V12" s="36">
        <f>VLOOKUP($A12,[29]HISTOMAI24!$A$6:$AU$38,19,0)</f>
        <v>500000</v>
      </c>
      <c r="W12" s="36" t="str">
        <f>VLOOKUP($A12,[29]HISTOMAI24!$A$6:$AU$38,20,0)</f>
        <v>BANQUE</v>
      </c>
      <c r="X12" s="36">
        <f>VLOOKUP($A12,[29]HISTOMAI24!$A$6:$AU$38,27,0)</f>
        <v>0</v>
      </c>
      <c r="Y12" s="36">
        <f>VLOOKUP($A12,[29]HISTOMAI24!$A$6:$BM$38,33,0)</f>
        <v>0</v>
      </c>
      <c r="Z12" s="36">
        <f>VLOOKUP($A12,[29]HISTOMAI24!$A$6:$BM$38,65,0)</f>
        <v>0</v>
      </c>
      <c r="AA12" s="36"/>
      <c r="AB12" s="36">
        <f>VLOOKUP($A12,[29]HISTOMAI24!$A$6:$AU$38,43,0)</f>
        <v>0</v>
      </c>
      <c r="AC12" s="36">
        <f>VLOOKUP($A12,[29]HISTOMAI24!$A$6:$AU$38,44,0)</f>
        <v>0</v>
      </c>
      <c r="AD12" s="36">
        <f>VLOOKUP($A12,[29]HISTOMAI24!$A$6:$AU$38,47,0)</f>
        <v>0</v>
      </c>
      <c r="AE12" s="36">
        <f>VLOOKUP(A12,[29]HISTOMAI24!$A$6:$BB$38,54,0)</f>
        <v>0</v>
      </c>
      <c r="AF12" s="36">
        <f>VLOOKUP($A12,[29]HISTOMAI24!$A$6:$CB$38,60,0)</f>
        <v>0</v>
      </c>
      <c r="AG12" s="36">
        <f>VLOOKUP($A12,[29]HISTOMAI24!$A$6:$CB$38,61,0)</f>
        <v>0</v>
      </c>
      <c r="AH12" s="36">
        <f>VLOOKUP($A12,[29]HISTOMAI24!$A$6:$CB$38,62,0)</f>
        <v>0</v>
      </c>
      <c r="AI12" s="36">
        <f>VLOOKUP($A12,[29]HISTOMAI24!$A$6:$CB$38,63,0)</f>
        <v>0</v>
      </c>
      <c r="AJ12" s="36">
        <f>VLOOKUP($A12,[29]HISTOMAI24!$A$6:$CB$38,64,0)</f>
        <v>0</v>
      </c>
      <c r="AK12" s="36">
        <f>VLOOKUP($A12,[29]HISTOMAI24!$A$6:$CB$38,65,0)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VLOOKUP($A13,[29]HISTOMAI24!$A$6:$BA$38,48,0)</f>
        <v>0</v>
      </c>
      <c r="F13" s="36">
        <f>MVTAVRIL24!I13-E13+L13</f>
        <v>841594.78039043082</v>
      </c>
      <c r="G13" s="5">
        <f>IF(MVTAVRIL24!I13+L13&gt;700000,(MVTAVRIL24!I13-E13+L13),0)</f>
        <v>841594.78039043082</v>
      </c>
      <c r="H13" s="36">
        <f t="shared" si="0"/>
        <v>2483.4142890582193</v>
      </c>
      <c r="I13" s="6">
        <f t="shared" si="2"/>
        <v>844078.19467948901</v>
      </c>
      <c r="J13" s="36">
        <f>VLOOKUP($A13,[29]HISTOMAI24!$A$6:$AQ$42,22,0)</f>
        <v>0</v>
      </c>
      <c r="K13" s="36">
        <f>VLOOKUP($A13,[29]HISTOMAI24!$A$6:$AU$38,45,0)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VLOOKUP($A13,[29]HISTOMAI24!$A$6:$AU$38,7,0)</f>
        <v>0</v>
      </c>
      <c r="Q13" s="36">
        <f>VLOOKUP($A13,[29]HISTOMAI24!$A$6:$AU$38,23,0)</f>
        <v>0</v>
      </c>
      <c r="R13" s="36">
        <f>VLOOKUP($A13,[29]HISTOMAI24!$A$6:$AU$38,46,0)</f>
        <v>0</v>
      </c>
      <c r="S13" s="36">
        <f>VLOOKUP($A13,[29]HISTOMAI24!$A$6:$AU$38,26,0)</f>
        <v>0</v>
      </c>
      <c r="T13" s="36">
        <f>VLOOKUP($A13,[29]HISTOMAI24!$A$6:$BG$38,58,0)</f>
        <v>0</v>
      </c>
      <c r="U13" s="36">
        <f>VLOOKUP($A13,[29]HISTOMAI24!$A$6:$AU$38,28,0)</f>
        <v>0</v>
      </c>
      <c r="V13" s="36">
        <f>VLOOKUP($A13,[29]HISTOMAI24!$A$6:$AU$38,19,0)</f>
        <v>0</v>
      </c>
      <c r="W13" s="36">
        <f>VLOOKUP($A13,[29]HISTOMAI24!$A$6:$AU$38,20,0)</f>
        <v>0</v>
      </c>
      <c r="X13" s="36">
        <f>VLOOKUP($A13,[29]HISTOMAI24!$A$6:$AU$38,27,0)</f>
        <v>0</v>
      </c>
      <c r="Y13" s="36">
        <f>VLOOKUP($A13,[29]HISTOMAI24!$A$6:$BM$38,33,0)</f>
        <v>0</v>
      </c>
      <c r="Z13" s="36">
        <f>VLOOKUP($A13,[29]HISTOMAI24!$A$6:$BM$38,65,0)</f>
        <v>0</v>
      </c>
      <c r="AA13" s="36"/>
      <c r="AB13" s="36">
        <f>VLOOKUP($A13,[29]HISTOMAI24!$A$6:$AU$38,43,0)</f>
        <v>0</v>
      </c>
      <c r="AC13" s="36">
        <f>VLOOKUP($A13,[29]HISTOMAI24!$A$6:$AU$38,44,0)</f>
        <v>0</v>
      </c>
      <c r="AD13" s="36">
        <f>VLOOKUP($A13,[29]HISTOMAI24!$A$6:$AU$38,47,0)</f>
        <v>0</v>
      </c>
      <c r="AE13" s="36">
        <f>VLOOKUP(A13,[29]HISTOMAI24!$A$6:$BB$38,54,0)</f>
        <v>0</v>
      </c>
      <c r="AF13" s="36">
        <f>VLOOKUP($A13,[29]HISTOMAI24!$A$6:$CB$38,60,0)</f>
        <v>0</v>
      </c>
      <c r="AG13" s="36">
        <f>VLOOKUP($A13,[29]HISTOMAI24!$A$6:$CB$38,61,0)</f>
        <v>0</v>
      </c>
      <c r="AH13" s="36">
        <f>VLOOKUP($A13,[29]HISTOMAI24!$A$6:$CB$38,62,0)</f>
        <v>0</v>
      </c>
      <c r="AI13" s="36">
        <f>VLOOKUP($A13,[29]HISTOMAI24!$A$6:$CB$38,63,0)</f>
        <v>0</v>
      </c>
      <c r="AJ13" s="36">
        <f>VLOOKUP($A13,[29]HISTOMAI24!$A$6:$CB$38,64,0)</f>
        <v>0</v>
      </c>
      <c r="AK13" s="36">
        <f>VLOOKUP($A13,[29]HISTOMAI24!$A$6:$CB$38,65,0)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VLOOKUP($A14,[29]HISTOMAI24!$A$6:$BA$38,48,0)</f>
        <v>0</v>
      </c>
      <c r="F14" s="36">
        <f>MVTAVRIL24!I14-E14+L14</f>
        <v>1393754.6531689162</v>
      </c>
      <c r="G14" s="5">
        <f>IF(MVTAVRIL24!I14+L14&gt;700000,(MVTAVRIL24!I14-E14+L14),0)</f>
        <v>1393754.6531689162</v>
      </c>
      <c r="H14" s="36">
        <f t="shared" si="0"/>
        <v>4112.7515305113047</v>
      </c>
      <c r="I14" s="6">
        <f t="shared" si="2"/>
        <v>1397867.4046994275</v>
      </c>
      <c r="J14" s="36">
        <f>VLOOKUP($A14,[29]HISTOMAI24!$A$6:$AQ$42,22,0)</f>
        <v>0</v>
      </c>
      <c r="K14" s="36">
        <f>VLOOKUP($A14,[29]HISTOMAI24!$A$6:$AU$38,45,0)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VLOOKUP($A14,[29]HISTOMAI24!$A$6:$AU$38,7,0)</f>
        <v>0</v>
      </c>
      <c r="Q14" s="36">
        <f>VLOOKUP($A14,[29]HISTOMAI24!$A$6:$AU$38,23,0)</f>
        <v>0</v>
      </c>
      <c r="R14" s="36">
        <f>VLOOKUP($A14,[29]HISTOMAI24!$A$6:$AU$38,46,0)</f>
        <v>0</v>
      </c>
      <c r="S14" s="36">
        <f>VLOOKUP($A14,[29]HISTOMAI24!$A$6:$AU$38,26,0)</f>
        <v>0</v>
      </c>
      <c r="T14" s="36">
        <f>VLOOKUP($A14,[29]HISTOMAI24!$A$6:$BG$38,58,0)</f>
        <v>0</v>
      </c>
      <c r="U14" s="36">
        <f>VLOOKUP($A14,[29]HISTOMAI24!$A$6:$AU$38,28,0)</f>
        <v>0</v>
      </c>
      <c r="V14" s="36">
        <f>VLOOKUP($A14,[29]HISTOMAI24!$A$6:$AU$38,19,0)</f>
        <v>0</v>
      </c>
      <c r="W14" s="36">
        <f>VLOOKUP($A14,[29]HISTOMAI24!$A$6:$AU$38,20,0)</f>
        <v>0</v>
      </c>
      <c r="X14" s="36">
        <f>VLOOKUP($A14,[29]HISTOMAI24!$A$6:$AU$38,27,0)</f>
        <v>0</v>
      </c>
      <c r="Y14" s="36">
        <f>VLOOKUP($A14,[29]HISTOMAI24!$A$6:$BM$38,33,0)</f>
        <v>0</v>
      </c>
      <c r="Z14" s="36">
        <f>VLOOKUP($A14,[29]HISTOMAI24!$A$6:$BM$38,65,0)</f>
        <v>0</v>
      </c>
      <c r="AA14" s="36"/>
      <c r="AB14" s="36">
        <f>VLOOKUP($A14,[29]HISTOMAI24!$A$6:$AU$38,43,0)</f>
        <v>0</v>
      </c>
      <c r="AC14" s="36">
        <f>VLOOKUP($A14,[29]HISTOMAI24!$A$6:$AU$38,44,0)</f>
        <v>0</v>
      </c>
      <c r="AD14" s="36">
        <f>VLOOKUP($A14,[29]HISTOMAI24!$A$6:$AU$38,47,0)</f>
        <v>0</v>
      </c>
      <c r="AE14" s="36">
        <f>VLOOKUP(A14,[29]HISTOMAI24!$A$6:$BB$38,54,0)</f>
        <v>0</v>
      </c>
      <c r="AF14" s="36">
        <f>VLOOKUP($A14,[29]HISTOMAI24!$A$6:$CB$38,60,0)</f>
        <v>0</v>
      </c>
      <c r="AG14" s="36">
        <f>VLOOKUP($A14,[29]HISTOMAI24!$A$6:$CB$38,61,0)</f>
        <v>0</v>
      </c>
      <c r="AH14" s="36">
        <f>VLOOKUP($A14,[29]HISTOMAI24!$A$6:$CB$38,62,0)</f>
        <v>0</v>
      </c>
      <c r="AI14" s="36">
        <f>VLOOKUP($A14,[29]HISTOMAI24!$A$6:$CB$38,63,0)</f>
        <v>0</v>
      </c>
      <c r="AJ14" s="36">
        <f>VLOOKUP($A14,[29]HISTOMAI24!$A$6:$CB$38,64,0)</f>
        <v>0</v>
      </c>
      <c r="AK14" s="36">
        <f>VLOOKUP($A14,[29]HISTOMAI24!$A$6:$CB$38,65,0)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VLOOKUP($A15,[29]HISTOMAI24!$A$6:$BA$38,48,0)</f>
        <v>0</v>
      </c>
      <c r="F15" s="36">
        <f>MVTAVRIL24!I15-E15+L15</f>
        <v>903269.84272856009</v>
      </c>
      <c r="G15" s="5">
        <f>IF(MVTAVRIL24!I15+L15&gt;700000,(MVTAVRIL24!I15-E15+L15),0)</f>
        <v>903269.84272856009</v>
      </c>
      <c r="H15" s="36">
        <f t="shared" si="0"/>
        <v>2665.4077313393263</v>
      </c>
      <c r="I15" s="6">
        <f t="shared" si="2"/>
        <v>905935.25045989943</v>
      </c>
      <c r="J15" s="36">
        <f>VLOOKUP($A15,[29]HISTOMAI24!$A$6:$AQ$42,22,0)</f>
        <v>0</v>
      </c>
      <c r="K15" s="36">
        <f>VLOOKUP($A15,[29]HISTOMAI24!$A$6:$AU$38,45,0)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VLOOKUP($A15,[29]HISTOMAI24!$A$6:$AU$38,7,0)</f>
        <v>0</v>
      </c>
      <c r="Q15" s="36">
        <f>VLOOKUP($A15,[29]HISTOMAI24!$A$6:$AU$38,23,0)</f>
        <v>0</v>
      </c>
      <c r="R15" s="36">
        <f>VLOOKUP($A15,[29]HISTOMAI24!$A$6:$AU$38,46,0)</f>
        <v>0</v>
      </c>
      <c r="S15" s="36">
        <f>VLOOKUP($A15,[29]HISTOMAI24!$A$6:$AU$38,26,0)</f>
        <v>1000000</v>
      </c>
      <c r="T15" s="36">
        <f>VLOOKUP($A15,[29]HISTOMAI24!$A$6:$BG$38,58,0)</f>
        <v>70000</v>
      </c>
      <c r="U15" s="36">
        <f>VLOOKUP($A15,[29]HISTOMAI24!$A$6:$AU$38,28,0)</f>
        <v>0</v>
      </c>
      <c r="V15" s="36">
        <f>VLOOKUP($A15,[29]HISTOMAI24!$A$6:$AU$38,19,0)</f>
        <v>0</v>
      </c>
      <c r="W15" s="36">
        <f>VLOOKUP($A15,[29]HISTOMAI24!$A$6:$AU$38,20,0)</f>
        <v>0</v>
      </c>
      <c r="X15" s="36" t="str">
        <f>VLOOKUP($A15,[29]HISTOMAI24!$A$6:$AU$38,27,0)</f>
        <v>BQNAUE</v>
      </c>
      <c r="Y15" s="36">
        <f>VLOOKUP($A15,[29]HISTOMAI24!$A$6:$BM$38,33,0)</f>
        <v>0</v>
      </c>
      <c r="Z15" s="36">
        <f>VLOOKUP($A15,[29]HISTOMAI24!$A$6:$BM$38,65,0)</f>
        <v>0</v>
      </c>
      <c r="AA15" s="36"/>
      <c r="AB15" s="36">
        <f>VLOOKUP($A15,[29]HISTOMAI24!$A$6:$AU$38,43,0)</f>
        <v>0</v>
      </c>
      <c r="AC15" s="36">
        <f>VLOOKUP($A15,[29]HISTOMAI24!$A$6:$AU$38,44,0)</f>
        <v>0</v>
      </c>
      <c r="AD15" s="36">
        <f>VLOOKUP($A15,[29]HISTOMAI24!$A$6:$AU$38,47,0)</f>
        <v>0</v>
      </c>
      <c r="AE15" s="36">
        <f>VLOOKUP(A15,[29]HISTOMAI24!$A$6:$BB$38,54,0)</f>
        <v>0</v>
      </c>
      <c r="AF15" s="36">
        <f>VLOOKUP($A15,[29]HISTOMAI24!$A$6:$CB$38,60,0)</f>
        <v>0</v>
      </c>
      <c r="AG15" s="36">
        <f>VLOOKUP($A15,[29]HISTOMAI24!$A$6:$CB$38,61,0)</f>
        <v>0</v>
      </c>
      <c r="AH15" s="36">
        <f>VLOOKUP($A15,[29]HISTOMAI24!$A$6:$CB$38,62,0)</f>
        <v>0</v>
      </c>
      <c r="AI15" s="36">
        <f>VLOOKUP($A15,[29]HISTOMAI24!$A$6:$CB$38,63,0)</f>
        <v>0</v>
      </c>
      <c r="AJ15" s="36">
        <f>VLOOKUP($A15,[29]HISTOMAI24!$A$6:$CB$38,64,0)</f>
        <v>0</v>
      </c>
      <c r="AK15" s="36">
        <f>VLOOKUP($A15,[29]HISTOMAI24!$A$6:$CB$38,65,0)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VLOOKUP($A16,[29]HISTOMAI24!$A$6:$BA$38,48,0)</f>
        <v>0</v>
      </c>
      <c r="F16" s="36">
        <f>MVTAVRIL24!I16-E16+L16</f>
        <v>1048858.5532291629</v>
      </c>
      <c r="G16" s="5">
        <f>IF(MVTAVRIL24!I16+L16&gt;700000,(MVTAVRIL24!I16-E16+L16),0)</f>
        <v>1048858.5532291629</v>
      </c>
      <c r="H16" s="36">
        <f t="shared" si="0"/>
        <v>3095.017197090795</v>
      </c>
      <c r="I16" s="6">
        <f t="shared" si="2"/>
        <v>1051953.5704262538</v>
      </c>
      <c r="J16" s="36">
        <f>VLOOKUP($A16,[29]HISTOMAI24!$A$6:$AQ$42,22,0)</f>
        <v>0</v>
      </c>
      <c r="K16" s="36">
        <f>VLOOKUP($A16,[29]HISTOMAI24!$A$6:$AU$38,45,0)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VLOOKUP($A16,[29]HISTOMAI24!$A$6:$AU$38,7,0)</f>
        <v>0</v>
      </c>
      <c r="Q16" s="36">
        <f>VLOOKUP($A16,[29]HISTOMAI24!$A$6:$AU$38,23,0)</f>
        <v>0</v>
      </c>
      <c r="R16" s="36">
        <f>VLOOKUP($A16,[29]HISTOMAI24!$A$6:$AU$38,46,0)</f>
        <v>0</v>
      </c>
      <c r="S16" s="36">
        <f>VLOOKUP($A16,[29]HISTOMAI24!$A$6:$AU$38,26,0)</f>
        <v>0</v>
      </c>
      <c r="T16" s="36">
        <f>VLOOKUP($A16,[29]HISTOMAI24!$A$6:$BG$38,58,0)</f>
        <v>0</v>
      </c>
      <c r="U16" s="36">
        <f>VLOOKUP($A16,[29]HISTOMAI24!$A$6:$AU$38,28,0)</f>
        <v>0</v>
      </c>
      <c r="V16" s="36">
        <f>VLOOKUP($A16,[29]HISTOMAI24!$A$6:$AU$38,19,0)</f>
        <v>0</v>
      </c>
      <c r="W16" s="36">
        <f>VLOOKUP($A16,[29]HISTOMAI24!$A$6:$AU$38,20,0)</f>
        <v>0</v>
      </c>
      <c r="X16" s="36">
        <f>VLOOKUP($A16,[29]HISTOMAI24!$A$6:$AU$38,27,0)</f>
        <v>0</v>
      </c>
      <c r="Y16" s="36">
        <f>VLOOKUP($A16,[29]HISTOMAI24!$A$6:$BM$38,33,0)</f>
        <v>0</v>
      </c>
      <c r="Z16" s="36">
        <f>VLOOKUP($A16,[29]HISTOMAI24!$A$6:$BM$38,65,0)</f>
        <v>0</v>
      </c>
      <c r="AA16" s="36"/>
      <c r="AB16" s="36">
        <f>VLOOKUP($A16,[29]HISTOMAI24!$A$6:$AU$38,43,0)</f>
        <v>0</v>
      </c>
      <c r="AC16" s="36">
        <f>VLOOKUP($A16,[29]HISTOMAI24!$A$6:$AU$38,44,0)</f>
        <v>0</v>
      </c>
      <c r="AD16" s="36">
        <f>VLOOKUP($A16,[29]HISTOMAI24!$A$6:$AU$38,47,0)</f>
        <v>0</v>
      </c>
      <c r="AE16" s="36">
        <f>VLOOKUP(A16,[29]HISTOMAI24!$A$6:$BB$38,54,0)</f>
        <v>0</v>
      </c>
      <c r="AF16" s="36">
        <f>VLOOKUP($A16,[29]HISTOMAI24!$A$6:$CB$38,60,0)</f>
        <v>0</v>
      </c>
      <c r="AG16" s="36">
        <f>VLOOKUP($A16,[29]HISTOMAI24!$A$6:$CB$38,61,0)</f>
        <v>0</v>
      </c>
      <c r="AH16" s="36">
        <f>VLOOKUP($A16,[29]HISTOMAI24!$A$6:$CB$38,62,0)</f>
        <v>0</v>
      </c>
      <c r="AI16" s="36">
        <f>VLOOKUP($A16,[29]HISTOMAI24!$A$6:$CB$38,63,0)</f>
        <v>0</v>
      </c>
      <c r="AJ16" s="36">
        <f>VLOOKUP($A16,[29]HISTOMAI24!$A$6:$CB$38,64,0)</f>
        <v>0</v>
      </c>
      <c r="AK16" s="36">
        <f>VLOOKUP($A16,[29]HISTOMAI24!$A$6:$CB$38,65,0)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VLOOKUP($A17,[29]HISTOMAI24!$A$6:$BA$38,48,0)</f>
        <v>0</v>
      </c>
      <c r="F17" s="36">
        <f>MVTAVRIL24!I17-E17+L17</f>
        <v>851429.67134556815</v>
      </c>
      <c r="G17" s="5">
        <f>IF(MVTAVRIL24!I17+L17&gt;700000,(MVTAVRIL24!I17-E17+L17),0)</f>
        <v>851429.67134556815</v>
      </c>
      <c r="H17" s="36">
        <f t="shared" si="0"/>
        <v>2512.4355107891656</v>
      </c>
      <c r="I17" s="6">
        <f t="shared" si="2"/>
        <v>853942.10685635731</v>
      </c>
      <c r="J17" s="36">
        <f>VLOOKUP($A17,[29]HISTOMAI24!$A$6:$AQ$42,22,0)</f>
        <v>0</v>
      </c>
      <c r="K17" s="36">
        <f>VLOOKUP($A17,[29]HISTOMAI24!$A$6:$AU$38,45,0)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VLOOKUP($A17,[29]HISTOMAI24!$A$6:$AU$38,7,0)</f>
        <v>0</v>
      </c>
      <c r="Q17" s="36">
        <f>VLOOKUP($A17,[29]HISTOMAI24!$A$6:$AU$38,23,0)</f>
        <v>0</v>
      </c>
      <c r="R17" s="36">
        <f>VLOOKUP($A17,[29]HISTOMAI24!$A$6:$AU$38,46,0)</f>
        <v>0</v>
      </c>
      <c r="S17" s="36">
        <f>VLOOKUP($A17,[29]HISTOMAI24!$A$6:$AU$38,26,0)</f>
        <v>0</v>
      </c>
      <c r="T17" s="36">
        <f>VLOOKUP($A17,[29]HISTOMAI24!$A$6:$BG$38,58,0)</f>
        <v>0</v>
      </c>
      <c r="U17" s="36">
        <f>VLOOKUP($A17,[29]HISTOMAI24!$A$6:$AU$38,28,0)</f>
        <v>0</v>
      </c>
      <c r="V17" s="36">
        <f>VLOOKUP($A17,[29]HISTOMAI24!$A$6:$AU$38,19,0)</f>
        <v>0</v>
      </c>
      <c r="W17" s="36">
        <f>VLOOKUP($A17,[29]HISTOMAI24!$A$6:$AU$38,20,0)</f>
        <v>0</v>
      </c>
      <c r="X17" s="36">
        <f>VLOOKUP($A17,[29]HISTOMAI24!$A$6:$AU$38,27,0)</f>
        <v>0</v>
      </c>
      <c r="Y17" s="36">
        <f>VLOOKUP($A17,[29]HISTOMAI24!$A$6:$BM$38,33,0)</f>
        <v>0</v>
      </c>
      <c r="Z17" s="36">
        <f>VLOOKUP($A17,[29]HISTOMAI24!$A$6:$BM$38,65,0)</f>
        <v>0</v>
      </c>
      <c r="AA17" s="36"/>
      <c r="AB17" s="36">
        <f>VLOOKUP($A17,[29]HISTOMAI24!$A$6:$AU$38,43,0)</f>
        <v>0</v>
      </c>
      <c r="AC17" s="36">
        <f>VLOOKUP($A17,[29]HISTOMAI24!$A$6:$AU$38,44,0)</f>
        <v>0</v>
      </c>
      <c r="AD17" s="36">
        <f>VLOOKUP($A17,[29]HISTOMAI24!$A$6:$AU$38,47,0)</f>
        <v>0</v>
      </c>
      <c r="AE17" s="36">
        <f>VLOOKUP(A17,[29]HISTOMAI24!$A$6:$BB$38,54,0)</f>
        <v>0</v>
      </c>
      <c r="AF17" s="36">
        <f>VLOOKUP($A17,[29]HISTOMAI24!$A$6:$CB$38,60,0)</f>
        <v>0</v>
      </c>
      <c r="AG17" s="36">
        <f>VLOOKUP($A17,[29]HISTOMAI24!$A$6:$CB$38,61,0)</f>
        <v>0</v>
      </c>
      <c r="AH17" s="36">
        <f>VLOOKUP($A17,[29]HISTOMAI24!$A$6:$CB$38,62,0)</f>
        <v>0</v>
      </c>
      <c r="AI17" s="36">
        <f>VLOOKUP($A17,[29]HISTOMAI24!$A$6:$CB$38,63,0)</f>
        <v>0</v>
      </c>
      <c r="AJ17" s="36">
        <f>VLOOKUP($A17,[29]HISTOMAI24!$A$6:$CB$38,64,0)</f>
        <v>0</v>
      </c>
      <c r="AK17" s="36">
        <f>VLOOKUP($A17,[29]HISTOMAI24!$A$6:$CB$38,65,0)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VLOOKUP($A18,[29]HISTOMAI24!$A$6:$BA$38,48,0)</f>
        <v>0</v>
      </c>
      <c r="F18" s="36">
        <f>MVTAVRIL24!I18-E18+L18</f>
        <v>907669.02055502485</v>
      </c>
      <c r="G18" s="5">
        <f>IF(MVTAVRIL24!I18+L18&gt;700000,(MVTAVRIL24!I18-E18+L18),0)</f>
        <v>907669.02055502485</v>
      </c>
      <c r="H18" s="36">
        <f t="shared" si="0"/>
        <v>2678.38901559739</v>
      </c>
      <c r="I18" s="6">
        <f t="shared" si="2"/>
        <v>910347.40957062226</v>
      </c>
      <c r="J18" s="36">
        <f>VLOOKUP($A18,[29]HISTOMAI24!$A$6:$AQ$42,22,0)</f>
        <v>0</v>
      </c>
      <c r="K18" s="36">
        <f>VLOOKUP($A18,[29]HISTOMAI24!$A$6:$AU$38,45,0)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VLOOKUP($A18,[29]HISTOMAI24!$A$6:$AU$38,7,0)</f>
        <v>3000</v>
      </c>
      <c r="Q18" s="36">
        <f>VLOOKUP($A18,[29]HISTOMAI24!$A$6:$AU$38,23,0)</f>
        <v>0</v>
      </c>
      <c r="R18" s="36">
        <f>VLOOKUP($A18,[29]HISTOMAI24!$A$6:$AU$38,46,0)</f>
        <v>0</v>
      </c>
      <c r="S18" s="36">
        <f>VLOOKUP($A18,[29]HISTOMAI24!$A$6:$AU$38,26,0)</f>
        <v>350000</v>
      </c>
      <c r="T18" s="36">
        <f>VLOOKUP($A18,[29]HISTOMAI24!$A$6:$BG$38,58,0)</f>
        <v>14000</v>
      </c>
      <c r="U18" s="36">
        <f>VLOOKUP($A18,[29]HISTOMAI24!$A$6:$AU$38,28,0)</f>
        <v>0</v>
      </c>
      <c r="V18" s="36">
        <f>VLOOKUP($A18,[29]HISTOMAI24!$A$6:$AU$38,19,0)</f>
        <v>1000000</v>
      </c>
      <c r="W18" s="36" t="str">
        <f>VLOOKUP($A18,[29]HISTOMAI24!$A$6:$AU$38,20,0)</f>
        <v>BANQUE</v>
      </c>
      <c r="X18" s="36" t="str">
        <f>VLOOKUP($A18,[29]HISTOMAI24!$A$6:$AU$38,27,0)</f>
        <v>BANQUE</v>
      </c>
      <c r="Y18" s="36">
        <f>VLOOKUP($A18,[29]HISTOMAI24!$A$6:$BM$38,33,0)</f>
        <v>0</v>
      </c>
      <c r="Z18" s="36">
        <f>VLOOKUP($A18,[29]HISTOMAI24!$A$6:$BM$38,65,0)</f>
        <v>0</v>
      </c>
      <c r="AA18" s="36"/>
      <c r="AB18" s="36">
        <f>VLOOKUP($A18,[29]HISTOMAI24!$A$6:$AU$38,43,0)</f>
        <v>0</v>
      </c>
      <c r="AC18" s="36">
        <f>VLOOKUP($A18,[29]HISTOMAI24!$A$6:$AU$38,44,0)</f>
        <v>0</v>
      </c>
      <c r="AD18" s="36">
        <f>VLOOKUP($A18,[29]HISTOMAI24!$A$6:$AU$38,47,0)</f>
        <v>0</v>
      </c>
      <c r="AE18" s="36">
        <f>VLOOKUP(A18,[29]HISTOMAI24!$A$6:$BB$38,54,0)</f>
        <v>0</v>
      </c>
      <c r="AF18" s="36">
        <f>VLOOKUP($A18,[29]HISTOMAI24!$A$6:$CB$38,60,0)</f>
        <v>0</v>
      </c>
      <c r="AG18" s="36">
        <f>VLOOKUP($A18,[29]HISTOMAI24!$A$6:$CB$38,61,0)</f>
        <v>0</v>
      </c>
      <c r="AH18" s="36">
        <f>VLOOKUP($A18,[29]HISTOMAI24!$A$6:$CB$38,62,0)</f>
        <v>0</v>
      </c>
      <c r="AI18" s="36">
        <f>VLOOKUP($A18,[29]HISTOMAI24!$A$6:$CB$38,63,0)</f>
        <v>0</v>
      </c>
      <c r="AJ18" s="36">
        <f>VLOOKUP($A18,[29]HISTOMAI24!$A$6:$CB$38,64,0)</f>
        <v>0</v>
      </c>
      <c r="AK18" s="36">
        <f>VLOOKUP($A18,[29]HISTOMAI24!$A$6:$CB$38,65,0)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MVTAVRIL24!I19-E19+L19</f>
        <v>676217</v>
      </c>
      <c r="G19" s="5">
        <f>IF(MVTAVRIL24!I19+L19&gt;700000,(MVTAVRIL24!I19-E19+L19),0)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MVTAVRIL24!I20-E20+L20</f>
        <v>95000</v>
      </c>
      <c r="G20" s="5">
        <f>IF(MVTAVRIL24!I20+L20&gt;700000,(MVTAVRIL24!I20-E20+L20),0)</f>
        <v>0</v>
      </c>
      <c r="H20" s="36">
        <f t="shared" si="0"/>
        <v>0</v>
      </c>
      <c r="I20" s="6">
        <f t="shared" si="2"/>
        <v>95000</v>
      </c>
      <c r="J20" s="36">
        <f>VLOOKUP($A20,[29]HISTOMAI24!$A$6:$AQ$42,22,0)</f>
        <v>0</v>
      </c>
      <c r="K20" s="36">
        <f>VLOOKUP($A20,[29]HISTOMAI24!$A$6:$AU$38,45,0)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VLOOKUP($A20,[29]HISTOMAI24!$A$6:$AU$38,7,0)</f>
        <v>0</v>
      </c>
      <c r="Q20" s="36">
        <f>VLOOKUP($A20,[29]HISTOMAI24!$A$6:$AU$38,23,0)</f>
        <v>0</v>
      </c>
      <c r="R20" s="36">
        <f>VLOOKUP($A20,[29]HISTOMAI24!$A$6:$AU$38,46,0)</f>
        <v>0</v>
      </c>
      <c r="S20" s="36">
        <f>VLOOKUP($A20,[29]HISTOMAI24!$A$6:$AU$38,26,0)</f>
        <v>0</v>
      </c>
      <c r="T20" s="36">
        <f>VLOOKUP($A20,[29]HISTOMAI24!$A$6:$BG$38,58,0)</f>
        <v>0</v>
      </c>
      <c r="U20" s="36">
        <f>VLOOKUP($A20,[29]HISTOMAI24!$A$6:$AU$38,28,0)</f>
        <v>0</v>
      </c>
      <c r="V20" s="36">
        <f>VLOOKUP($A20,[29]HISTOMAI24!$A$6:$AU$38,19,0)</f>
        <v>0</v>
      </c>
      <c r="W20" s="36">
        <f>VLOOKUP($A20,[29]HISTOMAI24!$A$6:$AU$38,20,0)</f>
        <v>0</v>
      </c>
      <c r="X20" s="36">
        <f>VLOOKUP($A20,[29]HISTOMAI24!$A$6:$AU$38,27,0)</f>
        <v>0</v>
      </c>
      <c r="Y20" s="36">
        <f>VLOOKUP($A20,[29]HISTOMAI24!$A$6:$BM$38,33,0)</f>
        <v>0</v>
      </c>
      <c r="Z20" s="36">
        <f>VLOOKUP($A20,[29]HISTOMAI24!$A$6:$BM$38,65,0)</f>
        <v>0</v>
      </c>
      <c r="AA20" s="36"/>
      <c r="AB20" s="36">
        <f>VLOOKUP($A20,[29]HISTOMAI24!$A$6:$AU$38,43,0)</f>
        <v>0</v>
      </c>
      <c r="AC20" s="36">
        <f>VLOOKUP($A20,[29]HISTOMAI24!$A$6:$AU$38,44,0)</f>
        <v>0</v>
      </c>
      <c r="AD20" s="36">
        <f>VLOOKUP($A20,[29]HISTOMAI24!$A$6:$AU$38,47,0)</f>
        <v>0</v>
      </c>
      <c r="AE20" s="36">
        <f>VLOOKUP(A20,[29]HISTOMAI24!$A$6:$BB$38,54,0)</f>
        <v>0</v>
      </c>
      <c r="AF20" s="36">
        <f>VLOOKUP($A20,[29]HISTOMAI24!$A$6:$CB$38,60,0)</f>
        <v>0</v>
      </c>
      <c r="AG20" s="36">
        <f>VLOOKUP($A20,[29]HISTOMAI24!$A$6:$CB$38,61,0)</f>
        <v>0</v>
      </c>
      <c r="AH20" s="36">
        <f>VLOOKUP($A20,[29]HISTOMAI24!$A$6:$CB$38,62,0)</f>
        <v>0</v>
      </c>
      <c r="AI20" s="36">
        <f>VLOOKUP($A20,[29]HISTOMAI24!$A$6:$CB$38,63,0)</f>
        <v>0</v>
      </c>
      <c r="AJ20" s="36">
        <f>VLOOKUP($A20,[29]HISTOMAI24!$A$6:$CB$38,64,0)</f>
        <v>0</v>
      </c>
      <c r="AK20" s="36">
        <f>VLOOKUP($A20,[29]HISTOMAI24!$A$6:$CB$38,65,0)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MVTAVRIL24!I21-E21+L21</f>
        <v>873851.96899536892</v>
      </c>
      <c r="G21" s="5">
        <f>IF(MVTAVRIL24!I21+L21&gt;700000,(MVTAVRIL24!I21-E21+L21),0)</f>
        <v>873851.96899536892</v>
      </c>
      <c r="H21" s="36">
        <f t="shared" si="0"/>
        <v>2578.6001967811567</v>
      </c>
      <c r="I21" s="6">
        <f t="shared" si="2"/>
        <v>876430.56919215003</v>
      </c>
      <c r="J21" s="36">
        <f>VLOOKUP($A21,[29]HISTOMAI24!$A$6:$AQ$42,22,0)</f>
        <v>0</v>
      </c>
      <c r="K21" s="36">
        <f>VLOOKUP($A21,[29]HISTOMAI24!$A$6:$AU$38,45,0)</f>
        <v>24500</v>
      </c>
      <c r="L21" s="36">
        <f t="shared" si="3"/>
        <v>18500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VLOOKUP($A21,[29]HISTOMAI24!$A$6:$AU$38,7,0)</f>
        <v>0</v>
      </c>
      <c r="Q21" s="36">
        <f>VLOOKUP($A21,[29]HISTOMAI24!$A$6:$AU$38,23,0)</f>
        <v>0</v>
      </c>
      <c r="R21" s="36">
        <f>VLOOKUP($A21,[29]HISTOMAI24!$A$6:$AU$38,46,0)</f>
        <v>0</v>
      </c>
      <c r="S21" s="36">
        <f>VLOOKUP($A21,[29]HISTOMAI24!$A$6:$AU$38,26,0)</f>
        <v>0</v>
      </c>
      <c r="T21" s="36">
        <f>VLOOKUP($A21,[29]HISTOMAI24!$A$6:$BG$38,58,0)</f>
        <v>0</v>
      </c>
      <c r="U21" s="36">
        <f>VLOOKUP($A21,[29]HISTOMAI24!$A$6:$AU$38,28,0)</f>
        <v>0</v>
      </c>
      <c r="V21" s="36">
        <f>VLOOKUP($A21,[29]HISTOMAI24!$A$6:$AU$38,19,0)</f>
        <v>0</v>
      </c>
      <c r="W21" s="36">
        <f>VLOOKUP($A21,[29]HISTOMAI24!$A$6:$AU$38,20,0)</f>
        <v>0</v>
      </c>
      <c r="X21" s="36">
        <f>VLOOKUP($A21,[29]HISTOMAI24!$A$6:$AU$38,27,0)</f>
        <v>0</v>
      </c>
      <c r="Y21" s="36">
        <f>VLOOKUP($A21,[29]HISTOMAI24!$A$6:$BM$38,33,0)</f>
        <v>0</v>
      </c>
      <c r="Z21" s="36">
        <f>VLOOKUP($A21,[29]HISTOMAI24!$A$6:$BM$38,65,0)</f>
        <v>0</v>
      </c>
      <c r="AA21" s="36"/>
      <c r="AB21" s="36">
        <f>VLOOKUP($A21,[29]HISTOMAI24!$A$6:$AU$38,43,0)</f>
        <v>0</v>
      </c>
      <c r="AC21" s="36">
        <f>VLOOKUP($A21,[29]HISTOMAI24!$A$6:$AU$38,44,0)</f>
        <v>0</v>
      </c>
      <c r="AD21" s="36">
        <f>VLOOKUP($A21,[29]HISTOMAI24!$A$6:$AU$38,47,0)</f>
        <v>0</v>
      </c>
      <c r="AE21" s="36">
        <f>VLOOKUP(A21,[29]HISTOMAI24!$A$6:$BB$38,54,0)</f>
        <v>0</v>
      </c>
      <c r="AF21" s="36">
        <f>VLOOKUP($A21,[29]HISTOMAI24!$A$6:$CB$38,60,0)</f>
        <v>0</v>
      </c>
      <c r="AG21" s="36">
        <f>VLOOKUP($A21,[29]HISTOMAI24!$A$6:$CB$38,61,0)</f>
        <v>0</v>
      </c>
      <c r="AH21" s="36">
        <f>VLOOKUP($A21,[29]HISTOMAI24!$A$6:$CB$38,62,0)</f>
        <v>0</v>
      </c>
      <c r="AI21" s="36">
        <f>VLOOKUP($A21,[29]HISTOMAI24!$A$6:$CB$38,63,0)</f>
        <v>0</v>
      </c>
      <c r="AJ21" s="36">
        <f>VLOOKUP($A21,[29]HISTOMAI24!$A$6:$CB$38,64,0)</f>
        <v>0</v>
      </c>
      <c r="AK21" s="36">
        <f>VLOOKUP($A21,[29]HISTOMAI24!$A$6:$CB$38,65,0)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MVTAVRIL24!I22-E22+L22</f>
        <v>842777.07147251477</v>
      </c>
      <c r="G22" s="5">
        <f>IF(MVTAVRIL24!I22+L22&gt;700000,(MVTAVRIL24!I22-E22+L22),0)</f>
        <v>842777.07147251477</v>
      </c>
      <c r="H22" s="36">
        <f t="shared" si="0"/>
        <v>2486.9030447343316</v>
      </c>
      <c r="I22" s="6">
        <f t="shared" si="2"/>
        <v>845263.97451724915</v>
      </c>
      <c r="J22" s="36">
        <f>VLOOKUP($A22,[29]HISTOMAI24!$A$6:$AQ$42,22,0)</f>
        <v>0</v>
      </c>
      <c r="K22" s="36">
        <f>VLOOKUP($A22,[29]HISTOMAI24!$A$6:$AU$38,45,0)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VLOOKUP($A22,[29]HISTOMAI24!$A$6:$AU$38,7,0)</f>
        <v>0</v>
      </c>
      <c r="Q22" s="36">
        <f>VLOOKUP($A22,[29]HISTOMAI24!$A$6:$AU$38,23,0)</f>
        <v>0</v>
      </c>
      <c r="R22" s="36">
        <f>VLOOKUP($A22,[29]HISTOMAI24!$A$6:$AU$38,46,0)</f>
        <v>0</v>
      </c>
      <c r="S22" s="36">
        <f>VLOOKUP($A22,[29]HISTOMAI24!$A$6:$AU$38,26,0)</f>
        <v>0</v>
      </c>
      <c r="T22" s="36">
        <f>VLOOKUP($A22,[29]HISTOMAI24!$A$6:$BG$38,58,0)</f>
        <v>0</v>
      </c>
      <c r="U22" s="36">
        <f>VLOOKUP($A22,[29]HISTOMAI24!$A$6:$AU$38,28,0)</f>
        <v>0</v>
      </c>
      <c r="V22" s="36">
        <f>VLOOKUP($A22,[29]HISTOMAI24!$A$6:$AU$38,19,0)</f>
        <v>0</v>
      </c>
      <c r="W22" s="36">
        <f>VLOOKUP($A22,[29]HISTOMAI24!$A$6:$AU$38,20,0)</f>
        <v>0</v>
      </c>
      <c r="X22" s="36">
        <f>VLOOKUP($A22,[29]HISTOMAI24!$A$6:$AU$38,27,0)</f>
        <v>0</v>
      </c>
      <c r="Y22" s="36">
        <f>VLOOKUP($A22,[29]HISTOMAI24!$A$6:$BM$38,33,0)</f>
        <v>0</v>
      </c>
      <c r="Z22" s="36">
        <f>VLOOKUP($A22,[29]HISTOMAI24!$A$6:$BM$38,65,0)</f>
        <v>0</v>
      </c>
      <c r="AA22" s="36"/>
      <c r="AB22" s="36">
        <f>VLOOKUP($A22,[29]HISTOMAI24!$A$6:$AU$38,43,0)</f>
        <v>0</v>
      </c>
      <c r="AC22" s="36">
        <f>VLOOKUP($A22,[29]HISTOMAI24!$A$6:$AU$38,44,0)</f>
        <v>0</v>
      </c>
      <c r="AD22" s="36">
        <f>VLOOKUP($A22,[29]HISTOMAI24!$A$6:$AU$38,47,0)</f>
        <v>0</v>
      </c>
      <c r="AE22" s="36">
        <f>VLOOKUP(A22,[29]HISTOMAI24!$A$6:$BB$38,54,0)</f>
        <v>0</v>
      </c>
      <c r="AF22" s="36">
        <f>VLOOKUP($A22,[29]HISTOMAI24!$A$6:$CB$38,60,0)</f>
        <v>0</v>
      </c>
      <c r="AG22" s="36">
        <f>VLOOKUP($A22,[29]HISTOMAI24!$A$6:$CB$38,61,0)</f>
        <v>0</v>
      </c>
      <c r="AH22" s="36">
        <f>VLOOKUP($A22,[29]HISTOMAI24!$A$6:$CB$38,62,0)</f>
        <v>0</v>
      </c>
      <c r="AI22" s="36">
        <f>VLOOKUP($A22,[29]HISTOMAI24!$A$6:$CB$38,63,0)</f>
        <v>0</v>
      </c>
      <c r="AJ22" s="36">
        <f>VLOOKUP($A22,[29]HISTOMAI24!$A$6:$CB$38,64,0)</f>
        <v>0</v>
      </c>
      <c r="AK22" s="36">
        <f>VLOOKUP($A22,[29]HISTOMAI24!$A$6:$CB$38,65,0)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MVTAVRIL24!I23-E23+L23</f>
        <v>948576.20918963733</v>
      </c>
      <c r="G23" s="5">
        <f>IF(MVTAVRIL24!I23+L23&gt;700000,(MVTAVRIL24!I23-E23+L23),0)</f>
        <v>948576.20918963733</v>
      </c>
      <c r="H23" s="36">
        <f t="shared" si="0"/>
        <v>2799.0997176448377</v>
      </c>
      <c r="I23" s="6">
        <f t="shared" si="2"/>
        <v>951375.30890728219</v>
      </c>
      <c r="J23" s="36">
        <f>VLOOKUP($A23,[29]HISTOMAI24!$A$6:$AQ$42,22,0)</f>
        <v>0</v>
      </c>
      <c r="K23" s="36">
        <f>VLOOKUP($A23,[29]HISTOMAI24!$A$6:$AU$38,45,0)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VLOOKUP($A23,[29]HISTOMAI24!$A$6:$AU$38,7,0)</f>
        <v>0</v>
      </c>
      <c r="Q23" s="36">
        <f>VLOOKUP($A23,[29]HISTOMAI24!$A$6:$AU$38,23,0)</f>
        <v>0</v>
      </c>
      <c r="R23" s="36">
        <f>VLOOKUP($A23,[29]HISTOMAI24!$A$6:$AU$38,46,0)</f>
        <v>0</v>
      </c>
      <c r="S23" s="36">
        <f>VLOOKUP($A23,[29]HISTOMAI24!$A$6:$AU$38,26,0)</f>
        <v>0</v>
      </c>
      <c r="T23" s="36">
        <f>VLOOKUP($A23,[29]HISTOMAI24!$A$6:$BG$38,58,0)</f>
        <v>0</v>
      </c>
      <c r="U23" s="36">
        <f>VLOOKUP($A23,[29]HISTOMAI24!$A$6:$AU$38,28,0)</f>
        <v>0</v>
      </c>
      <c r="V23" s="36">
        <f>VLOOKUP($A23,[29]HISTOMAI24!$A$6:$AU$38,19,0)</f>
        <v>0</v>
      </c>
      <c r="W23" s="36">
        <f>VLOOKUP($A23,[29]HISTOMAI24!$A$6:$AU$38,20,0)</f>
        <v>0</v>
      </c>
      <c r="X23" s="36">
        <f>VLOOKUP($A23,[29]HISTOMAI24!$A$6:$AU$38,27,0)</f>
        <v>0</v>
      </c>
      <c r="Y23" s="36">
        <f>VLOOKUP($A23,[29]HISTOMAI24!$A$6:$BM$38,33,0)</f>
        <v>0</v>
      </c>
      <c r="Z23" s="36">
        <f>VLOOKUP($A23,[29]HISTOMAI24!$A$6:$BM$38,65,0)</f>
        <v>0</v>
      </c>
      <c r="AA23" s="36"/>
      <c r="AB23" s="36">
        <f>VLOOKUP($A23,[29]HISTOMAI24!$A$6:$AU$38,43,0)</f>
        <v>0</v>
      </c>
      <c r="AC23" s="36">
        <f>VLOOKUP($A23,[29]HISTOMAI24!$A$6:$AU$38,44,0)</f>
        <v>0</v>
      </c>
      <c r="AD23" s="36">
        <f>VLOOKUP($A23,[29]HISTOMAI24!$A$6:$AU$38,47,0)</f>
        <v>0</v>
      </c>
      <c r="AE23" s="36">
        <f>VLOOKUP(A23,[29]HISTOMAI24!$A$6:$BB$38,54,0)</f>
        <v>0</v>
      </c>
      <c r="AF23" s="36">
        <f>VLOOKUP($A23,[29]HISTOMAI24!$A$6:$CB$38,60,0)</f>
        <v>0</v>
      </c>
      <c r="AG23" s="36">
        <f>VLOOKUP($A23,[29]HISTOMAI24!$A$6:$CB$38,61,0)</f>
        <v>0</v>
      </c>
      <c r="AH23" s="36">
        <f>VLOOKUP($A23,[29]HISTOMAI24!$A$6:$CB$38,62,0)</f>
        <v>0</v>
      </c>
      <c r="AI23" s="36">
        <f>VLOOKUP($A23,[29]HISTOMAI24!$A$6:$CB$38,63,0)</f>
        <v>0</v>
      </c>
      <c r="AJ23" s="36">
        <f>VLOOKUP($A23,[29]HISTOMAI24!$A$6:$CB$38,64,0)</f>
        <v>0</v>
      </c>
      <c r="AK23" s="36">
        <f>VLOOKUP($A23,[29]HISTOMAI24!$A$6:$CB$38,65,0)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MVTAVRIL24!I24-E24+L24</f>
        <v>1141559.0010468005</v>
      </c>
      <c r="G24" s="5">
        <f>IF(MVTAVRIL24!I24+L24&gt;700000,(MVTAVRIL24!I24-E24+L24),0)</f>
        <v>1141559.0010468005</v>
      </c>
      <c r="H24" s="36">
        <f t="shared" si="0"/>
        <v>3368.5616891391142</v>
      </c>
      <c r="I24" s="6">
        <f t="shared" si="2"/>
        <v>1144927.5627359396</v>
      </c>
      <c r="J24" s="36">
        <f>VLOOKUP($A24,[29]HISTOMAI24!$A$6:$AQ$42,22,0)</f>
        <v>0</v>
      </c>
      <c r="K24" s="36">
        <f>VLOOKUP($A24,[29]HISTOMAI24!$A$6:$AU$38,45,0)</f>
        <v>45000</v>
      </c>
      <c r="L24" s="36">
        <f t="shared" si="3"/>
        <v>39000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VLOOKUP($A24,[29]HISTOMAI24!$A$6:$AU$38,7,0)</f>
        <v>0</v>
      </c>
      <c r="Q24" s="36">
        <f>VLOOKUP($A24,[29]HISTOMAI24!$A$6:$AU$38,23,0)</f>
        <v>0</v>
      </c>
      <c r="R24" s="36">
        <f>VLOOKUP($A24,[29]HISTOMAI24!$A$6:$AU$38,46,0)</f>
        <v>0</v>
      </c>
      <c r="S24" s="36">
        <f>VLOOKUP($A24,[29]HISTOMAI24!$A$6:$AU$38,26,0)</f>
        <v>0</v>
      </c>
      <c r="T24" s="36">
        <f>VLOOKUP($A24,[29]HISTOMAI24!$A$6:$BG$38,58,0)</f>
        <v>0</v>
      </c>
      <c r="U24" s="36">
        <f>VLOOKUP($A24,[29]HISTOMAI24!$A$6:$AU$38,28,0)</f>
        <v>0</v>
      </c>
      <c r="V24" s="36">
        <f>VLOOKUP($A24,[29]HISTOMAI24!$A$6:$AU$38,19,0)</f>
        <v>0</v>
      </c>
      <c r="W24" s="36">
        <f>VLOOKUP($A24,[29]HISTOMAI24!$A$6:$AU$38,20,0)</f>
        <v>0</v>
      </c>
      <c r="X24" s="36">
        <f>VLOOKUP($A24,[29]HISTOMAI24!$A$6:$AU$38,27,0)</f>
        <v>0</v>
      </c>
      <c r="Y24" s="36">
        <f>VLOOKUP($A24,[29]HISTOMAI24!$A$6:$BM$38,33,0)</f>
        <v>0</v>
      </c>
      <c r="Z24" s="36">
        <f>VLOOKUP($A24,[29]HISTOMAI24!$A$6:$BM$38,65,0)</f>
        <v>0</v>
      </c>
      <c r="AA24" s="36"/>
      <c r="AB24" s="36">
        <f>VLOOKUP($A24,[29]HISTOMAI24!$A$6:$AU$38,43,0)</f>
        <v>0</v>
      </c>
      <c r="AC24" s="36">
        <f>VLOOKUP($A24,[29]HISTOMAI24!$A$6:$AU$38,44,0)</f>
        <v>0</v>
      </c>
      <c r="AD24" s="36">
        <f>VLOOKUP($A24,[29]HISTOMAI24!$A$6:$AU$38,47,0)</f>
        <v>0</v>
      </c>
      <c r="AE24" s="36">
        <f>VLOOKUP(A24,[29]HISTOMAI24!$A$6:$BB$38,54,0)</f>
        <v>0</v>
      </c>
      <c r="AF24" s="36">
        <f>VLOOKUP($A24,[29]HISTOMAI24!$A$6:$CB$38,60,0)</f>
        <v>0</v>
      </c>
      <c r="AG24" s="36">
        <f>VLOOKUP($A24,[29]HISTOMAI24!$A$6:$CB$38,61,0)</f>
        <v>0</v>
      </c>
      <c r="AH24" s="36">
        <f>VLOOKUP($A24,[29]HISTOMAI24!$A$6:$CB$38,62,0)</f>
        <v>0</v>
      </c>
      <c r="AI24" s="36">
        <f>VLOOKUP($A24,[29]HISTOMAI24!$A$6:$CB$38,63,0)</f>
        <v>0</v>
      </c>
      <c r="AJ24" s="36">
        <f>VLOOKUP($A24,[29]HISTOMAI24!$A$6:$CB$38,64,0)</f>
        <v>0</v>
      </c>
      <c r="AK24" s="36">
        <f>VLOOKUP($A24,[29]HISTOMAI24!$A$6:$CB$38,65,0)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MVTAVRIL24!I25-E25+L25</f>
        <v>980102.52476419345</v>
      </c>
      <c r="G25" s="5">
        <f>IF(MVTAVRIL24!I25+L25&gt;700000,(MVTAVRIL24!I25-E25+L25),0)</f>
        <v>980102.52476419345</v>
      </c>
      <c r="H25" s="36">
        <f t="shared" si="0"/>
        <v>2892.1289336089503</v>
      </c>
      <c r="I25" s="6">
        <f t="shared" si="2"/>
        <v>982994.65369780245</v>
      </c>
      <c r="J25" s="36">
        <f>VLOOKUP($A25,[29]HISTOMAI24!$A$6:$AQ$42,22,0)</f>
        <v>0</v>
      </c>
      <c r="K25" s="36">
        <f>VLOOKUP($A25,[29]HISTOMAI24!$A$6:$AU$38,45,0)</f>
        <v>50000</v>
      </c>
      <c r="L25" s="36">
        <f t="shared" si="3"/>
        <v>44000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VLOOKUP($A25,[29]HISTOMAI24!$A$6:$AU$38,7,0)</f>
        <v>0</v>
      </c>
      <c r="Q25" s="36">
        <f>VLOOKUP($A25,[29]HISTOMAI24!$A$6:$AU$38,23,0)</f>
        <v>0</v>
      </c>
      <c r="R25" s="36">
        <f>VLOOKUP($A25,[29]HISTOMAI24!$A$6:$AU$38,46,0)</f>
        <v>0</v>
      </c>
      <c r="S25" s="36">
        <f>VLOOKUP($A25,[29]HISTOMAI24!$A$6:$AU$38,26,0)</f>
        <v>0</v>
      </c>
      <c r="T25" s="36">
        <f>VLOOKUP($A25,[29]HISTOMAI24!$A$6:$BG$38,58,0)</f>
        <v>0</v>
      </c>
      <c r="U25" s="36">
        <f>VLOOKUP($A25,[29]HISTOMAI24!$A$6:$AU$38,28,0)</f>
        <v>0</v>
      </c>
      <c r="V25" s="36">
        <f>VLOOKUP($A25,[29]HISTOMAI24!$A$6:$AU$38,19,0)</f>
        <v>0</v>
      </c>
      <c r="W25" s="36">
        <f>VLOOKUP($A25,[29]HISTOMAI24!$A$6:$AU$38,20,0)</f>
        <v>0</v>
      </c>
      <c r="X25" s="36">
        <f>VLOOKUP($A25,[29]HISTOMAI24!$A$6:$AU$38,27,0)</f>
        <v>0</v>
      </c>
      <c r="Y25" s="36">
        <f>VLOOKUP($A25,[29]HISTOMAI24!$A$6:$BM$38,33,0)</f>
        <v>0</v>
      </c>
      <c r="Z25" s="36">
        <f>VLOOKUP($A25,[29]HISTOMAI24!$A$6:$BM$38,65,0)</f>
        <v>0</v>
      </c>
      <c r="AA25" s="36"/>
      <c r="AB25" s="36">
        <f>VLOOKUP($A25,[29]HISTOMAI24!$A$6:$AU$38,43,0)</f>
        <v>0</v>
      </c>
      <c r="AC25" s="36">
        <f>VLOOKUP($A25,[29]HISTOMAI24!$A$6:$AU$38,44,0)</f>
        <v>0</v>
      </c>
      <c r="AD25" s="36">
        <f>VLOOKUP($A25,[29]HISTOMAI24!$A$6:$AU$38,47,0)</f>
        <v>0</v>
      </c>
      <c r="AE25" s="36">
        <f>VLOOKUP(A25,[29]HISTOMAI24!$A$6:$BB$38,54,0)</f>
        <v>0</v>
      </c>
      <c r="AF25" s="36">
        <f>VLOOKUP($A25,[29]HISTOMAI24!$A$6:$CB$38,60,0)</f>
        <v>0</v>
      </c>
      <c r="AG25" s="36">
        <f>VLOOKUP($A25,[29]HISTOMAI24!$A$6:$CB$38,61,0)</f>
        <v>0</v>
      </c>
      <c r="AH25" s="36">
        <f>VLOOKUP($A25,[29]HISTOMAI24!$A$6:$CB$38,62,0)</f>
        <v>0</v>
      </c>
      <c r="AI25" s="36">
        <f>VLOOKUP($A25,[29]HISTOMAI24!$A$6:$CB$38,63,0)</f>
        <v>0</v>
      </c>
      <c r="AJ25" s="36">
        <f>VLOOKUP($A25,[29]HISTOMAI24!$A$6:$CB$38,64,0)</f>
        <v>0</v>
      </c>
      <c r="AK25" s="36">
        <f>VLOOKUP($A25,[29]HISTOMAI24!$A$6:$CB$38,65,0)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MVTAVRIL24!I26-E26+L26</f>
        <v>860778.18276075949</v>
      </c>
      <c r="G26" s="5">
        <f>IF(MVTAVRIL24!I26+L26&gt;700000,(MVTAVRIL24!I26-E26+L26),0)</f>
        <v>860778.18276075949</v>
      </c>
      <c r="H26" s="36">
        <f t="shared" si="0"/>
        <v>2540.0215027307263</v>
      </c>
      <c r="I26" s="6">
        <f t="shared" si="2"/>
        <v>863318.20426349016</v>
      </c>
      <c r="J26" s="36">
        <f>VLOOKUP($A26,[29]HISTOMAI24!$A$6:$AQ$42,22,0)</f>
        <v>0</v>
      </c>
      <c r="K26" s="36">
        <f>VLOOKUP($A26,[29]HISTOMAI24!$A$6:$AU$38,45,0)</f>
        <v>24500</v>
      </c>
      <c r="L26" s="36">
        <f t="shared" si="3"/>
        <v>18500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VLOOKUP($A26,[29]HISTOMAI24!$A$6:$AU$38,7,0)</f>
        <v>0</v>
      </c>
      <c r="Q26" s="36">
        <f>VLOOKUP($A26,[29]HISTOMAI24!$A$6:$AU$38,23,0)</f>
        <v>0</v>
      </c>
      <c r="R26" s="36">
        <f>VLOOKUP($A26,[29]HISTOMAI24!$A$6:$AU$38,46,0)</f>
        <v>0</v>
      </c>
      <c r="S26" s="36">
        <f>VLOOKUP($A26,[29]HISTOMAI24!$A$6:$AU$38,26,0)</f>
        <v>0</v>
      </c>
      <c r="T26" s="36">
        <f>VLOOKUP($A26,[29]HISTOMAI24!$A$6:$BG$38,58,0)</f>
        <v>0</v>
      </c>
      <c r="U26" s="36">
        <f>VLOOKUP($A26,[29]HISTOMAI24!$A$6:$AU$38,28,0)</f>
        <v>0</v>
      </c>
      <c r="V26" s="36">
        <f>VLOOKUP($A26,[29]HISTOMAI24!$A$6:$AU$38,19,0)</f>
        <v>0</v>
      </c>
      <c r="W26" s="36">
        <f>VLOOKUP($A26,[29]HISTOMAI24!$A$6:$AU$38,20,0)</f>
        <v>0</v>
      </c>
      <c r="X26" s="36">
        <f>VLOOKUP($A26,[29]HISTOMAI24!$A$6:$AU$38,27,0)</f>
        <v>0</v>
      </c>
      <c r="Y26" s="36">
        <f>VLOOKUP($A26,[29]HISTOMAI24!$A$6:$BM$38,33,0)</f>
        <v>0</v>
      </c>
      <c r="Z26" s="36">
        <f>VLOOKUP($A26,[29]HISTOMAI24!$A$6:$BM$38,65,0)</f>
        <v>0</v>
      </c>
      <c r="AA26" s="36"/>
      <c r="AB26" s="36">
        <f>VLOOKUP($A26,[29]HISTOMAI24!$A$6:$AU$38,43,0)</f>
        <v>0</v>
      </c>
      <c r="AC26" s="36">
        <f>VLOOKUP($A26,[29]HISTOMAI24!$A$6:$AU$38,44,0)</f>
        <v>0</v>
      </c>
      <c r="AD26" s="36">
        <f>VLOOKUP($A26,[29]HISTOMAI24!$A$6:$AU$38,47,0)</f>
        <v>0</v>
      </c>
      <c r="AE26" s="36">
        <f>VLOOKUP(A26,[29]HISTOMAI24!$A$6:$BB$38,54,0)</f>
        <v>0</v>
      </c>
      <c r="AF26" s="36">
        <f>VLOOKUP($A26,[29]HISTOMAI24!$A$6:$CB$38,60,0)</f>
        <v>0</v>
      </c>
      <c r="AG26" s="36">
        <f>VLOOKUP($A26,[29]HISTOMAI24!$A$6:$CB$38,61,0)</f>
        <v>0</v>
      </c>
      <c r="AH26" s="36">
        <f>VLOOKUP($A26,[29]HISTOMAI24!$A$6:$CB$38,62,0)</f>
        <v>0</v>
      </c>
      <c r="AI26" s="36">
        <f>VLOOKUP($A26,[29]HISTOMAI24!$A$6:$CB$38,63,0)</f>
        <v>0</v>
      </c>
      <c r="AJ26" s="36">
        <f>VLOOKUP($A26,[29]HISTOMAI24!$A$6:$CB$38,64,0)</f>
        <v>0</v>
      </c>
      <c r="AK26" s="36">
        <f>VLOOKUP($A26,[29]HISTOMAI24!$A$6:$CB$38,65,0)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MVTAVRIL24!I27-E27+L27</f>
        <v>861837.74305685516</v>
      </c>
      <c r="G27" s="5">
        <f>IF(MVTAVRIL24!I27+L27&gt;700000,(MVTAVRIL24!I27-E27+L27),0)</f>
        <v>861837.74305685516</v>
      </c>
      <c r="H27" s="36">
        <f t="shared" si="0"/>
        <v>2543.148099093672</v>
      </c>
      <c r="I27" s="6">
        <f t="shared" si="2"/>
        <v>864380.89115594886</v>
      </c>
      <c r="J27" s="36">
        <f>VLOOKUP($A27,[29]HISTOMAI24!$A$6:$AQ$42,22,0)</f>
        <v>0</v>
      </c>
      <c r="K27" s="36">
        <f>VLOOKUP($A27,[29]HISTOMAI24!$A$6:$AU$38,45,0)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VLOOKUP($A27,[29]HISTOMAI24!$A$6:$AU$38,7,0)</f>
        <v>0</v>
      </c>
      <c r="Q27" s="36">
        <f>VLOOKUP($A27,[29]HISTOMAI24!$A$6:$AU$38,23,0)</f>
        <v>0</v>
      </c>
      <c r="R27" s="36">
        <f>VLOOKUP($A27,[29]HISTOMAI24!$A$6:$AU$38,46,0)</f>
        <v>0</v>
      </c>
      <c r="S27" s="36">
        <f>VLOOKUP($A27,[29]HISTOMAI24!$A$6:$AU$38,26,0)</f>
        <v>0</v>
      </c>
      <c r="T27" s="36">
        <f>VLOOKUP($A27,[29]HISTOMAI24!$A$6:$BG$38,58,0)</f>
        <v>0</v>
      </c>
      <c r="U27" s="36">
        <f>VLOOKUP($A27,[29]HISTOMAI24!$A$6:$AU$38,28,0)</f>
        <v>0</v>
      </c>
      <c r="V27" s="36">
        <f>VLOOKUP($A27,[29]HISTOMAI24!$A$6:$AU$38,19,0)</f>
        <v>0</v>
      </c>
      <c r="W27" s="36">
        <f>VLOOKUP($A27,[29]HISTOMAI24!$A$6:$AU$38,20,0)</f>
        <v>0</v>
      </c>
      <c r="X27" s="36">
        <f>VLOOKUP($A27,[29]HISTOMAI24!$A$6:$AU$38,27,0)</f>
        <v>0</v>
      </c>
      <c r="Y27" s="36">
        <f>VLOOKUP($A27,[29]HISTOMAI24!$A$6:$BM$38,33,0)</f>
        <v>0</v>
      </c>
      <c r="Z27" s="36">
        <f>VLOOKUP($A27,[29]HISTOMAI24!$A$6:$BM$38,65,0)</f>
        <v>0</v>
      </c>
      <c r="AA27" s="36"/>
      <c r="AB27" s="36">
        <f>VLOOKUP($A27,[29]HISTOMAI24!$A$6:$AU$38,43,0)</f>
        <v>0</v>
      </c>
      <c r="AC27" s="36">
        <f>VLOOKUP($A27,[29]HISTOMAI24!$A$6:$AU$38,44,0)</f>
        <v>0</v>
      </c>
      <c r="AD27" s="36">
        <f>VLOOKUP($A27,[29]HISTOMAI24!$A$6:$AU$38,47,0)</f>
        <v>0</v>
      </c>
      <c r="AE27" s="36">
        <f>VLOOKUP(A27,[29]HISTOMAI24!$A$6:$BB$38,54,0)</f>
        <v>0</v>
      </c>
      <c r="AF27" s="36">
        <f>VLOOKUP($A27,[29]HISTOMAI24!$A$6:$CB$38,60,0)</f>
        <v>0</v>
      </c>
      <c r="AG27" s="36">
        <f>VLOOKUP($A27,[29]HISTOMAI24!$A$6:$CB$38,61,0)</f>
        <v>0</v>
      </c>
      <c r="AH27" s="36">
        <f>VLOOKUP($A27,[29]HISTOMAI24!$A$6:$CB$38,62,0)</f>
        <v>0</v>
      </c>
      <c r="AI27" s="36">
        <f>VLOOKUP($A27,[29]HISTOMAI24!$A$6:$CB$38,63,0)</f>
        <v>0</v>
      </c>
      <c r="AJ27" s="36">
        <f>VLOOKUP($A27,[29]HISTOMAI24!$A$6:$CB$38,64,0)</f>
        <v>0</v>
      </c>
      <c r="AK27" s="36">
        <f>VLOOKUP($A27,[29]HISTOMAI24!$A$6:$CB$38,65,0)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MVTAVRIL24!I28-E28+L28</f>
        <v>764180.40115325153</v>
      </c>
      <c r="G28" s="5">
        <f>IF(MVTAVRIL24!I28+L28&gt;700000,(MVTAVRIL24!I28-E28+L28),0)</f>
        <v>764180.40115325153</v>
      </c>
      <c r="H28" s="36">
        <f t="shared" si="0"/>
        <v>2254.976589519501</v>
      </c>
      <c r="I28" s="6">
        <f t="shared" si="2"/>
        <v>766435.37774277106</v>
      </c>
      <c r="J28" s="36">
        <f>VLOOKUP($A28,[29]HISTOMAI24!$A$6:$AQ$42,22,0)</f>
        <v>0</v>
      </c>
      <c r="K28" s="36">
        <f>VLOOKUP($A28,[29]HISTOMAI24!$A$6:$AU$38,45,0)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VLOOKUP($A28,[29]HISTOMAI24!$A$6:$AU$38,7,0)</f>
        <v>0</v>
      </c>
      <c r="Q28" s="36">
        <f>VLOOKUP($A28,[29]HISTOMAI24!$A$6:$AU$38,23,0)</f>
        <v>0</v>
      </c>
      <c r="R28" s="36">
        <f>VLOOKUP($A28,[29]HISTOMAI24!$A$6:$AU$38,46,0)</f>
        <v>0</v>
      </c>
      <c r="S28" s="36">
        <f>VLOOKUP($A28,[29]HISTOMAI24!$A$6:$AU$38,26,0)</f>
        <v>0</v>
      </c>
      <c r="T28" s="36">
        <f>VLOOKUP($A28,[29]HISTOMAI24!$A$6:$BG$38,58,0)</f>
        <v>0</v>
      </c>
      <c r="U28" s="36">
        <f>VLOOKUP($A28,[29]HISTOMAI24!$A$6:$AU$38,28,0)</f>
        <v>0</v>
      </c>
      <c r="V28" s="36">
        <f>VLOOKUP($A28,[29]HISTOMAI24!$A$6:$AU$38,19,0)</f>
        <v>0</v>
      </c>
      <c r="W28" s="36">
        <f>VLOOKUP($A28,[29]HISTOMAI24!$A$6:$AU$38,20,0)</f>
        <v>0</v>
      </c>
      <c r="X28" s="36">
        <f>VLOOKUP($A28,[29]HISTOMAI24!$A$6:$AU$38,27,0)</f>
        <v>0</v>
      </c>
      <c r="Y28" s="36">
        <f>VLOOKUP($A28,[29]HISTOMAI24!$A$6:$BM$38,33,0)</f>
        <v>0</v>
      </c>
      <c r="Z28" s="36">
        <f>VLOOKUP($A28,[29]HISTOMAI24!$A$6:$BM$38,65,0)</f>
        <v>0</v>
      </c>
      <c r="AA28" s="36"/>
      <c r="AB28" s="36">
        <f>VLOOKUP($A28,[29]HISTOMAI24!$A$6:$AU$38,43,0)</f>
        <v>0</v>
      </c>
      <c r="AC28" s="36">
        <f>VLOOKUP($A28,[29]HISTOMAI24!$A$6:$AU$38,44,0)</f>
        <v>0</v>
      </c>
      <c r="AD28" s="36">
        <f>VLOOKUP($A28,[29]HISTOMAI24!$A$6:$AU$38,47,0)</f>
        <v>0</v>
      </c>
      <c r="AE28" s="36">
        <f>VLOOKUP(A28,[29]HISTOMAI24!$A$6:$BB$38,54,0)</f>
        <v>0</v>
      </c>
      <c r="AF28" s="36">
        <f>VLOOKUP($A28,[29]HISTOMAI24!$A$6:$CB$38,60,0)</f>
        <v>0</v>
      </c>
      <c r="AG28" s="36">
        <f>VLOOKUP($A28,[29]HISTOMAI24!$A$6:$CB$38,61,0)</f>
        <v>0</v>
      </c>
      <c r="AH28" s="36">
        <f>VLOOKUP($A28,[29]HISTOMAI24!$A$6:$CB$38,62,0)</f>
        <v>0</v>
      </c>
      <c r="AI28" s="36">
        <f>VLOOKUP($A28,[29]HISTOMAI24!$A$6:$CB$38,63,0)</f>
        <v>0</v>
      </c>
      <c r="AJ28" s="36">
        <f>VLOOKUP($A28,[29]HISTOMAI24!$A$6:$CB$38,64,0)</f>
        <v>0</v>
      </c>
      <c r="AK28" s="36">
        <f>VLOOKUP($A28,[29]HISTOMAI24!$A$6:$CB$38,65,0)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MVTAVRIL24!I29-E29+L29</f>
        <v>888131.05819251109</v>
      </c>
      <c r="G29" s="5">
        <f>IF(MVTAVRIL24!I29+L29&gt;700000,(MVTAVRIL24!I29-E29+L29),0)</f>
        <v>888131.05819251109</v>
      </c>
      <c r="H29" s="36">
        <f t="shared" si="0"/>
        <v>2620.7355509601225</v>
      </c>
      <c r="I29" s="6">
        <f t="shared" si="2"/>
        <v>890751.79374347127</v>
      </c>
      <c r="J29" s="36">
        <f>VLOOKUP($A29,[29]HISTOMAI24!$A$6:$AQ$42,22,0)</f>
        <v>0</v>
      </c>
      <c r="K29" s="36">
        <f>VLOOKUP($A29,[29]HISTOMAI24!$A$6:$AU$38,45,0)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VLOOKUP($A29,[29]HISTOMAI24!$A$6:$AU$38,7,0)</f>
        <v>0</v>
      </c>
      <c r="Q29" s="36">
        <f>VLOOKUP($A29,[29]HISTOMAI24!$A$6:$AU$38,23,0)</f>
        <v>0</v>
      </c>
      <c r="R29" s="36">
        <f>VLOOKUP($A29,[29]HISTOMAI24!$A$6:$AU$38,46,0)</f>
        <v>0</v>
      </c>
      <c r="S29" s="36">
        <f>VLOOKUP($A29,[29]HISTOMAI24!$A$6:$AU$38,26,0)</f>
        <v>0</v>
      </c>
      <c r="T29" s="36">
        <f>VLOOKUP($A29,[29]HISTOMAI24!$A$6:$BG$38,58,0)</f>
        <v>0</v>
      </c>
      <c r="U29" s="36">
        <f>VLOOKUP($A29,[29]HISTOMAI24!$A$6:$AU$38,28,0)</f>
        <v>0</v>
      </c>
      <c r="V29" s="36">
        <f>VLOOKUP($A29,[29]HISTOMAI24!$A$6:$AU$38,19,0)</f>
        <v>0</v>
      </c>
      <c r="W29" s="36">
        <f>VLOOKUP($A29,[29]HISTOMAI24!$A$6:$AU$38,20,0)</f>
        <v>0</v>
      </c>
      <c r="X29" s="36">
        <f>VLOOKUP($A29,[29]HISTOMAI24!$A$6:$AU$38,27,0)</f>
        <v>0</v>
      </c>
      <c r="Y29" s="36">
        <f>VLOOKUP($A29,[29]HISTOMAI24!$A$6:$BM$38,33,0)</f>
        <v>0</v>
      </c>
      <c r="Z29" s="36">
        <f>VLOOKUP($A29,[29]HISTOMAI24!$A$6:$BM$38,65,0)</f>
        <v>0</v>
      </c>
      <c r="AA29" s="36"/>
      <c r="AB29" s="36">
        <f>VLOOKUP($A29,[29]HISTOMAI24!$A$6:$AU$38,43,0)</f>
        <v>0</v>
      </c>
      <c r="AC29" s="36">
        <f>VLOOKUP($A29,[29]HISTOMAI24!$A$6:$AU$38,44,0)</f>
        <v>0</v>
      </c>
      <c r="AD29" s="36">
        <f>VLOOKUP($A29,[29]HISTOMAI24!$A$6:$AU$38,47,0)</f>
        <v>0</v>
      </c>
      <c r="AE29" s="36">
        <f>VLOOKUP(A29,[29]HISTOMAI24!$A$6:$BB$38,54,0)</f>
        <v>0</v>
      </c>
      <c r="AF29" s="36">
        <f>VLOOKUP($A29,[29]HISTOMAI24!$A$6:$CB$38,60,0)</f>
        <v>0</v>
      </c>
      <c r="AG29" s="36">
        <f>VLOOKUP($A29,[29]HISTOMAI24!$A$6:$CB$38,61,0)</f>
        <v>0</v>
      </c>
      <c r="AH29" s="36">
        <f>VLOOKUP($A29,[29]HISTOMAI24!$A$6:$CB$38,62,0)</f>
        <v>0</v>
      </c>
      <c r="AI29" s="36">
        <f>VLOOKUP($A29,[29]HISTOMAI24!$A$6:$CB$38,63,0)</f>
        <v>0</v>
      </c>
      <c r="AJ29" s="36">
        <f>VLOOKUP($A29,[29]HISTOMAI24!$A$6:$CB$38,64,0)</f>
        <v>0</v>
      </c>
      <c r="AK29" s="36">
        <f>VLOOKUP($A29,[29]HISTOMAI24!$A$6:$CB$38,65,0)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MVTAVRIL24!I30-E30+L30</f>
        <v>793791.07097684417</v>
      </c>
      <c r="G30" s="5">
        <f>IF(MVTAVRIL24!I30+L30&gt;700000,(MVTAVRIL24!I30-E30+L30),0)</f>
        <v>793791.07097684417</v>
      </c>
      <c r="H30" s="36">
        <f t="shared" si="0"/>
        <v>2342.3530351224317</v>
      </c>
      <c r="I30" s="6">
        <f t="shared" si="2"/>
        <v>796133.42401196656</v>
      </c>
      <c r="J30" s="36">
        <f>VLOOKUP($A30,[29]HISTOMAI24!$A$6:$AQ$42,22,0)</f>
        <v>0</v>
      </c>
      <c r="K30" s="36">
        <f>VLOOKUP($A30,[29]HISTOMAI24!$A$6:$AU$38,45,0)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VLOOKUP($A30,[29]HISTOMAI24!$A$6:$AU$38,7,0)</f>
        <v>0</v>
      </c>
      <c r="Q30" s="36">
        <f>VLOOKUP($A30,[29]HISTOMAI24!$A$6:$AU$38,23,0)</f>
        <v>0</v>
      </c>
      <c r="R30" s="36">
        <f>VLOOKUP($A30,[29]HISTOMAI24!$A$6:$AU$38,46,0)</f>
        <v>0</v>
      </c>
      <c r="S30" s="36">
        <f>VLOOKUP($A30,[29]HISTOMAI24!$A$6:$AU$38,26,0)</f>
        <v>0</v>
      </c>
      <c r="T30" s="36">
        <f>VLOOKUP($A30,[29]HISTOMAI24!$A$6:$BG$38,58,0)</f>
        <v>0</v>
      </c>
      <c r="U30" s="36">
        <f>VLOOKUP($A30,[29]HISTOMAI24!$A$6:$AU$38,28,0)</f>
        <v>0</v>
      </c>
      <c r="V30" s="36">
        <f>VLOOKUP($A30,[29]HISTOMAI24!$A$6:$AU$38,19,0)</f>
        <v>0</v>
      </c>
      <c r="W30" s="36">
        <f>VLOOKUP($A30,[29]HISTOMAI24!$A$6:$AU$38,20,0)</f>
        <v>0</v>
      </c>
      <c r="X30" s="36">
        <f>VLOOKUP($A30,[29]HISTOMAI24!$A$6:$AU$38,27,0)</f>
        <v>0</v>
      </c>
      <c r="Y30" s="36">
        <f>VLOOKUP($A30,[29]HISTOMAI24!$A$6:$BM$38,33,0)</f>
        <v>0</v>
      </c>
      <c r="Z30" s="36">
        <f>VLOOKUP($A30,[29]HISTOMAI24!$A$6:$BM$38,65,0)</f>
        <v>0</v>
      </c>
      <c r="AA30" s="36"/>
      <c r="AB30" s="36">
        <f>VLOOKUP($A30,[29]HISTOMAI24!$A$6:$AU$38,43,0)</f>
        <v>0</v>
      </c>
      <c r="AC30" s="36">
        <f>VLOOKUP($A30,[29]HISTOMAI24!$A$6:$AU$38,44,0)</f>
        <v>0</v>
      </c>
      <c r="AD30" s="36">
        <f>VLOOKUP($A30,[29]HISTOMAI24!$A$6:$AU$38,47,0)</f>
        <v>0</v>
      </c>
      <c r="AE30" s="36">
        <f>VLOOKUP(A30,[29]HISTOMAI24!$A$6:$BB$38,54,0)</f>
        <v>0</v>
      </c>
      <c r="AF30" s="36">
        <f>VLOOKUP($A30,[29]HISTOMAI24!$A$6:$CB$38,60,0)</f>
        <v>0</v>
      </c>
      <c r="AG30" s="36">
        <f>VLOOKUP($A30,[29]HISTOMAI24!$A$6:$CB$38,61,0)</f>
        <v>0</v>
      </c>
      <c r="AH30" s="36">
        <f>VLOOKUP($A30,[29]HISTOMAI24!$A$6:$CB$38,62,0)</f>
        <v>0</v>
      </c>
      <c r="AI30" s="36">
        <f>VLOOKUP($A30,[29]HISTOMAI24!$A$6:$CB$38,63,0)</f>
        <v>0</v>
      </c>
      <c r="AJ30" s="36">
        <f>VLOOKUP($A30,[29]HISTOMAI24!$A$6:$CB$38,64,0)</f>
        <v>0</v>
      </c>
      <c r="AK30" s="36">
        <f>VLOOKUP($A30,[29]HISTOMAI24!$A$6:$CB$38,65,0)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MVTAVRIL24!I31-E31+L31</f>
        <v>952799.47776563698</v>
      </c>
      <c r="G31" s="5">
        <f>IF(MVTAVRIL24!I31+L31&gt;700000,(MVTAVRIL24!I31-E31+L31),0)</f>
        <v>952799.47776563698</v>
      </c>
      <c r="H31" s="36">
        <f t="shared" si="0"/>
        <v>2811.561921276023</v>
      </c>
      <c r="I31" s="6">
        <f t="shared" si="2"/>
        <v>955611.03968691302</v>
      </c>
      <c r="J31" s="36">
        <f>VLOOKUP($A31,[29]HISTOMAI24!$A$6:$AQ$42,22,0)</f>
        <v>0</v>
      </c>
      <c r="K31" s="36">
        <f>VLOOKUP($A31,[29]HISTOMAI24!$A$6:$AU$38,45,0)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VLOOKUP($A31,[29]HISTOMAI24!$A$6:$AU$38,7,0)</f>
        <v>0</v>
      </c>
      <c r="Q31" s="36">
        <f>VLOOKUP($A31,[29]HISTOMAI24!$A$6:$AU$38,23,0)</f>
        <v>0</v>
      </c>
      <c r="R31" s="36">
        <f>VLOOKUP($A31,[29]HISTOMAI24!$A$6:$AU$38,46,0)</f>
        <v>0</v>
      </c>
      <c r="S31" s="36">
        <f>VLOOKUP($A31,[29]HISTOMAI24!$A$6:$AU$38,26,0)</f>
        <v>0</v>
      </c>
      <c r="T31" s="36">
        <f>VLOOKUP($A31,[29]HISTOMAI24!$A$6:$BG$38,58,0)</f>
        <v>0</v>
      </c>
      <c r="U31" s="36">
        <f>VLOOKUP($A31,[29]HISTOMAI24!$A$6:$AU$38,28,0)</f>
        <v>0</v>
      </c>
      <c r="V31" s="36">
        <f>VLOOKUP($A31,[29]HISTOMAI24!$A$6:$AU$38,19,0)</f>
        <v>0</v>
      </c>
      <c r="W31" s="36">
        <f>VLOOKUP($A31,[29]HISTOMAI24!$A$6:$AU$38,20,0)</f>
        <v>0</v>
      </c>
      <c r="X31" s="36">
        <f>VLOOKUP($A31,[29]HISTOMAI24!$A$6:$AU$38,27,0)</f>
        <v>0</v>
      </c>
      <c r="Y31" s="36">
        <f>VLOOKUP($A31,[29]HISTOMAI24!$A$6:$BM$38,33,0)</f>
        <v>0</v>
      </c>
      <c r="Z31" s="36">
        <f>VLOOKUP($A31,[29]HISTOMAI24!$A$6:$BM$38,65,0)</f>
        <v>0</v>
      </c>
      <c r="AA31" s="36"/>
      <c r="AB31" s="36">
        <f>VLOOKUP($A31,[29]HISTOMAI24!$A$6:$AU$38,43,0)</f>
        <v>0</v>
      </c>
      <c r="AC31" s="36">
        <f>VLOOKUP($A31,[29]HISTOMAI24!$A$6:$AU$38,44,0)</f>
        <v>0</v>
      </c>
      <c r="AD31" s="36">
        <f>VLOOKUP($A31,[29]HISTOMAI24!$A$6:$AU$38,47,0)</f>
        <v>0</v>
      </c>
      <c r="AE31" s="36">
        <f>VLOOKUP(A31,[29]HISTOMAI24!$A$6:$BB$38,54,0)</f>
        <v>0</v>
      </c>
      <c r="AF31" s="36">
        <f>VLOOKUP($A31,[29]HISTOMAI24!$A$6:$CB$38,60,0)</f>
        <v>0</v>
      </c>
      <c r="AG31" s="36">
        <f>VLOOKUP($A31,[29]HISTOMAI24!$A$6:$CB$38,61,0)</f>
        <v>0</v>
      </c>
      <c r="AH31" s="36">
        <f>VLOOKUP($A31,[29]HISTOMAI24!$A$6:$CB$38,62,0)</f>
        <v>0</v>
      </c>
      <c r="AI31" s="36">
        <f>VLOOKUP($A31,[29]HISTOMAI24!$A$6:$CB$38,63,0)</f>
        <v>0</v>
      </c>
      <c r="AJ31" s="36">
        <f>VLOOKUP($A31,[29]HISTOMAI24!$A$6:$CB$38,64,0)</f>
        <v>0</v>
      </c>
      <c r="AK31" s="36">
        <f>VLOOKUP($A31,[29]HISTOMAI24!$A$6:$CB$38,65,0)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MVTAVRIL24!I32-E32+L32</f>
        <v>842282.72977224528</v>
      </c>
      <c r="G32" s="5">
        <f>IF(MVTAVRIL24!I32+L32&gt;700000,(MVTAVRIL24!I32-E32+L32),0)</f>
        <v>842282.72977224528</v>
      </c>
      <c r="H32" s="36">
        <f t="shared" si="0"/>
        <v>2485.4443198577856</v>
      </c>
      <c r="I32" s="6">
        <f t="shared" si="2"/>
        <v>844768.17409210303</v>
      </c>
      <c r="J32" s="36">
        <f>VLOOKUP($A32,[29]HISTOMAI24!$A$6:$AQ$42,22,0)</f>
        <v>0</v>
      </c>
      <c r="K32" s="36">
        <f>VLOOKUP($A32,[29]HISTOMAI24!$A$6:$AU$38,45,0)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VLOOKUP($A32,[29]HISTOMAI24!$A$6:$AU$38,7,0)</f>
        <v>0</v>
      </c>
      <c r="Q32" s="36">
        <f>VLOOKUP($A32,[29]HISTOMAI24!$A$6:$AU$38,23,0)</f>
        <v>0</v>
      </c>
      <c r="R32" s="36">
        <f>VLOOKUP($A32,[29]HISTOMAI24!$A$6:$AU$38,46,0)</f>
        <v>0</v>
      </c>
      <c r="S32" s="36">
        <f>VLOOKUP($A32,[29]HISTOMAI24!$A$6:$AU$38,26,0)</f>
        <v>0</v>
      </c>
      <c r="T32" s="36">
        <f>VLOOKUP($A32,[29]HISTOMAI24!$A$6:$BG$38,58,0)</f>
        <v>0</v>
      </c>
      <c r="U32" s="36">
        <f>VLOOKUP($A32,[29]HISTOMAI24!$A$6:$AU$38,28,0)</f>
        <v>0</v>
      </c>
      <c r="V32" s="36">
        <f>VLOOKUP($A32,[29]HISTOMAI24!$A$6:$AU$38,19,0)</f>
        <v>0</v>
      </c>
      <c r="W32" s="36">
        <f>VLOOKUP($A32,[29]HISTOMAI24!$A$6:$AU$38,20,0)</f>
        <v>0</v>
      </c>
      <c r="X32" s="36">
        <f>VLOOKUP($A32,[29]HISTOMAI24!$A$6:$AU$38,27,0)</f>
        <v>0</v>
      </c>
      <c r="Y32" s="36">
        <f>VLOOKUP($A32,[29]HISTOMAI24!$A$6:$BM$38,33,0)</f>
        <v>0</v>
      </c>
      <c r="Z32" s="36">
        <f>VLOOKUP($A32,[29]HISTOMAI24!$A$6:$BM$38,65,0)</f>
        <v>0</v>
      </c>
      <c r="AA32" s="36"/>
      <c r="AB32" s="36">
        <f>VLOOKUP($A32,[29]HISTOMAI24!$A$6:$AU$38,43,0)</f>
        <v>0</v>
      </c>
      <c r="AC32" s="36">
        <f>VLOOKUP($A32,[29]HISTOMAI24!$A$6:$AU$38,44,0)</f>
        <v>0</v>
      </c>
      <c r="AD32" s="36">
        <f>VLOOKUP($A32,[29]HISTOMAI24!$A$6:$AU$38,47,0)</f>
        <v>0</v>
      </c>
      <c r="AE32" s="36">
        <f>VLOOKUP(A32,[29]HISTOMAI24!$A$6:$BB$38,54,0)</f>
        <v>0</v>
      </c>
      <c r="AF32" s="36">
        <f>VLOOKUP($A32,[29]HISTOMAI24!$A$6:$CB$38,60,0)</f>
        <v>0</v>
      </c>
      <c r="AG32" s="36">
        <f>VLOOKUP($A32,[29]HISTOMAI24!$A$6:$CB$38,61,0)</f>
        <v>0</v>
      </c>
      <c r="AH32" s="36">
        <f>VLOOKUP($A32,[29]HISTOMAI24!$A$6:$CB$38,62,0)</f>
        <v>0</v>
      </c>
      <c r="AI32" s="36">
        <f>VLOOKUP($A32,[29]HISTOMAI24!$A$6:$CB$38,63,0)</f>
        <v>0</v>
      </c>
      <c r="AJ32" s="36">
        <f>VLOOKUP($A32,[29]HISTOMAI24!$A$6:$CB$38,64,0)</f>
        <v>0</v>
      </c>
      <c r="AK32" s="36">
        <f>VLOOKUP($A32,[29]HISTOMAI24!$A$6:$CB$38,65,0)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MVTAVRIL24!I33-E33+L33</f>
        <v>842591.00081650028</v>
      </c>
      <c r="G33" s="5">
        <f>IF(MVTAVRIL24!I33+L33&gt;700000,(MVTAVRIL24!I33-E33+L33),0)</f>
        <v>842591.00081650028</v>
      </c>
      <c r="H33" s="36">
        <f t="shared" si="0"/>
        <v>2486.353979392331</v>
      </c>
      <c r="I33" s="6">
        <f t="shared" si="2"/>
        <v>845077.35479589261</v>
      </c>
      <c r="J33" s="36">
        <f>VLOOKUP($A33,[29]HISTOMAI24!$A$6:$AQ$42,22,0)</f>
        <v>0</v>
      </c>
      <c r="K33" s="36">
        <f>VLOOKUP($A33,[29]HISTOMAI24!$A$6:$AU$38,45,0)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VLOOKUP($A33,[29]HISTOMAI24!$A$6:$AU$38,7,0)</f>
        <v>0</v>
      </c>
      <c r="Q33" s="36">
        <f>VLOOKUP($A33,[29]HISTOMAI24!$A$6:$AU$38,23,0)</f>
        <v>0</v>
      </c>
      <c r="R33" s="36">
        <f>VLOOKUP($A33,[29]HISTOMAI24!$A$6:$AU$38,46,0)</f>
        <v>0</v>
      </c>
      <c r="S33" s="36">
        <f>VLOOKUP($A33,[29]HISTOMAI24!$A$6:$AU$38,26,0)</f>
        <v>0</v>
      </c>
      <c r="T33" s="36">
        <f>VLOOKUP($A33,[29]HISTOMAI24!$A$6:$BG$38,58,0)</f>
        <v>0</v>
      </c>
      <c r="U33" s="36">
        <f>VLOOKUP($A33,[29]HISTOMAI24!$A$6:$AU$38,28,0)</f>
        <v>0</v>
      </c>
      <c r="V33" s="36">
        <f>VLOOKUP($A33,[29]HISTOMAI24!$A$6:$AU$38,19,0)</f>
        <v>0</v>
      </c>
      <c r="W33" s="36">
        <f>VLOOKUP($A33,[29]HISTOMAI24!$A$6:$AU$38,20,0)</f>
        <v>0</v>
      </c>
      <c r="X33" s="36">
        <f>VLOOKUP($A33,[29]HISTOMAI24!$A$6:$AU$38,27,0)</f>
        <v>0</v>
      </c>
      <c r="Y33" s="36">
        <f>VLOOKUP($A33,[29]HISTOMAI24!$A$6:$BM$38,33,0)</f>
        <v>0</v>
      </c>
      <c r="Z33" s="36">
        <f>VLOOKUP($A33,[29]HISTOMAI24!$A$6:$BM$38,65,0)</f>
        <v>0</v>
      </c>
      <c r="AA33" s="36"/>
      <c r="AB33" s="36">
        <f>VLOOKUP($A33,[29]HISTOMAI24!$A$6:$AU$38,43,0)</f>
        <v>0</v>
      </c>
      <c r="AC33" s="36">
        <f>VLOOKUP($A33,[29]HISTOMAI24!$A$6:$AU$38,44,0)</f>
        <v>0</v>
      </c>
      <c r="AD33" s="36">
        <f>VLOOKUP($A33,[29]HISTOMAI24!$A$6:$AU$38,47,0)</f>
        <v>0</v>
      </c>
      <c r="AE33" s="36">
        <f>VLOOKUP(A33,[29]HISTOMAI24!$A$6:$BB$38,54,0)</f>
        <v>0</v>
      </c>
      <c r="AF33" s="36">
        <f>VLOOKUP($A33,[29]HISTOMAI24!$A$6:$CB$38,60,0)</f>
        <v>0</v>
      </c>
      <c r="AG33" s="36">
        <f>VLOOKUP($A33,[29]HISTOMAI24!$A$6:$CB$38,61,0)</f>
        <v>0</v>
      </c>
      <c r="AH33" s="36">
        <f>VLOOKUP($A33,[29]HISTOMAI24!$A$6:$CB$38,62,0)</f>
        <v>0</v>
      </c>
      <c r="AI33" s="36">
        <f>VLOOKUP($A33,[29]HISTOMAI24!$A$6:$CB$38,63,0)</f>
        <v>0</v>
      </c>
      <c r="AJ33" s="36">
        <f>VLOOKUP($A33,[29]HISTOMAI24!$A$6:$CB$38,64,0)</f>
        <v>0</v>
      </c>
      <c r="AK33" s="36">
        <f>VLOOKUP($A33,[29]HISTOMAI24!$A$6:$CB$38,65,0)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MVTAVRIL24!I34-E34+L34</f>
        <v>510000</v>
      </c>
      <c r="G34" s="5">
        <f>IF(MVTAVRIL24!I34+L34&gt;700000,(MVTAVRIL24!I34-E34+L34),0)</f>
        <v>0</v>
      </c>
      <c r="H34" s="36">
        <f t="shared" si="0"/>
        <v>0</v>
      </c>
      <c r="I34" s="6">
        <f t="shared" si="2"/>
        <v>510000</v>
      </c>
      <c r="J34" s="36">
        <f>VLOOKUP($A34,[29]HISTOMAI24!$A$6:$AQ$42,22,0)</f>
        <v>0</v>
      </c>
      <c r="K34" s="36">
        <f>VLOOKUP($A34,[29]HISTOMAI24!$A$6:$AU$38,45,0)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VLOOKUP($A34,[29]HISTOMAI24!$A$6:$AU$38,7,0)</f>
        <v>0</v>
      </c>
      <c r="Q34" s="36">
        <f>VLOOKUP($A34,[29]HISTOMAI24!$A$6:$AU$38,23,0)</f>
        <v>0</v>
      </c>
      <c r="R34" s="36">
        <f>VLOOKUP($A34,[29]HISTOMAI24!$A$6:$AU$38,46,0)</f>
        <v>0</v>
      </c>
      <c r="S34" s="36">
        <f>VLOOKUP($A34,[29]HISTOMAI24!$A$6:$AU$38,26,0)</f>
        <v>0</v>
      </c>
      <c r="T34" s="36">
        <f>VLOOKUP($A34,[29]HISTOMAI24!$A$6:$BG$38,58,0)</f>
        <v>0</v>
      </c>
      <c r="U34" s="36">
        <f>VLOOKUP($A34,[29]HISTOMAI24!$A$6:$AU$38,28,0)</f>
        <v>0</v>
      </c>
      <c r="V34" s="36">
        <f>VLOOKUP($A34,[29]HISTOMAI24!$A$6:$AU$38,19,0)</f>
        <v>0</v>
      </c>
      <c r="W34" s="36">
        <f>VLOOKUP($A34,[29]HISTOMAI24!$A$6:$AU$38,20,0)</f>
        <v>0</v>
      </c>
      <c r="X34" s="36">
        <f>VLOOKUP($A34,[29]HISTOMAI24!$A$6:$AU$38,27,0)</f>
        <v>0</v>
      </c>
      <c r="Y34" s="36">
        <f>VLOOKUP($A34,[29]HISTOMAI24!$A$6:$BM$38,33,0)</f>
        <v>0</v>
      </c>
      <c r="Z34" s="36">
        <f>VLOOKUP($A34,[29]HISTOMAI24!$A$6:$BM$38,65,0)</f>
        <v>0</v>
      </c>
      <c r="AA34" s="36"/>
      <c r="AB34" s="36">
        <f>VLOOKUP($A34,[29]HISTOMAI24!$A$6:$AU$38,43,0)</f>
        <v>0</v>
      </c>
      <c r="AC34" s="36">
        <f>VLOOKUP($A34,[29]HISTOMAI24!$A$6:$AU$38,44,0)</f>
        <v>0</v>
      </c>
      <c r="AD34" s="36">
        <f>VLOOKUP($A34,[29]HISTOMAI24!$A$6:$AU$38,47,0)</f>
        <v>0</v>
      </c>
      <c r="AE34" s="36">
        <f>VLOOKUP(A34,[29]HISTOMAI24!$A$6:$BB$38,54,0)</f>
        <v>0</v>
      </c>
      <c r="AF34" s="36">
        <f>VLOOKUP($A34,[29]HISTOMAI24!$A$6:$CB$38,60,0)</f>
        <v>0</v>
      </c>
      <c r="AG34" s="36">
        <f>VLOOKUP($A34,[29]HISTOMAI24!$A$6:$CB$38,61,0)</f>
        <v>0</v>
      </c>
      <c r="AH34" s="36">
        <f>VLOOKUP($A34,[29]HISTOMAI24!$A$6:$CB$38,62,0)</f>
        <v>0</v>
      </c>
      <c r="AI34" s="36">
        <f>VLOOKUP($A34,[29]HISTOMAI24!$A$6:$CB$38,63,0)</f>
        <v>0</v>
      </c>
      <c r="AJ34" s="36">
        <f>VLOOKUP($A34,[29]HISTOMAI24!$A$6:$CB$38,64,0)</f>
        <v>0</v>
      </c>
      <c r="AK34" s="36">
        <f>VLOOKUP($A34,[29]HISTOMAI24!$A$6:$CB$38,65,0)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MVTAVRIL24!I35-E35+L35</f>
        <v>195000</v>
      </c>
      <c r="G35" s="5">
        <f>IF(MVTAVRIL24!I35+L35&gt;700000,(MVTAVRIL24!I35-E35+L35),0)</f>
        <v>0</v>
      </c>
      <c r="H35" s="36">
        <f t="shared" si="0"/>
        <v>0</v>
      </c>
      <c r="I35" s="6">
        <f t="shared" si="2"/>
        <v>195000</v>
      </c>
      <c r="J35" s="36">
        <f>VLOOKUP($A35,[29]HISTOMAI24!$A$6:$AQ$42,22,0)</f>
        <v>0</v>
      </c>
      <c r="K35" s="36">
        <f>VLOOKUP($A35,[29]HISTOMAI24!$A$6:$AU$38,45,0)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VLOOKUP($A35,[29]HISTOMAI24!$A$6:$AU$38,7,0)</f>
        <v>0</v>
      </c>
      <c r="Q35" s="36">
        <f>VLOOKUP($A35,[29]HISTOMAI24!$A$6:$AU$38,23,0)</f>
        <v>0</v>
      </c>
      <c r="R35" s="36">
        <f>VLOOKUP($A35,[29]HISTOMAI24!$A$6:$AU$38,46,0)</f>
        <v>0</v>
      </c>
      <c r="S35" s="36">
        <f>VLOOKUP($A35,[29]HISTOMAI24!$A$6:$AU$38,26,0)</f>
        <v>0</v>
      </c>
      <c r="T35" s="36">
        <f>VLOOKUP($A35,[29]HISTOMAI24!$A$6:$BG$38,58,0)</f>
        <v>0</v>
      </c>
      <c r="U35" s="36">
        <f>VLOOKUP($A35,[29]HISTOMAI24!$A$6:$AU$38,28,0)</f>
        <v>0</v>
      </c>
      <c r="V35" s="36">
        <f>VLOOKUP($A35,[29]HISTOMAI24!$A$6:$AU$38,19,0)</f>
        <v>0</v>
      </c>
      <c r="W35" s="36">
        <f>VLOOKUP($A35,[29]HISTOMAI24!$A$6:$AU$38,20,0)</f>
        <v>0</v>
      </c>
      <c r="X35" s="36">
        <f>VLOOKUP($A35,[29]HISTOMAI24!$A$6:$AU$38,27,0)</f>
        <v>0</v>
      </c>
      <c r="Y35" s="36">
        <f>VLOOKUP($A35,[29]HISTOMAI24!$A$6:$BM$38,33,0)</f>
        <v>0</v>
      </c>
      <c r="Z35" s="36">
        <f>VLOOKUP($A35,[29]HISTOMAI24!$A$6:$BM$38,65,0)</f>
        <v>0</v>
      </c>
      <c r="AA35" s="36"/>
      <c r="AB35" s="36">
        <f>VLOOKUP($A35,[29]HISTOMAI24!$A$6:$AU$38,43,0)</f>
        <v>0</v>
      </c>
      <c r="AC35" s="36">
        <f>VLOOKUP($A35,[29]HISTOMAI24!$A$6:$AU$38,44,0)</f>
        <v>0</v>
      </c>
      <c r="AD35" s="36">
        <f>VLOOKUP($A35,[29]HISTOMAI24!$A$6:$AU$38,47,0)</f>
        <v>0</v>
      </c>
      <c r="AE35" s="36">
        <f>VLOOKUP(A35,[29]HISTOMAI24!$A$6:$BB$38,54,0)</f>
        <v>0</v>
      </c>
      <c r="AF35" s="36">
        <f>VLOOKUP($A35,[29]HISTOMAI24!$A$6:$CB$38,60,0)</f>
        <v>0</v>
      </c>
      <c r="AG35" s="36">
        <f>VLOOKUP($A35,[29]HISTOMAI24!$A$6:$CB$38,61,0)</f>
        <v>0</v>
      </c>
      <c r="AH35" s="36">
        <f>VLOOKUP($A35,[29]HISTOMAI24!$A$6:$CB$38,62,0)</f>
        <v>0</v>
      </c>
      <c r="AI35" s="36">
        <f>VLOOKUP($A35,[29]HISTOMAI24!$A$6:$CB$38,63,0)</f>
        <v>0</v>
      </c>
      <c r="AJ35" s="36">
        <f>VLOOKUP($A35,[29]HISTOMAI24!$A$6:$CB$38,64,0)</f>
        <v>0</v>
      </c>
      <c r="AK35" s="36">
        <f>VLOOKUP($A35,[29]HISTOMAI24!$A$6:$CB$38,65,0)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MVTAVRIL24!I36-E36+L36</f>
        <v>889641.58514659188</v>
      </c>
      <c r="G36" s="5">
        <f>IF(MVTAVRIL24!I36+L36&gt;700000,(MVTAVRIL24!I36-E36+L36),0)</f>
        <v>889641.58514659188</v>
      </c>
      <c r="H36" s="36">
        <f t="shared" si="0"/>
        <v>2625.1928792482468</v>
      </c>
      <c r="I36" s="6">
        <f t="shared" si="2"/>
        <v>892266.77802584018</v>
      </c>
      <c r="J36" s="36">
        <f>VLOOKUP($A36,[29]HISTOMAI24!$A$6:$AQ$42,22,0)</f>
        <v>0</v>
      </c>
      <c r="K36" s="36">
        <f>VLOOKUP($A36,[29]HISTOMAI24!$A$6:$AU$38,45,0)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VLOOKUP($A36,[29]HISTOMAI24!$A$6:$AU$38,7,0)</f>
        <v>0</v>
      </c>
      <c r="Q36" s="36">
        <f>VLOOKUP($A36,[29]HISTOMAI24!$A$6:$AU$38,23,0)</f>
        <v>0</v>
      </c>
      <c r="R36" s="36">
        <f>VLOOKUP($A36,[29]HISTOMAI24!$A$6:$AU$38,46,0)</f>
        <v>0</v>
      </c>
      <c r="S36" s="36">
        <f>VLOOKUP($A36,[29]HISTOMAI24!$A$6:$AU$38,26,0)</f>
        <v>0</v>
      </c>
      <c r="T36" s="36">
        <f>VLOOKUP($A36,[29]HISTOMAI24!$A$6:$BG$38,58,0)</f>
        <v>0</v>
      </c>
      <c r="U36" s="36">
        <f>VLOOKUP($A36,[29]HISTOMAI24!$A$6:$AU$38,28,0)</f>
        <v>0</v>
      </c>
      <c r="V36" s="36">
        <f>VLOOKUP($A36,[29]HISTOMAI24!$A$6:$AU$38,19,0)</f>
        <v>0</v>
      </c>
      <c r="W36" s="36">
        <f>VLOOKUP($A36,[29]HISTOMAI24!$A$6:$AU$38,20,0)</f>
        <v>0</v>
      </c>
      <c r="X36" s="36">
        <f>VLOOKUP($A36,[29]HISTOMAI24!$A$6:$AU$38,27,0)</f>
        <v>0</v>
      </c>
      <c r="Y36" s="36">
        <f>VLOOKUP($A36,[29]HISTOMAI24!$A$6:$BM$38,33,0)</f>
        <v>0</v>
      </c>
      <c r="Z36" s="36">
        <f>VLOOKUP($A36,[29]HISTOMAI24!$A$6:$BM$38,65,0)</f>
        <v>0</v>
      </c>
      <c r="AA36" s="36"/>
      <c r="AB36" s="36">
        <f>VLOOKUP($A36,[29]HISTOMAI24!$A$6:$AU$38,43,0)</f>
        <v>0</v>
      </c>
      <c r="AC36" s="36">
        <f>VLOOKUP($A36,[29]HISTOMAI24!$A$6:$AU$38,44,0)</f>
        <v>0</v>
      </c>
      <c r="AD36" s="36">
        <f>VLOOKUP($A36,[29]HISTOMAI24!$A$6:$AU$38,47,0)</f>
        <v>0</v>
      </c>
      <c r="AE36" s="36">
        <f>VLOOKUP(A36,[29]HISTOMAI24!$A$6:$BB$38,54,0)</f>
        <v>0</v>
      </c>
      <c r="AF36" s="36">
        <f>VLOOKUP($A36,[29]HISTOMAI24!$A$6:$CB$38,60,0)</f>
        <v>0</v>
      </c>
      <c r="AG36" s="36">
        <f>VLOOKUP($A36,[29]HISTOMAI24!$A$6:$CB$38,61,0)</f>
        <v>0</v>
      </c>
      <c r="AH36" s="36">
        <f>VLOOKUP($A36,[29]HISTOMAI24!$A$6:$CB$38,62,0)</f>
        <v>0</v>
      </c>
      <c r="AI36" s="36">
        <f>VLOOKUP($A36,[29]HISTOMAI24!$A$6:$CB$38,63,0)</f>
        <v>0</v>
      </c>
      <c r="AJ36" s="36">
        <f>VLOOKUP($A36,[29]HISTOMAI24!$A$6:$CB$38,64,0)</f>
        <v>0</v>
      </c>
      <c r="AK36" s="36">
        <f>VLOOKUP($A36,[29]HISTOMAI24!$A$6:$CB$38,65,0)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MVTAVRIL24!I37-E37+L37</f>
        <v>1911063.2967345803</v>
      </c>
      <c r="G37" s="5">
        <f>IF(MVTAVRIL24!I37+L37&gt;700000,(MVTAVRIL24!I37-E37+L37),0)</f>
        <v>1911063.2967345803</v>
      </c>
      <c r="H37" s="36">
        <f t="shared" si="0"/>
        <v>5639.2482569861331</v>
      </c>
      <c r="I37" s="6">
        <f t="shared" si="2"/>
        <v>1916702.5449915663</v>
      </c>
      <c r="J37" s="36">
        <f>VLOOKUP($A37,[29]HISTOMAI24!$A$6:$AQ$42,22,0)</f>
        <v>0</v>
      </c>
      <c r="K37" s="36">
        <f>VLOOKUP($A37,[29]HISTOMAI24!$A$6:$AU$38,45,0)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VLOOKUP($A37,[29]HISTOMAI24!$A$6:$AU$38,7,0)</f>
        <v>3000</v>
      </c>
      <c r="Q37" s="36">
        <f>VLOOKUP($A37,[29]HISTOMAI24!$A$6:$AU$38,23,0)</f>
        <v>0</v>
      </c>
      <c r="R37" s="36">
        <f>VLOOKUP($A37,[29]HISTOMAI24!$A$6:$AU$38,46,0)</f>
        <v>0</v>
      </c>
      <c r="S37" s="36">
        <f>VLOOKUP($A37,[29]HISTOMAI24!$A$6:$AU$38,26,0)</f>
        <v>0</v>
      </c>
      <c r="T37" s="36">
        <f>VLOOKUP($A37,[29]HISTOMAI24!$A$6:$BG$38,58,0)</f>
        <v>0</v>
      </c>
      <c r="U37" s="36">
        <f>VLOOKUP($A37,[29]HISTOMAI24!$A$6:$AU$38,28,0)</f>
        <v>0</v>
      </c>
      <c r="V37" s="36">
        <f>VLOOKUP($A37,[29]HISTOMAI24!$A$6:$AU$38,19,0)</f>
        <v>0</v>
      </c>
      <c r="W37" s="36">
        <f>VLOOKUP($A37,[29]HISTOMAI24!$A$6:$AU$38,20,0)</f>
        <v>0</v>
      </c>
      <c r="X37" s="36">
        <f>VLOOKUP($A37,[29]HISTOMAI24!$A$6:$AU$38,27,0)</f>
        <v>0</v>
      </c>
      <c r="Y37" s="36">
        <f>VLOOKUP($A37,[29]HISTOMAI24!$A$6:$BM$38,33,0)</f>
        <v>0</v>
      </c>
      <c r="Z37" s="36">
        <f>VLOOKUP($A37,[29]HISTOMAI24!$A$6:$BM$38,65,0)</f>
        <v>0</v>
      </c>
      <c r="AA37" s="36"/>
      <c r="AB37" s="36">
        <f>VLOOKUP($A37,[29]HISTOMAI24!$A$6:$AU$38,43,0)</f>
        <v>0</v>
      </c>
      <c r="AC37" s="36">
        <f>VLOOKUP($A37,[29]HISTOMAI24!$A$6:$AU$38,44,0)</f>
        <v>0</v>
      </c>
      <c r="AD37" s="36">
        <f>VLOOKUP($A37,[29]HISTOMAI24!$A$6:$AU$38,47,0)</f>
        <v>0</v>
      </c>
      <c r="AE37" s="36">
        <f>VLOOKUP(A37,[29]HISTOMAI24!$A$6:$BB$38,54,0)</f>
        <v>0</v>
      </c>
      <c r="AF37" s="36">
        <f>VLOOKUP($A37,[29]HISTOMAI24!$A$6:$CB$38,60,0)</f>
        <v>0</v>
      </c>
      <c r="AG37" s="36">
        <f>VLOOKUP($A37,[29]HISTOMAI24!$A$6:$CB$38,61,0)</f>
        <v>0</v>
      </c>
      <c r="AH37" s="36">
        <f>VLOOKUP($A37,[29]HISTOMAI24!$A$6:$CB$38,62,0)</f>
        <v>0</v>
      </c>
      <c r="AI37" s="36">
        <f>VLOOKUP($A37,[29]HISTOMAI24!$A$6:$CB$38,63,0)</f>
        <v>0</v>
      </c>
      <c r="AJ37" s="36">
        <f>VLOOKUP($A37,[29]HISTOMAI24!$A$6:$CB$38,64,0)</f>
        <v>0</v>
      </c>
      <c r="AK37" s="36">
        <f>VLOOKUP($A37,[29]HISTOMAI24!$A$6:$CB$38,65,0)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MVTAVRIL24!I38-E38+L38</f>
        <v>95000</v>
      </c>
      <c r="G38" s="5">
        <f>IF(MVTAVRIL24!I38+L38&gt;700000,(MVTAVRIL24!I38-E38+L38),0)</f>
        <v>0</v>
      </c>
      <c r="H38" s="36">
        <f t="shared" si="0"/>
        <v>0</v>
      </c>
      <c r="I38" s="6">
        <f t="shared" si="2"/>
        <v>95000</v>
      </c>
      <c r="J38" s="36">
        <f>VLOOKUP($A38,[29]HISTOMAI24!$A$6:$AQ$42,22,0)</f>
        <v>0</v>
      </c>
      <c r="K38" s="36">
        <f>VLOOKUP($A38,[29]HISTOMAI24!$A$6:$AU$38,45,0)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VLOOKUP($A38,[29]HISTOMAI24!$A$6:$AU$38,7,0)</f>
        <v>3000</v>
      </c>
      <c r="Q38" s="36">
        <f>VLOOKUP($A38,[29]HISTOMAI24!$A$6:$AU$38,23,0)</f>
        <v>0</v>
      </c>
      <c r="R38" s="36">
        <f>VLOOKUP($A38,[29]HISTOMAI24!$A$6:$AU$38,46,0)</f>
        <v>0</v>
      </c>
      <c r="S38" s="36">
        <f>VLOOKUP($A38,[29]HISTOMAI24!$A$6:$AU$38,26,0)</f>
        <v>0</v>
      </c>
      <c r="T38" s="36">
        <f>VLOOKUP($A38,[29]HISTOMAI24!$A$6:$BG$38,58,0)</f>
        <v>0</v>
      </c>
      <c r="U38" s="36">
        <f>VLOOKUP($A38,[29]HISTOMAI24!$A$6:$AU$38,28,0)</f>
        <v>0</v>
      </c>
      <c r="V38" s="36">
        <f>VLOOKUP($A38,[29]HISTOMAI24!$A$6:$AU$38,19,0)</f>
        <v>0</v>
      </c>
      <c r="W38" s="36">
        <f>VLOOKUP($A38,[29]HISTOMAI24!$A$6:$AU$38,20,0)</f>
        <v>0</v>
      </c>
      <c r="X38" s="36">
        <f>VLOOKUP($A38,[29]HISTOMAI24!$A$6:$AU$38,27,0)</f>
        <v>0</v>
      </c>
      <c r="Y38" s="36">
        <f>VLOOKUP($A38,[29]HISTOMAI24!$A$6:$BM$38,33,0)</f>
        <v>0</v>
      </c>
      <c r="Z38" s="36">
        <f>VLOOKUP($A38,[29]HISTOMAI24!$A$6:$BM$38,65,0)</f>
        <v>0</v>
      </c>
      <c r="AA38" s="36"/>
      <c r="AB38" s="36">
        <f>VLOOKUP($A38,[29]HISTOMAI24!$A$6:$AU$38,43,0)</f>
        <v>0</v>
      </c>
      <c r="AC38" s="36">
        <f>VLOOKUP($A38,[29]HISTOMAI24!$A$6:$AU$38,44,0)</f>
        <v>0</v>
      </c>
      <c r="AD38" s="36">
        <f>VLOOKUP($A38,[29]HISTOMAI24!$A$6:$AU$38,47,0)</f>
        <v>0</v>
      </c>
      <c r="AE38" s="36">
        <f>VLOOKUP(A38,[29]HISTOMAI24!$A$6:$BB$38,54,0)</f>
        <v>0</v>
      </c>
      <c r="AF38" s="36">
        <f>VLOOKUP($A38,[29]HISTOMAI24!$A$6:$CB$38,60,0)</f>
        <v>0</v>
      </c>
      <c r="AG38" s="36">
        <f>VLOOKUP($A38,[29]HISTOMAI24!$A$6:$CB$38,61,0)</f>
        <v>0</v>
      </c>
      <c r="AH38" s="36">
        <f>VLOOKUP($A38,[29]HISTOMAI24!$A$6:$CB$38,62,0)</f>
        <v>0</v>
      </c>
      <c r="AI38" s="36">
        <f>VLOOKUP($A38,[29]HISTOMAI24!$A$6:$CB$38,63,0)</f>
        <v>0</v>
      </c>
      <c r="AJ38" s="36">
        <f>VLOOKUP($A38,[29]HISTOMAI24!$A$6:$CB$38,64,0)</f>
        <v>0</v>
      </c>
      <c r="AK38" s="36">
        <f>VLOOKUP($A38,[29]HISTOMAI24!$A$6:$CB$38,65,0)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MVTAVRIL24!I39-E39+L39</f>
        <v>2075763.7271882389</v>
      </c>
      <c r="G39" s="5">
        <f>IF(MVTAVRIL24!I39+L39&gt;700000,(MVTAVRIL24!I39-E39+L39),0)</f>
        <v>2075763.7271882389</v>
      </c>
      <c r="H39" s="36">
        <f t="shared" si="0"/>
        <v>6125.2534128319239</v>
      </c>
      <c r="I39" s="6">
        <f t="shared" si="2"/>
        <v>2081888.9806010709</v>
      </c>
      <c r="J39" s="36">
        <f>VLOOKUP($A39,[29]HISTOMAI24!$A$6:$AQ$42,22,0)</f>
        <v>0</v>
      </c>
      <c r="K39" s="36">
        <f>VLOOKUP($A39,[29]HISTOMAI24!$A$6:$AU$38,45,0)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VLOOKUP($A39,[29]HISTOMAI24!$A$6:$AU$38,7,0)</f>
        <v>0</v>
      </c>
      <c r="Q39" s="36">
        <f>VLOOKUP($A39,[29]HISTOMAI24!$A$6:$AU$38,23,0)</f>
        <v>0</v>
      </c>
      <c r="R39" s="36">
        <f>VLOOKUP($A39,[29]HISTOMAI24!$A$6:$AU$38,46,0)</f>
        <v>0</v>
      </c>
      <c r="S39" s="36">
        <f>VLOOKUP($A39,[29]HISTOMAI24!$A$6:$AU$38,26,0)</f>
        <v>0</v>
      </c>
      <c r="T39" s="36">
        <f>VLOOKUP($A39,[29]HISTOMAI24!$A$6:$BG$38,58,0)</f>
        <v>0</v>
      </c>
      <c r="U39" s="36">
        <f>VLOOKUP($A39,[29]HISTOMAI24!$A$6:$AU$38,28,0)</f>
        <v>0</v>
      </c>
      <c r="V39" s="36">
        <f>VLOOKUP($A39,[29]HISTOMAI24!$A$6:$AU$38,19,0)</f>
        <v>0</v>
      </c>
      <c r="W39" s="36">
        <f>VLOOKUP($A39,[29]HISTOMAI24!$A$6:$AU$38,20,0)</f>
        <v>0</v>
      </c>
      <c r="X39" s="36">
        <f>VLOOKUP($A39,[29]HISTOMAI24!$A$6:$AU$38,27,0)</f>
        <v>0</v>
      </c>
      <c r="Y39" s="36">
        <f>VLOOKUP($A39,[29]HISTOMAI24!$A$6:$BM$38,33,0)</f>
        <v>0</v>
      </c>
      <c r="Z39" s="36">
        <f>VLOOKUP($A39,[29]HISTOMAI24!$A$6:$BM$38,65,0)</f>
        <v>0</v>
      </c>
      <c r="AA39" s="36"/>
      <c r="AB39" s="36">
        <f>VLOOKUP($A39,[29]HISTOMAI24!$A$6:$AU$38,43,0)</f>
        <v>0</v>
      </c>
      <c r="AC39" s="36">
        <f>VLOOKUP($A39,[29]HISTOMAI24!$A$6:$AU$38,44,0)</f>
        <v>0</v>
      </c>
      <c r="AD39" s="36">
        <f>VLOOKUP($A39,[29]HISTOMAI24!$A$6:$AU$38,47,0)</f>
        <v>0</v>
      </c>
      <c r="AE39" s="36">
        <f>VLOOKUP(A39,[29]HISTOMAI24!$A$6:$BB$38,54,0)</f>
        <v>0</v>
      </c>
      <c r="AF39" s="36">
        <f>VLOOKUP($A39,[29]HISTOMAI24!$A$6:$CB$38,60,0)</f>
        <v>0</v>
      </c>
      <c r="AG39" s="36">
        <f>VLOOKUP($A39,[29]HISTOMAI24!$A$6:$CB$38,61,0)</f>
        <v>0</v>
      </c>
      <c r="AH39" s="36">
        <f>VLOOKUP($A39,[29]HISTOMAI24!$A$6:$CB$38,62,0)</f>
        <v>0</v>
      </c>
      <c r="AI39" s="36">
        <f>VLOOKUP($A39,[29]HISTOMAI24!$A$6:$CB$38,63,0)</f>
        <v>0</v>
      </c>
      <c r="AJ39" s="36">
        <f>VLOOKUP($A39,[29]HISTOMAI24!$A$6:$CB$38,64,0)</f>
        <v>0</v>
      </c>
      <c r="AK39" s="36">
        <f>VLOOKUP($A39,[29]HISTOMAI24!$A$6:$CB$38,65,0)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30037656.07312192</v>
      </c>
      <c r="G41" s="9">
        <f t="shared" si="10"/>
        <v>28466439.07312192</v>
      </c>
      <c r="H41" s="36">
        <f t="shared" si="10"/>
        <v>83999.999999999985</v>
      </c>
      <c r="I41" s="9">
        <f t="shared" si="10"/>
        <v>30121656.073121928</v>
      </c>
      <c r="J41" s="9">
        <f t="shared" si="10"/>
        <v>0</v>
      </c>
      <c r="K41" s="9">
        <f t="shared" si="10"/>
        <v>917000</v>
      </c>
      <c r="L41" s="9">
        <f t="shared" si="10"/>
        <v>725000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9000</v>
      </c>
      <c r="Q41" s="9">
        <f t="shared" si="10"/>
        <v>0</v>
      </c>
      <c r="R41" s="9">
        <f t="shared" si="10"/>
        <v>0</v>
      </c>
      <c r="S41" s="9">
        <f t="shared" si="10"/>
        <v>1350000</v>
      </c>
      <c r="T41" s="9">
        <f t="shared" si="10"/>
        <v>84000</v>
      </c>
      <c r="U41" s="9">
        <f t="shared" si="10"/>
        <v>0</v>
      </c>
      <c r="V41" s="9">
        <f t="shared" si="10"/>
        <v>1500000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19000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A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4"/>
  <sheetViews>
    <sheetView workbookViewId="0">
      <pane xSplit="2" ySplit="5" topLeftCell="G39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5" bestFit="1" customWidth="1"/>
    <col min="12" max="12" width="17.54296875" style="155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4"/>
      <c r="K4" s="192">
        <v>45460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VLOOKUP($A6,[29]HISTOJUIN24!$A$6:$BA$38,48,0)</f>
        <v>0</v>
      </c>
      <c r="F6" s="36">
        <f>MVTMAI24!I6-E6+L6</f>
        <v>947792.35679183772</v>
      </c>
      <c r="G6" s="5">
        <f>IF(MVTMAI24!I6+L6&gt;700000,(MVTMAI24!I6-E6+L6),0)</f>
        <v>947792.35679183772</v>
      </c>
      <c r="H6" s="36">
        <f t="shared" ref="H6:H39" si="0">$T$41/$G$41*G6</f>
        <v>3573.0277576520334</v>
      </c>
      <c r="I6" s="6">
        <f>F6+H6</f>
        <v>951365.38454948971</v>
      </c>
      <c r="J6" s="36">
        <f>VLOOKUP($A6,[29]HISTOJUIN24!$A$6:$AQ$42,22,0)</f>
        <v>0</v>
      </c>
      <c r="K6" s="36">
        <f>VLOOKUP($A6,[29]HISTOJUIN24!$A$6:$AU$38,45,0)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VLOOKUP($A6,[29]HISTOJUIN24!$A$6:$AU$38,7,0)</f>
        <v>0</v>
      </c>
      <c r="Q6" s="36">
        <f>VLOOKUP($A6,[29]HISTOJUIN24!$A$6:$AU$38,23,0)</f>
        <v>0</v>
      </c>
      <c r="R6" s="36">
        <f>VLOOKUP($A6,[29]HISTOJUIN24!$A$6:$AU$38,46,0)</f>
        <v>0</v>
      </c>
      <c r="S6" s="36">
        <f>VLOOKUP($A6,[29]HISTOJUIN24!$A$6:$AU$38,26,0)</f>
        <v>0</v>
      </c>
      <c r="T6" s="36">
        <f>VLOOKUP($A6,[29]HISTOJUIN24!$A$6:$BG$38,58,0)</f>
        <v>0</v>
      </c>
      <c r="U6" s="36">
        <f>VLOOKUP($A6,[29]HISTOJUIN24!$A$6:$AU$38,28,0)</f>
        <v>0</v>
      </c>
      <c r="V6" s="36">
        <f>VLOOKUP($A6,[29]HISTOJUIN24!$A$6:$AU$38,19,0)</f>
        <v>0</v>
      </c>
      <c r="W6" s="36">
        <f>VLOOKUP($A6,[29]HISTOJUIN24!$A$6:$AU$38,20,0)</f>
        <v>0</v>
      </c>
      <c r="X6" s="36">
        <f>VLOOKUP($A6,[29]HISTOJUIN24!$A$6:$AU$38,27,0)</f>
        <v>0</v>
      </c>
      <c r="Y6" s="36">
        <f>VLOOKUP($A6,[29]HISTOJUIN24!$A$6:$BM$38,33,0)</f>
        <v>0</v>
      </c>
      <c r="Z6" s="36">
        <f>VLOOKUP($A6,[29]HISTOJUIN24!$A$6:$BM$38,65,0)</f>
        <v>0</v>
      </c>
      <c r="AA6" s="36"/>
      <c r="AB6" s="36">
        <f>VLOOKUP($A6,[29]HISTOJUIN24!$A$6:$AU$38,43,0)</f>
        <v>0</v>
      </c>
      <c r="AC6" s="36">
        <f>VLOOKUP($A6,[29]HISTOJUIN24!$A$6:$AU$38,44,0)</f>
        <v>0</v>
      </c>
      <c r="AD6" s="36">
        <f>VLOOKUP($A6,[29]HISTOJUIN24!$A$6:$AU$38,47,0)</f>
        <v>0</v>
      </c>
      <c r="AE6" s="36">
        <f>VLOOKUP(A6,[29]HISTOJUIN24!$A$6:$BB$38,54,0)</f>
        <v>0</v>
      </c>
      <c r="AF6" s="36">
        <f>VLOOKUP($A6,[29]HISTOJUIN24!$A$6:$CB$38,60,0)</f>
        <v>12000</v>
      </c>
      <c r="AG6" s="36">
        <f>VLOOKUP($A6,[29]HISTOJUIN24!$A$6:$CB$38,61,0)</f>
        <v>0</v>
      </c>
      <c r="AH6" s="36">
        <f>VLOOKUP($A6,[29]HISTOJUIN24!$A$6:$CB$38,62,0)</f>
        <v>0</v>
      </c>
      <c r="AI6" s="36">
        <f>VLOOKUP($A6,[29]HISTOJUIN24!$A$6:$CB$38,63,0)</f>
        <v>0</v>
      </c>
      <c r="AJ6" s="36">
        <f>VLOOKUP($A6,[29]HISTOJUIN24!$A$6:$CB$38,64,0)</f>
        <v>0</v>
      </c>
      <c r="AK6" s="36">
        <f>VLOOKUP($A6,[29]HISTOJUIN24!$A$6:$CB$38,65,0)</f>
        <v>0</v>
      </c>
      <c r="AL6" s="36">
        <f>VLOOKUP($A6,[29]HISTOJUIN24!$A$6:$CB$38,66,0)</f>
        <v>2000000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VLOOKUP($A7,[29]HISTOJUIN24!$A$6:$BA$38,48,0)</f>
        <v>0</v>
      </c>
      <c r="F7" s="36">
        <f>MVTMAI24!I7-E7+L7</f>
        <v>813121.48700556078</v>
      </c>
      <c r="G7" s="5">
        <f>IF(MVTMAI24!I7+L7&gt;700000,(MVTMAI24!I7-E7+L7),0)</f>
        <v>813121.48700556078</v>
      </c>
      <c r="H7" s="36">
        <f t="shared" si="0"/>
        <v>3065.3398105554193</v>
      </c>
      <c r="I7" s="6">
        <f t="shared" ref="I7:I39" si="2">F7+H7</f>
        <v>816186.82681611623</v>
      </c>
      <c r="J7" s="36">
        <f>VLOOKUP($A7,[29]HISTOJUIN24!$A$6:$AQ$42,22,0)</f>
        <v>0</v>
      </c>
      <c r="K7" s="36">
        <f>VLOOKUP($A7,[29]HISTOJUIN24!$A$6:$AU$38,45,0)</f>
        <v>21000</v>
      </c>
      <c r="L7" s="36">
        <f>IF(K7=0,0,K7-(M7+N7+O7))</f>
        <v>15000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VLOOKUP($A7,[29]HISTOJUIN24!$A$6:$AU$38,7,0)</f>
        <v>0</v>
      </c>
      <c r="Q7" s="36">
        <f>VLOOKUP($A7,[29]HISTOJUIN24!$A$6:$AU$38,23,0)</f>
        <v>0</v>
      </c>
      <c r="R7" s="36">
        <f>VLOOKUP($A7,[29]HISTOJUIN24!$A$6:$AU$38,46,0)</f>
        <v>0</v>
      </c>
      <c r="S7" s="36">
        <f>VLOOKUP($A7,[29]HISTOJUIN24!$A$6:$AU$38,26,0)</f>
        <v>0</v>
      </c>
      <c r="T7" s="36">
        <f>VLOOKUP($A7,[29]HISTOJUIN24!$A$6:$BG$38,58,0)</f>
        <v>0</v>
      </c>
      <c r="U7" s="36">
        <f>VLOOKUP($A7,[29]HISTOJUIN24!$A$6:$AU$38,28,0)</f>
        <v>0</v>
      </c>
      <c r="V7" s="36">
        <f>VLOOKUP($A7,[29]HISTOJUIN24!$A$6:$AU$38,19,0)</f>
        <v>0</v>
      </c>
      <c r="W7" s="36">
        <f>VLOOKUP($A7,[29]HISTOJUIN24!$A$6:$AU$38,20,0)</f>
        <v>0</v>
      </c>
      <c r="X7" s="36">
        <f>VLOOKUP($A7,[29]HISTOJUIN24!$A$6:$AU$38,27,0)</f>
        <v>0</v>
      </c>
      <c r="Y7" s="36">
        <f>VLOOKUP($A7,[29]HISTOJUIN24!$A$6:$BM$38,33,0)</f>
        <v>0</v>
      </c>
      <c r="Z7" s="36">
        <f>VLOOKUP($A7,[29]HISTOJUIN24!$A$6:$BM$38,65,0)</f>
        <v>0</v>
      </c>
      <c r="AA7" s="36"/>
      <c r="AB7" s="36">
        <f>VLOOKUP($A7,[29]HISTOJUIN24!$A$6:$AU$38,43,0)</f>
        <v>0</v>
      </c>
      <c r="AC7" s="36">
        <f>VLOOKUP($A7,[29]HISTOJUIN24!$A$6:$AU$38,44,0)</f>
        <v>0</v>
      </c>
      <c r="AD7" s="36">
        <f>VLOOKUP($A7,[29]HISTOJUIN24!$A$6:$AU$38,47,0)</f>
        <v>0</v>
      </c>
      <c r="AE7" s="36">
        <f>VLOOKUP(A7,[29]HISTOJUIN24!$A$6:$BB$38,54,0)</f>
        <v>0</v>
      </c>
      <c r="AF7" s="36">
        <f>VLOOKUP($A7,[29]HISTOJUIN24!$A$6:$CB$38,60,0)</f>
        <v>0</v>
      </c>
      <c r="AG7" s="36">
        <f>VLOOKUP($A7,[29]HISTOJUIN24!$A$6:$CB$38,61,0)</f>
        <v>0</v>
      </c>
      <c r="AH7" s="36">
        <f>VLOOKUP($A7,[29]HISTOJUIN24!$A$6:$CB$38,62,0)</f>
        <v>0</v>
      </c>
      <c r="AI7" s="36">
        <f>VLOOKUP($A7,[29]HISTOJUIN24!$A$6:$CB$38,63,0)</f>
        <v>0</v>
      </c>
      <c r="AJ7" s="36">
        <f>VLOOKUP($A7,[29]HISTOJUIN24!$A$6:$CB$38,64,0)</f>
        <v>0</v>
      </c>
      <c r="AK7" s="36">
        <f>VLOOKUP($A7,[29]HISTOJUIN24!$A$6:$CB$38,65,0)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VLOOKUP($A8,[29]HISTOJUIN24!$A$6:$BA$38,48,0)</f>
        <v>0</v>
      </c>
      <c r="F8" s="36">
        <f>MVTMAI24!I8-E8+L8</f>
        <v>860047.43794548942</v>
      </c>
      <c r="G8" s="5">
        <f>IF(MVTMAI24!I8+L8&gt;700000,(MVTMAI24!I8-E8+L8),0)</f>
        <v>860047.43794548942</v>
      </c>
      <c r="H8" s="36">
        <f t="shared" si="0"/>
        <v>3242.2432473272847</v>
      </c>
      <c r="I8" s="6">
        <f t="shared" si="2"/>
        <v>863289.6811928167</v>
      </c>
      <c r="J8" s="36">
        <f>VLOOKUP($A8,[29]HISTOJUIN24!$A$6:$AQ$42,22,0)</f>
        <v>0</v>
      </c>
      <c r="K8" s="36">
        <f>VLOOKUP($A8,[29]HISTOJUIN24!$A$6:$AU$38,45,0)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VLOOKUP($A8,[29]HISTOJUIN24!$A$6:$AU$38,7,0)</f>
        <v>0</v>
      </c>
      <c r="Q8" s="36">
        <f>VLOOKUP($A8,[29]HISTOJUIN24!$A$6:$AU$38,23,0)</f>
        <v>0</v>
      </c>
      <c r="R8" s="36">
        <f>VLOOKUP($A8,[29]HISTOJUIN24!$A$6:$AU$38,46,0)</f>
        <v>0</v>
      </c>
      <c r="S8" s="36">
        <f>VLOOKUP($A8,[29]HISTOJUIN24!$A$6:$AU$38,26,0)</f>
        <v>0</v>
      </c>
      <c r="T8" s="36">
        <f>VLOOKUP($A8,[29]HISTOJUIN24!$A$6:$BG$38,58,0)</f>
        <v>0</v>
      </c>
      <c r="U8" s="36">
        <f>VLOOKUP($A8,[29]HISTOJUIN24!$A$6:$AU$38,28,0)</f>
        <v>0</v>
      </c>
      <c r="V8" s="36">
        <f>VLOOKUP($A8,[29]HISTOJUIN24!$A$6:$AU$38,19,0)</f>
        <v>0</v>
      </c>
      <c r="W8" s="36">
        <f>VLOOKUP($A8,[29]HISTOJUIN24!$A$6:$AU$38,20,0)</f>
        <v>0</v>
      </c>
      <c r="X8" s="36">
        <f>VLOOKUP($A8,[29]HISTOJUIN24!$A$6:$AU$38,27,0)</f>
        <v>0</v>
      </c>
      <c r="Y8" s="36">
        <f>VLOOKUP($A8,[29]HISTOJUIN24!$A$6:$BM$38,33,0)</f>
        <v>0</v>
      </c>
      <c r="Z8" s="36">
        <f>VLOOKUP($A8,[29]HISTOJUIN24!$A$6:$BM$38,65,0)</f>
        <v>0</v>
      </c>
      <c r="AA8" s="36"/>
      <c r="AB8" s="36">
        <f>VLOOKUP($A8,[29]HISTOJUIN24!$A$6:$AU$38,43,0)</f>
        <v>0</v>
      </c>
      <c r="AC8" s="36">
        <f>VLOOKUP($A8,[29]HISTOJUIN24!$A$6:$AU$38,44,0)</f>
        <v>0</v>
      </c>
      <c r="AD8" s="36">
        <f>VLOOKUP($A8,[29]HISTOJUIN24!$A$6:$AU$38,47,0)</f>
        <v>0</v>
      </c>
      <c r="AE8" s="36">
        <f>VLOOKUP(A8,[29]HISTOJUIN24!$A$6:$BB$38,54,0)</f>
        <v>0</v>
      </c>
      <c r="AF8" s="36">
        <f>VLOOKUP($A8,[29]HISTOJUIN24!$A$6:$CB$38,60,0)</f>
        <v>0</v>
      </c>
      <c r="AG8" s="36">
        <f>VLOOKUP($A8,[29]HISTOJUIN24!$A$6:$CB$38,61,0)</f>
        <v>0</v>
      </c>
      <c r="AH8" s="36">
        <f>VLOOKUP($A8,[29]HISTOJUIN24!$A$6:$CB$38,62,0)</f>
        <v>0</v>
      </c>
      <c r="AI8" s="36">
        <f>VLOOKUP($A8,[29]HISTOJUIN24!$A$6:$CB$38,63,0)</f>
        <v>0</v>
      </c>
      <c r="AJ8" s="36">
        <f>VLOOKUP($A8,[29]HISTOJUIN24!$A$6:$CB$38,64,0)</f>
        <v>0</v>
      </c>
      <c r="AK8" s="36">
        <f>VLOOKUP($A8,[29]HISTOJUIN24!$A$6:$CB$38,65,0)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VLOOKUP($A9,[29]HISTOJUIN24!$A$6:$BA$38,48,0)</f>
        <v>0</v>
      </c>
      <c r="F9" s="36">
        <f>MVTMAI24!I9-E9+L9</f>
        <v>917572.20630865963</v>
      </c>
      <c r="G9" s="5">
        <f>IF(MVTMAI24!I9+L9&gt;700000,(MVTMAI24!I9-E9+L9),0)</f>
        <v>917572.20630865963</v>
      </c>
      <c r="H9" s="36">
        <f t="shared" si="0"/>
        <v>3459.1025547918762</v>
      </c>
      <c r="I9" s="6">
        <f t="shared" si="2"/>
        <v>921031.30886345147</v>
      </c>
      <c r="J9" s="36">
        <f>VLOOKUP($A9,[29]HISTOJUIN24!$A$6:$AQ$42,22,0)</f>
        <v>0</v>
      </c>
      <c r="K9" s="36">
        <f>VLOOKUP($A9,[29]HISTOJUIN24!$A$6:$AU$38,45,0)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VLOOKUP($A9,[29]HISTOJUIN24!$A$6:$AU$38,7,0)</f>
        <v>0</v>
      </c>
      <c r="Q9" s="36">
        <f>VLOOKUP($A9,[29]HISTOJUIN24!$A$6:$AU$38,23,0)</f>
        <v>0</v>
      </c>
      <c r="R9" s="36">
        <f>VLOOKUP($A9,[29]HISTOJUIN24!$A$6:$AU$38,46,0)</f>
        <v>0</v>
      </c>
      <c r="S9" s="36">
        <f>VLOOKUP($A9,[29]HISTOJUIN24!$A$6:$AU$38,26,0)</f>
        <v>0</v>
      </c>
      <c r="T9" s="36">
        <f>VLOOKUP($A9,[29]HISTOJUIN24!$A$6:$BG$38,58,0)</f>
        <v>0</v>
      </c>
      <c r="U9" s="36">
        <f>VLOOKUP($A9,[29]HISTOJUIN24!$A$6:$AU$38,28,0)</f>
        <v>0</v>
      </c>
      <c r="V9" s="36">
        <f>VLOOKUP($A9,[29]HISTOJUIN24!$A$6:$AU$38,19,0)</f>
        <v>0</v>
      </c>
      <c r="W9" s="36">
        <f>VLOOKUP($A9,[29]HISTOJUIN24!$A$6:$AU$38,20,0)</f>
        <v>0</v>
      </c>
      <c r="X9" s="36">
        <f>VLOOKUP($A9,[29]HISTOJUIN24!$A$6:$AU$38,27,0)</f>
        <v>0</v>
      </c>
      <c r="Y9" s="36">
        <f>VLOOKUP($A9,[29]HISTOJUIN24!$A$6:$BM$38,33,0)</f>
        <v>0</v>
      </c>
      <c r="Z9" s="36">
        <f>VLOOKUP($A9,[29]HISTOJUIN24!$A$6:$BM$38,65,0)</f>
        <v>0</v>
      </c>
      <c r="AA9" s="36"/>
      <c r="AB9" s="36">
        <f>VLOOKUP($A9,[29]HISTOJUIN24!$A$6:$AU$38,43,0)</f>
        <v>0</v>
      </c>
      <c r="AC9" s="36">
        <f>VLOOKUP($A9,[29]HISTOJUIN24!$A$6:$AU$38,44,0)</f>
        <v>0</v>
      </c>
      <c r="AD9" s="36">
        <f>VLOOKUP($A9,[29]HISTOJUIN24!$A$6:$AU$38,47,0)</f>
        <v>0</v>
      </c>
      <c r="AE9" s="36">
        <f>VLOOKUP(A9,[29]HISTOJUIN24!$A$6:$BB$38,54,0)</f>
        <v>0</v>
      </c>
      <c r="AF9" s="36">
        <f>VLOOKUP($A9,[29]HISTOJUIN24!$A$6:$CB$38,60,0)</f>
        <v>0</v>
      </c>
      <c r="AG9" s="36">
        <f>VLOOKUP($A9,[29]HISTOJUIN24!$A$6:$CB$38,61,0)</f>
        <v>0</v>
      </c>
      <c r="AH9" s="36">
        <f>VLOOKUP($A9,[29]HISTOJUIN24!$A$6:$CB$38,62,0)</f>
        <v>0</v>
      </c>
      <c r="AI9" s="36">
        <f>VLOOKUP($A9,[29]HISTOJUIN24!$A$6:$CB$38,63,0)</f>
        <v>0</v>
      </c>
      <c r="AJ9" s="36">
        <f>VLOOKUP($A9,[29]HISTOJUIN24!$A$6:$CB$38,64,0)</f>
        <v>0</v>
      </c>
      <c r="AK9" s="36">
        <f>VLOOKUP($A9,[29]HISTOJUIN24!$A$6:$CB$38,65,0)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VLOOKUP($A10,[29]HISTOJUIN24!$A$6:$BA$38,48,0)</f>
        <v>0</v>
      </c>
      <c r="F10" s="36">
        <f>MVTMAI24!I10-E10+L10</f>
        <v>855305.01433932164</v>
      </c>
      <c r="G10" s="5">
        <f>IF(MVTMAI24!I10+L10&gt;700000,(MVTMAI24!I10-E10+L10),0)</f>
        <v>855305.01433932164</v>
      </c>
      <c r="H10" s="36">
        <f t="shared" si="0"/>
        <v>3224.3650580150838</v>
      </c>
      <c r="I10" s="6">
        <f t="shared" si="2"/>
        <v>858529.37939733674</v>
      </c>
      <c r="J10" s="36">
        <f>VLOOKUP($A10,[29]HISTOJUIN24!$A$6:$AQ$42,22,0)</f>
        <v>0</v>
      </c>
      <c r="K10" s="36">
        <f>VLOOKUP($A10,[29]HISTOJUIN24!$A$6:$AU$38,45,0)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VLOOKUP($A10,[29]HISTOJUIN24!$A$6:$AU$38,7,0)</f>
        <v>3000</v>
      </c>
      <c r="Q10" s="36">
        <f>VLOOKUP($A10,[29]HISTOJUIN24!$A$6:$AU$38,23,0)</f>
        <v>0</v>
      </c>
      <c r="R10" s="36">
        <f>VLOOKUP($A10,[29]HISTOJUIN24!$A$6:$AU$38,46,0)</f>
        <v>0</v>
      </c>
      <c r="S10" s="36">
        <f>VLOOKUP($A10,[29]HISTOJUIN24!$A$6:$AU$38,26,0)</f>
        <v>0</v>
      </c>
      <c r="T10" s="36">
        <f>VLOOKUP($A10,[29]HISTOJUIN24!$A$6:$BG$38,58,0)</f>
        <v>0</v>
      </c>
      <c r="U10" s="36">
        <f>VLOOKUP($A10,[29]HISTOJUIN24!$A$6:$AU$38,28,0)</f>
        <v>0</v>
      </c>
      <c r="V10" s="36">
        <f>VLOOKUP($A10,[29]HISTOJUIN24!$A$6:$AU$38,19,0)</f>
        <v>0</v>
      </c>
      <c r="W10" s="36">
        <f>VLOOKUP($A10,[29]HISTOJUIN24!$A$6:$AU$38,20,0)</f>
        <v>0</v>
      </c>
      <c r="X10" s="36">
        <f>VLOOKUP($A10,[29]HISTOJUIN24!$A$6:$AU$38,27,0)</f>
        <v>0</v>
      </c>
      <c r="Y10" s="36">
        <f>VLOOKUP($A10,[29]HISTOJUIN24!$A$6:$BM$38,33,0)</f>
        <v>0</v>
      </c>
      <c r="Z10" s="36">
        <f>VLOOKUP($A10,[29]HISTOJUIN24!$A$6:$BM$38,65,0)</f>
        <v>0</v>
      </c>
      <c r="AA10" s="36"/>
      <c r="AB10" s="36">
        <f>VLOOKUP($A10,[29]HISTOJUIN24!$A$6:$AU$38,43,0)</f>
        <v>0</v>
      </c>
      <c r="AC10" s="36">
        <f>VLOOKUP($A10,[29]HISTOJUIN24!$A$6:$AU$38,44,0)</f>
        <v>0</v>
      </c>
      <c r="AD10" s="36">
        <f>VLOOKUP($A10,[29]HISTOJUIN24!$A$6:$AU$38,47,0)</f>
        <v>0</v>
      </c>
      <c r="AE10" s="36">
        <f>VLOOKUP(A10,[29]HISTOJUIN24!$A$6:$BB$38,54,0)</f>
        <v>0</v>
      </c>
      <c r="AF10" s="36">
        <f>VLOOKUP($A10,[29]HISTOJUIN24!$A$6:$CB$38,60,0)</f>
        <v>0</v>
      </c>
      <c r="AG10" s="36">
        <f>VLOOKUP($A10,[29]HISTOJUIN24!$A$6:$CB$38,61,0)</f>
        <v>0</v>
      </c>
      <c r="AH10" s="36">
        <f>VLOOKUP($A10,[29]HISTOJUIN24!$A$6:$CB$38,62,0)</f>
        <v>0</v>
      </c>
      <c r="AI10" s="36">
        <f>VLOOKUP($A10,[29]HISTOJUIN24!$A$6:$CB$38,63,0)</f>
        <v>0</v>
      </c>
      <c r="AJ10" s="36">
        <f>VLOOKUP($A10,[29]HISTOJUIN24!$A$6:$CB$38,64,0)</f>
        <v>0</v>
      </c>
      <c r="AK10" s="36">
        <f>VLOOKUP($A10,[29]HISTOJUIN24!$A$6:$CB$38,65,0)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VLOOKUP($A11,[29]HISTOJUIN24!$A$6:$BA$38,48,0)</f>
        <v>0</v>
      </c>
      <c r="F11" s="36">
        <f>MVTMAI24!I11-E11+L11</f>
        <v>885426.96183025884</v>
      </c>
      <c r="G11" s="5">
        <f>IF(MVTMAI24!I11+L11&gt;700000,(MVTMAI24!I11-E11+L11),0)</f>
        <v>885426.96183025884</v>
      </c>
      <c r="H11" s="36">
        <f t="shared" si="0"/>
        <v>3337.9200510770224</v>
      </c>
      <c r="I11" s="6">
        <f t="shared" si="2"/>
        <v>888764.88188133587</v>
      </c>
      <c r="J11" s="36">
        <f>VLOOKUP($A11,[29]HISTOJUIN24!$A$6:$AQ$42,22,0)</f>
        <v>0</v>
      </c>
      <c r="K11" s="36">
        <f>VLOOKUP($A11,[29]HISTOJUIN24!$A$6:$AU$38,45,0)</f>
        <v>30000</v>
      </c>
      <c r="L11" s="36">
        <f t="shared" si="3"/>
        <v>24000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VLOOKUP($A11,[29]HISTOJUIN24!$A$6:$AU$38,7,0)</f>
        <v>0</v>
      </c>
      <c r="Q11" s="36">
        <f>VLOOKUP($A11,[29]HISTOJUIN24!$A$6:$AU$38,23,0)</f>
        <v>0</v>
      </c>
      <c r="R11" s="36">
        <f>VLOOKUP($A11,[29]HISTOJUIN24!$A$6:$AU$38,46,0)</f>
        <v>0</v>
      </c>
      <c r="S11" s="36">
        <f>VLOOKUP($A11,[29]HISTOJUIN24!$A$6:$AU$38,26,0)</f>
        <v>0</v>
      </c>
      <c r="T11" s="36">
        <f>VLOOKUP($A11,[29]HISTOJUIN24!$A$6:$BG$38,58,0)</f>
        <v>20000</v>
      </c>
      <c r="U11" s="36">
        <f>VLOOKUP($A11,[29]HISTOJUIN24!$A$6:$AU$38,28,0)</f>
        <v>0</v>
      </c>
      <c r="V11" s="36">
        <f>VLOOKUP($A11,[29]HISTOJUIN24!$A$6:$AU$38,19,0)</f>
        <v>0</v>
      </c>
      <c r="W11" s="36">
        <f>VLOOKUP($A11,[29]HISTOJUIN24!$A$6:$AU$38,20,0)</f>
        <v>0</v>
      </c>
      <c r="X11" s="36">
        <f>VLOOKUP($A11,[29]HISTOJUIN24!$A$6:$AU$38,27,0)</f>
        <v>0</v>
      </c>
      <c r="Y11" s="36">
        <f>VLOOKUP($A11,[29]HISTOJUIN24!$A$6:$BM$38,33,0)</f>
        <v>0</v>
      </c>
      <c r="Z11" s="36">
        <f>VLOOKUP($A11,[29]HISTOJUIN24!$A$6:$BM$38,65,0)</f>
        <v>0</v>
      </c>
      <c r="AA11" s="36"/>
      <c r="AB11" s="36">
        <f>VLOOKUP($A11,[29]HISTOJUIN24!$A$6:$AU$38,43,0)</f>
        <v>0</v>
      </c>
      <c r="AC11" s="36">
        <f>VLOOKUP($A11,[29]HISTOJUIN24!$A$6:$AU$38,44,0)</f>
        <v>0</v>
      </c>
      <c r="AD11" s="36">
        <f>VLOOKUP($A11,[29]HISTOJUIN24!$A$6:$AU$38,47,0)</f>
        <v>0</v>
      </c>
      <c r="AE11" s="36">
        <f>VLOOKUP(A11,[29]HISTOJUIN24!$A$6:$BB$38,54,0)</f>
        <v>0</v>
      </c>
      <c r="AF11" s="36">
        <f>VLOOKUP($A11,[29]HISTOJUIN24!$A$6:$CB$38,60,0)</f>
        <v>0</v>
      </c>
      <c r="AG11" s="36">
        <f>VLOOKUP($A11,[29]HISTOJUIN24!$A$6:$CB$38,61,0)</f>
        <v>0</v>
      </c>
      <c r="AH11" s="36">
        <f>VLOOKUP($A11,[29]HISTOJUIN24!$A$6:$CB$38,62,0)</f>
        <v>0</v>
      </c>
      <c r="AI11" s="36">
        <f>VLOOKUP($A11,[29]HISTOJUIN24!$A$6:$CB$38,63,0)</f>
        <v>0</v>
      </c>
      <c r="AJ11" s="36">
        <f>VLOOKUP($A11,[29]HISTOJUIN24!$A$6:$CB$38,64,0)</f>
        <v>0</v>
      </c>
      <c r="AK11" s="36">
        <f>VLOOKUP($A11,[29]HISTOJUIN24!$A$6:$CB$38,65,0)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VLOOKUP($A12,[29]HISTOJUIN24!$A$6:$BA$38,48,0)</f>
        <v>0</v>
      </c>
      <c r="F12" s="36">
        <f>MVTMAI24!I12-E12+L12</f>
        <v>912723.04004728433</v>
      </c>
      <c r="G12" s="5">
        <f>IF(MVTMAI24!I12+L12&gt;700000,(MVTMAI24!I12-E12+L12),0)</f>
        <v>912723.04004728433</v>
      </c>
      <c r="H12" s="36">
        <f t="shared" si="0"/>
        <v>3440.8219624984217</v>
      </c>
      <c r="I12" s="6">
        <f t="shared" si="2"/>
        <v>916163.86200978281</v>
      </c>
      <c r="J12" s="36">
        <f>VLOOKUP($A12,[29]HISTOJUIN24!$A$6:$AQ$42,22,0)</f>
        <v>0</v>
      </c>
      <c r="K12" s="36">
        <f>VLOOKUP($A12,[29]HISTOJUIN24!$A$6:$AU$38,45,0)</f>
        <v>34000</v>
      </c>
      <c r="L12" s="36">
        <f t="shared" si="3"/>
        <v>28000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VLOOKUP($A12,[29]HISTOJUIN24!$A$6:$AU$38,7,0)</f>
        <v>0</v>
      </c>
      <c r="Q12" s="36">
        <f>VLOOKUP($A12,[29]HISTOJUIN24!$A$6:$AU$38,23,0)</f>
        <v>0</v>
      </c>
      <c r="R12" s="36">
        <f>VLOOKUP($A12,[29]HISTOJUIN24!$A$6:$AU$38,46,0)</f>
        <v>0</v>
      </c>
      <c r="S12" s="36">
        <f>VLOOKUP($A12,[29]HISTOJUIN24!$A$6:$AU$38,26,0)</f>
        <v>0</v>
      </c>
      <c r="T12" s="36">
        <f>VLOOKUP($A12,[29]HISTOJUIN24!$A$6:$BG$38,58,0)</f>
        <v>0</v>
      </c>
      <c r="U12" s="36">
        <f>VLOOKUP($A12,[29]HISTOJUIN24!$A$6:$AU$38,28,0)</f>
        <v>0</v>
      </c>
      <c r="V12" s="36">
        <f>VLOOKUP($A12,[29]HISTOJUIN24!$A$6:$AU$38,19,0)</f>
        <v>360000</v>
      </c>
      <c r="W12" s="36" t="str">
        <f>VLOOKUP($A12,[29]HISTOJUIN24!$A$6:$AU$38,20,0)</f>
        <v>BANQUE</v>
      </c>
      <c r="X12" s="36">
        <f>VLOOKUP($A12,[29]HISTOJUIN24!$A$6:$AU$38,27,0)</f>
        <v>0</v>
      </c>
      <c r="Y12" s="36">
        <f>VLOOKUP($A12,[29]HISTOJUIN24!$A$6:$BM$38,33,0)</f>
        <v>0</v>
      </c>
      <c r="Z12" s="36">
        <f>VLOOKUP($A12,[29]HISTOJUIN24!$A$6:$BM$38,65,0)</f>
        <v>0</v>
      </c>
      <c r="AA12" s="36"/>
      <c r="AB12" s="36">
        <f>VLOOKUP($A12,[29]HISTOJUIN24!$A$6:$AU$38,43,0)</f>
        <v>0</v>
      </c>
      <c r="AC12" s="36">
        <f>VLOOKUP($A12,[29]HISTOJUIN24!$A$6:$AU$38,44,0)</f>
        <v>0</v>
      </c>
      <c r="AD12" s="36">
        <f>VLOOKUP($A12,[29]HISTOJUIN24!$A$6:$AU$38,47,0)</f>
        <v>0</v>
      </c>
      <c r="AE12" s="36">
        <f>VLOOKUP(A12,[29]HISTOJUIN24!$A$6:$BB$38,54,0)</f>
        <v>0</v>
      </c>
      <c r="AF12" s="36">
        <f>VLOOKUP($A12,[29]HISTOJUIN24!$A$6:$CB$38,60,0)</f>
        <v>0</v>
      </c>
      <c r="AG12" s="36">
        <f>VLOOKUP($A12,[29]HISTOJUIN24!$A$6:$CB$38,61,0)</f>
        <v>0</v>
      </c>
      <c r="AH12" s="36">
        <f>VLOOKUP($A12,[29]HISTOJUIN24!$A$6:$CB$38,62,0)</f>
        <v>0</v>
      </c>
      <c r="AI12" s="36">
        <f>VLOOKUP($A12,[29]HISTOJUIN24!$A$6:$CB$38,63,0)</f>
        <v>0</v>
      </c>
      <c r="AJ12" s="36">
        <f>VLOOKUP($A12,[29]HISTOJUIN24!$A$6:$CB$38,64,0)</f>
        <v>0</v>
      </c>
      <c r="AK12" s="36">
        <f>VLOOKUP($A12,[29]HISTOJUIN24!$A$6:$CB$38,65,0)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VLOOKUP($A13,[29]HISTOJUIN24!$A$6:$BA$38,48,0)</f>
        <v>0</v>
      </c>
      <c r="F13" s="36">
        <f>MVTMAI24!I13-E13+L13</f>
        <v>863078.19467948901</v>
      </c>
      <c r="G13" s="5">
        <f>IF(MVTMAI24!I13+L13&gt;700000,(MVTMAI24!I13-E13+L13),0)</f>
        <v>863078.19467948901</v>
      </c>
      <c r="H13" s="36">
        <f t="shared" si="0"/>
        <v>3253.6687223901204</v>
      </c>
      <c r="I13" s="6">
        <f t="shared" si="2"/>
        <v>866331.86340187909</v>
      </c>
      <c r="J13" s="36">
        <f>VLOOKUP($A13,[29]HISTOJUIN24!$A$6:$AQ$42,22,0)</f>
        <v>0</v>
      </c>
      <c r="K13" s="36">
        <f>VLOOKUP($A13,[29]HISTOJUIN24!$A$6:$AU$38,45,0)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VLOOKUP($A13,[29]HISTOJUIN24!$A$6:$AU$38,7,0)</f>
        <v>0</v>
      </c>
      <c r="Q13" s="36">
        <f>VLOOKUP($A13,[29]HISTOJUIN24!$A$6:$AU$38,23,0)</f>
        <v>0</v>
      </c>
      <c r="R13" s="36">
        <f>VLOOKUP($A13,[29]HISTOJUIN24!$A$6:$AU$38,46,0)</f>
        <v>0</v>
      </c>
      <c r="S13" s="36">
        <f>VLOOKUP($A13,[29]HISTOJUIN24!$A$6:$AU$38,26,0)</f>
        <v>0</v>
      </c>
      <c r="T13" s="36">
        <f>VLOOKUP($A13,[29]HISTOJUIN24!$A$6:$BG$38,58,0)</f>
        <v>0</v>
      </c>
      <c r="U13" s="36">
        <f>VLOOKUP($A13,[29]HISTOJUIN24!$A$6:$AU$38,28,0)</f>
        <v>0</v>
      </c>
      <c r="V13" s="36">
        <f>VLOOKUP($A13,[29]HISTOJUIN24!$A$6:$AU$38,19,0)</f>
        <v>0</v>
      </c>
      <c r="W13" s="36">
        <f>VLOOKUP($A13,[29]HISTOJUIN24!$A$6:$AU$38,20,0)</f>
        <v>0</v>
      </c>
      <c r="X13" s="36">
        <f>VLOOKUP($A13,[29]HISTOJUIN24!$A$6:$AU$38,27,0)</f>
        <v>0</v>
      </c>
      <c r="Y13" s="36">
        <f>VLOOKUP($A13,[29]HISTOJUIN24!$A$6:$BM$38,33,0)</f>
        <v>0</v>
      </c>
      <c r="Z13" s="36">
        <f>VLOOKUP($A13,[29]HISTOJUIN24!$A$6:$BM$38,65,0)</f>
        <v>0</v>
      </c>
      <c r="AA13" s="36"/>
      <c r="AB13" s="36">
        <f>VLOOKUP($A13,[29]HISTOJUIN24!$A$6:$AU$38,43,0)</f>
        <v>0</v>
      </c>
      <c r="AC13" s="36">
        <f>VLOOKUP($A13,[29]HISTOJUIN24!$A$6:$AU$38,44,0)</f>
        <v>0</v>
      </c>
      <c r="AD13" s="36">
        <f>VLOOKUP($A13,[29]HISTOJUIN24!$A$6:$AU$38,47,0)</f>
        <v>0</v>
      </c>
      <c r="AE13" s="36">
        <f>VLOOKUP(A13,[29]HISTOJUIN24!$A$6:$BB$38,54,0)</f>
        <v>0</v>
      </c>
      <c r="AF13" s="36">
        <f>VLOOKUP($A13,[29]HISTOJUIN24!$A$6:$CB$38,60,0)</f>
        <v>0</v>
      </c>
      <c r="AG13" s="36">
        <f>VLOOKUP($A13,[29]HISTOJUIN24!$A$6:$CB$38,61,0)</f>
        <v>0</v>
      </c>
      <c r="AH13" s="36">
        <f>VLOOKUP($A13,[29]HISTOJUIN24!$A$6:$CB$38,62,0)</f>
        <v>0</v>
      </c>
      <c r="AI13" s="36">
        <f>VLOOKUP($A13,[29]HISTOJUIN24!$A$6:$CB$38,63,0)</f>
        <v>0</v>
      </c>
      <c r="AJ13" s="36">
        <f>VLOOKUP($A13,[29]HISTOJUIN24!$A$6:$CB$38,64,0)</f>
        <v>0</v>
      </c>
      <c r="AK13" s="36">
        <f>VLOOKUP($A13,[29]HISTOJUIN24!$A$6:$CB$38,65,0)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VLOOKUP($A14,[29]HISTOJUIN24!$A$6:$BA$38,48,0)</f>
        <v>0</v>
      </c>
      <c r="F14" s="36">
        <f>MVTMAI24!I14-E14+L14</f>
        <v>1416867.4046994275</v>
      </c>
      <c r="G14" s="5">
        <f>IF(MVTMAI24!I14+L14&gt;700000,(MVTMAI24!I14-E14+L14),0)</f>
        <v>1416867.4046994275</v>
      </c>
      <c r="H14" s="36">
        <f t="shared" si="0"/>
        <v>5341.3667346289049</v>
      </c>
      <c r="I14" s="6">
        <f t="shared" si="2"/>
        <v>1422208.7714340563</v>
      </c>
      <c r="J14" s="36">
        <f>VLOOKUP($A14,[29]HISTOJUIN24!$A$6:$AQ$42,22,0)</f>
        <v>0</v>
      </c>
      <c r="K14" s="36">
        <f>VLOOKUP($A14,[29]HISTOJUIN24!$A$6:$AU$38,45,0)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VLOOKUP($A14,[29]HISTOJUIN24!$A$6:$AU$38,7,0)</f>
        <v>0</v>
      </c>
      <c r="Q14" s="36">
        <f>VLOOKUP($A14,[29]HISTOJUIN24!$A$6:$AU$38,23,0)</f>
        <v>0</v>
      </c>
      <c r="R14" s="36">
        <f>VLOOKUP($A14,[29]HISTOJUIN24!$A$6:$AU$38,46,0)</f>
        <v>0</v>
      </c>
      <c r="S14" s="36">
        <f>VLOOKUP($A14,[29]HISTOJUIN24!$A$6:$AU$38,26,0)</f>
        <v>0</v>
      </c>
      <c r="T14" s="36">
        <f>VLOOKUP($A14,[29]HISTOJUIN24!$A$6:$BG$38,58,0)</f>
        <v>0</v>
      </c>
      <c r="U14" s="36">
        <f>VLOOKUP($A14,[29]HISTOJUIN24!$A$6:$AU$38,28,0)</f>
        <v>0</v>
      </c>
      <c r="V14" s="36">
        <f>VLOOKUP($A14,[29]HISTOJUIN24!$A$6:$AU$38,19,0)</f>
        <v>0</v>
      </c>
      <c r="W14" s="36">
        <f>VLOOKUP($A14,[29]HISTOJUIN24!$A$6:$AU$38,20,0)</f>
        <v>0</v>
      </c>
      <c r="X14" s="36">
        <f>VLOOKUP($A14,[29]HISTOJUIN24!$A$6:$AU$38,27,0)</f>
        <v>0</v>
      </c>
      <c r="Y14" s="36">
        <f>VLOOKUP($A14,[29]HISTOJUIN24!$A$6:$BM$38,33,0)</f>
        <v>0</v>
      </c>
      <c r="Z14" s="36">
        <f>VLOOKUP($A14,[29]HISTOJUIN24!$A$6:$BM$38,65,0)</f>
        <v>0</v>
      </c>
      <c r="AA14" s="36"/>
      <c r="AB14" s="36">
        <f>VLOOKUP($A14,[29]HISTOJUIN24!$A$6:$AU$38,43,0)</f>
        <v>0</v>
      </c>
      <c r="AC14" s="36">
        <f>VLOOKUP($A14,[29]HISTOJUIN24!$A$6:$AU$38,44,0)</f>
        <v>0</v>
      </c>
      <c r="AD14" s="36">
        <f>VLOOKUP($A14,[29]HISTOJUIN24!$A$6:$AU$38,47,0)</f>
        <v>0</v>
      </c>
      <c r="AE14" s="36">
        <f>VLOOKUP(A14,[29]HISTOJUIN24!$A$6:$BB$38,54,0)</f>
        <v>0</v>
      </c>
      <c r="AF14" s="36">
        <f>VLOOKUP($A14,[29]HISTOJUIN24!$A$6:$CB$38,60,0)</f>
        <v>0</v>
      </c>
      <c r="AG14" s="36">
        <f>VLOOKUP($A14,[29]HISTOJUIN24!$A$6:$CB$38,61,0)</f>
        <v>0</v>
      </c>
      <c r="AH14" s="36">
        <f>VLOOKUP($A14,[29]HISTOJUIN24!$A$6:$CB$38,62,0)</f>
        <v>0</v>
      </c>
      <c r="AI14" s="36">
        <f>VLOOKUP($A14,[29]HISTOJUIN24!$A$6:$CB$38,63,0)</f>
        <v>0</v>
      </c>
      <c r="AJ14" s="36">
        <f>VLOOKUP($A14,[29]HISTOJUIN24!$A$6:$CB$38,64,0)</f>
        <v>0</v>
      </c>
      <c r="AK14" s="36">
        <f>VLOOKUP($A14,[29]HISTOJUIN24!$A$6:$CB$38,65,0)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VLOOKUP($A15,[29]HISTOJUIN24!$A$6:$BA$38,48,0)</f>
        <v>0</v>
      </c>
      <c r="F15" s="36">
        <f>MVTMAI24!I15-E15+L15</f>
        <v>924935.25045989943</v>
      </c>
      <c r="G15" s="5">
        <f>IF(MVTMAI24!I15+L15&gt;700000,(MVTMAI24!I15-E15+L15),0)</f>
        <v>924935.25045989943</v>
      </c>
      <c r="H15" s="36">
        <f t="shared" si="0"/>
        <v>3486.8600703960828</v>
      </c>
      <c r="I15" s="6">
        <f t="shared" si="2"/>
        <v>928422.11053029553</v>
      </c>
      <c r="J15" s="36">
        <f>VLOOKUP($A15,[29]HISTOJUIN24!$A$6:$AQ$42,22,0)</f>
        <v>0</v>
      </c>
      <c r="K15" s="36">
        <f>VLOOKUP($A15,[29]HISTOJUIN24!$A$6:$AU$38,45,0)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VLOOKUP($A15,[29]HISTOJUIN24!$A$6:$AU$38,7,0)</f>
        <v>0</v>
      </c>
      <c r="Q15" s="36">
        <f>VLOOKUP($A15,[29]HISTOJUIN24!$A$6:$AU$38,23,0)</f>
        <v>0</v>
      </c>
      <c r="R15" s="36">
        <f>VLOOKUP($A15,[29]HISTOJUIN24!$A$6:$AU$38,46,0)</f>
        <v>0</v>
      </c>
      <c r="S15" s="36">
        <f>VLOOKUP($A15,[29]HISTOJUIN24!$A$6:$AU$38,26,0)</f>
        <v>0</v>
      </c>
      <c r="T15" s="36">
        <f>VLOOKUP($A15,[29]HISTOJUIN24!$A$6:$BG$38,58,0)</f>
        <v>0</v>
      </c>
      <c r="U15" s="36">
        <f>VLOOKUP($A15,[29]HISTOJUIN24!$A$6:$AU$38,28,0)</f>
        <v>0</v>
      </c>
      <c r="V15" s="36">
        <f>VLOOKUP($A15,[29]HISTOJUIN24!$A$6:$AU$38,19,0)</f>
        <v>0</v>
      </c>
      <c r="W15" s="36">
        <f>VLOOKUP($A15,[29]HISTOJUIN24!$A$6:$AU$38,20,0)</f>
        <v>0</v>
      </c>
      <c r="X15" s="36">
        <f>VLOOKUP($A15,[29]HISTOJUIN24!$A$6:$AU$38,27,0)</f>
        <v>0</v>
      </c>
      <c r="Y15" s="36">
        <f>VLOOKUP($A15,[29]HISTOJUIN24!$A$6:$BM$38,33,0)</f>
        <v>0</v>
      </c>
      <c r="Z15" s="36">
        <f>VLOOKUP($A15,[29]HISTOJUIN24!$A$6:$BM$38,65,0)</f>
        <v>0</v>
      </c>
      <c r="AA15" s="36"/>
      <c r="AB15" s="36">
        <f>VLOOKUP($A15,[29]HISTOJUIN24!$A$6:$AU$38,43,0)</f>
        <v>0</v>
      </c>
      <c r="AC15" s="36">
        <f>VLOOKUP($A15,[29]HISTOJUIN24!$A$6:$AU$38,44,0)</f>
        <v>0</v>
      </c>
      <c r="AD15" s="36">
        <f>VLOOKUP($A15,[29]HISTOJUIN24!$A$6:$AU$38,47,0)</f>
        <v>0</v>
      </c>
      <c r="AE15" s="36">
        <f>VLOOKUP(A15,[29]HISTOJUIN24!$A$6:$BB$38,54,0)</f>
        <v>0</v>
      </c>
      <c r="AF15" s="36">
        <f>VLOOKUP($A15,[29]HISTOJUIN24!$A$6:$CB$38,60,0)</f>
        <v>0</v>
      </c>
      <c r="AG15" s="36">
        <f>VLOOKUP($A15,[29]HISTOJUIN24!$A$6:$CB$38,61,0)</f>
        <v>0</v>
      </c>
      <c r="AH15" s="36">
        <f>VLOOKUP($A15,[29]HISTOJUIN24!$A$6:$CB$38,62,0)</f>
        <v>0</v>
      </c>
      <c r="AI15" s="36">
        <f>VLOOKUP($A15,[29]HISTOJUIN24!$A$6:$CB$38,63,0)</f>
        <v>0</v>
      </c>
      <c r="AJ15" s="36">
        <f>VLOOKUP($A15,[29]HISTOJUIN24!$A$6:$CB$38,64,0)</f>
        <v>0</v>
      </c>
      <c r="AK15" s="36">
        <f>VLOOKUP($A15,[29]HISTOJUIN24!$A$6:$CB$38,65,0)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VLOOKUP($A16,[29]HISTOJUIN24!$A$6:$BA$38,48,0)</f>
        <v>0</v>
      </c>
      <c r="F16" s="36">
        <f>MVTMAI24!I16-E16+L16</f>
        <v>1105953.5704262538</v>
      </c>
      <c r="G16" s="5">
        <f>IF(MVTMAI24!I16+L16&gt;700000,(MVTMAI24!I16-E16+L16),0)</f>
        <v>1105953.5704262538</v>
      </c>
      <c r="H16" s="36">
        <f t="shared" si="0"/>
        <v>4169.2705976054449</v>
      </c>
      <c r="I16" s="6">
        <f t="shared" si="2"/>
        <v>1110122.8410238593</v>
      </c>
      <c r="J16" s="36">
        <f>VLOOKUP($A16,[29]HISTOJUIN24!$A$6:$AQ$42,22,0)</f>
        <v>0</v>
      </c>
      <c r="K16" s="36">
        <f>VLOOKUP($A16,[29]HISTOJUIN24!$A$6:$AU$38,45,0)</f>
        <v>60000</v>
      </c>
      <c r="L16" s="36">
        <f t="shared" si="3"/>
        <v>54000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VLOOKUP($A16,[29]HISTOJUIN24!$A$6:$AU$38,7,0)</f>
        <v>0</v>
      </c>
      <c r="Q16" s="36">
        <f>VLOOKUP($A16,[29]HISTOJUIN24!$A$6:$AU$38,23,0)</f>
        <v>0</v>
      </c>
      <c r="R16" s="36">
        <f>VLOOKUP($A16,[29]HISTOJUIN24!$A$6:$AU$38,46,0)</f>
        <v>0</v>
      </c>
      <c r="S16" s="36">
        <f>VLOOKUP($A16,[29]HISTOJUIN24!$A$6:$AU$38,26,0)</f>
        <v>0</v>
      </c>
      <c r="T16" s="36">
        <f>VLOOKUP($A16,[29]HISTOJUIN24!$A$6:$BG$38,58,0)</f>
        <v>0</v>
      </c>
      <c r="U16" s="36">
        <f>VLOOKUP($A16,[29]HISTOJUIN24!$A$6:$AU$38,28,0)</f>
        <v>0</v>
      </c>
      <c r="V16" s="36">
        <f>VLOOKUP($A16,[29]HISTOJUIN24!$A$6:$AU$38,19,0)</f>
        <v>0</v>
      </c>
      <c r="W16" s="36">
        <f>VLOOKUP($A16,[29]HISTOJUIN24!$A$6:$AU$38,20,0)</f>
        <v>0</v>
      </c>
      <c r="X16" s="36">
        <f>VLOOKUP($A16,[29]HISTOJUIN24!$A$6:$AU$38,27,0)</f>
        <v>0</v>
      </c>
      <c r="Y16" s="36">
        <f>VLOOKUP($A16,[29]HISTOJUIN24!$A$6:$BM$38,33,0)</f>
        <v>0</v>
      </c>
      <c r="Z16" s="36">
        <f>VLOOKUP($A16,[29]HISTOJUIN24!$A$6:$BM$38,65,0)</f>
        <v>0</v>
      </c>
      <c r="AA16" s="36"/>
      <c r="AB16" s="36">
        <f>VLOOKUP($A16,[29]HISTOJUIN24!$A$6:$AU$38,43,0)</f>
        <v>0</v>
      </c>
      <c r="AC16" s="36">
        <f>VLOOKUP($A16,[29]HISTOJUIN24!$A$6:$AU$38,44,0)</f>
        <v>0</v>
      </c>
      <c r="AD16" s="36">
        <f>VLOOKUP($A16,[29]HISTOJUIN24!$A$6:$AU$38,47,0)</f>
        <v>0</v>
      </c>
      <c r="AE16" s="36">
        <f>VLOOKUP(A16,[29]HISTOJUIN24!$A$6:$BB$38,54,0)</f>
        <v>0</v>
      </c>
      <c r="AF16" s="36">
        <f>VLOOKUP($A16,[29]HISTOJUIN24!$A$6:$CB$38,60,0)</f>
        <v>0</v>
      </c>
      <c r="AG16" s="36">
        <f>VLOOKUP($A16,[29]HISTOJUIN24!$A$6:$CB$38,61,0)</f>
        <v>0</v>
      </c>
      <c r="AH16" s="36">
        <f>VLOOKUP($A16,[29]HISTOJUIN24!$A$6:$CB$38,62,0)</f>
        <v>0</v>
      </c>
      <c r="AI16" s="36">
        <f>VLOOKUP($A16,[29]HISTOJUIN24!$A$6:$CB$38,63,0)</f>
        <v>0</v>
      </c>
      <c r="AJ16" s="36">
        <f>VLOOKUP($A16,[29]HISTOJUIN24!$A$6:$CB$38,64,0)</f>
        <v>0</v>
      </c>
      <c r="AK16" s="36">
        <f>VLOOKUP($A16,[29]HISTOJUIN24!$A$6:$CB$38,65,0)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VLOOKUP($A17,[29]HISTOJUIN24!$A$6:$BA$38,48,0)</f>
        <v>0</v>
      </c>
      <c r="F17" s="36">
        <f>MVTMAI24!I17-E17+L17</f>
        <v>873442.10685635731</v>
      </c>
      <c r="G17" s="5">
        <f>IF(MVTMAI24!I17+L17&gt;700000,(MVTMAI24!I17-E17+L17),0)</f>
        <v>873442.10685635731</v>
      </c>
      <c r="H17" s="36">
        <f t="shared" si="0"/>
        <v>3292.7390373388107</v>
      </c>
      <c r="I17" s="6">
        <f t="shared" si="2"/>
        <v>876734.84589369607</v>
      </c>
      <c r="J17" s="36">
        <f>VLOOKUP($A17,[29]HISTOJUIN24!$A$6:$AQ$42,22,0)</f>
        <v>0</v>
      </c>
      <c r="K17" s="36">
        <f>VLOOKUP($A17,[29]HISTOJUIN24!$A$6:$AU$38,45,0)</f>
        <v>25500</v>
      </c>
      <c r="L17" s="36">
        <f t="shared" si="3"/>
        <v>19500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VLOOKUP($A17,[29]HISTOJUIN24!$A$6:$AU$38,7,0)</f>
        <v>0</v>
      </c>
      <c r="Q17" s="36">
        <f>VLOOKUP($A17,[29]HISTOJUIN24!$A$6:$AU$38,23,0)</f>
        <v>0</v>
      </c>
      <c r="R17" s="36">
        <f>VLOOKUP($A17,[29]HISTOJUIN24!$A$6:$AU$38,46,0)</f>
        <v>0</v>
      </c>
      <c r="S17" s="36">
        <f>VLOOKUP($A17,[29]HISTOJUIN24!$A$6:$AU$38,26,0)</f>
        <v>0</v>
      </c>
      <c r="T17" s="36">
        <f>VLOOKUP($A17,[29]HISTOJUIN24!$A$6:$BG$38,58,0)</f>
        <v>0</v>
      </c>
      <c r="U17" s="36">
        <f>VLOOKUP($A17,[29]HISTOJUIN24!$A$6:$AU$38,28,0)</f>
        <v>0</v>
      </c>
      <c r="V17" s="36">
        <f>VLOOKUP($A17,[29]HISTOJUIN24!$A$6:$AU$38,19,0)</f>
        <v>0</v>
      </c>
      <c r="W17" s="36">
        <f>VLOOKUP($A17,[29]HISTOJUIN24!$A$6:$AU$38,20,0)</f>
        <v>0</v>
      </c>
      <c r="X17" s="36">
        <f>VLOOKUP($A17,[29]HISTOJUIN24!$A$6:$AU$38,27,0)</f>
        <v>0</v>
      </c>
      <c r="Y17" s="36">
        <f>VLOOKUP($A17,[29]HISTOJUIN24!$A$6:$BM$38,33,0)</f>
        <v>0</v>
      </c>
      <c r="Z17" s="36">
        <f>VLOOKUP($A17,[29]HISTOJUIN24!$A$6:$BM$38,65,0)</f>
        <v>0</v>
      </c>
      <c r="AA17" s="36"/>
      <c r="AB17" s="36">
        <f>VLOOKUP($A17,[29]HISTOJUIN24!$A$6:$AU$38,43,0)</f>
        <v>0</v>
      </c>
      <c r="AC17" s="36">
        <f>VLOOKUP($A17,[29]HISTOJUIN24!$A$6:$AU$38,44,0)</f>
        <v>0</v>
      </c>
      <c r="AD17" s="36">
        <f>VLOOKUP($A17,[29]HISTOJUIN24!$A$6:$AU$38,47,0)</f>
        <v>0</v>
      </c>
      <c r="AE17" s="36">
        <f>VLOOKUP(A17,[29]HISTOJUIN24!$A$6:$BB$38,54,0)</f>
        <v>0</v>
      </c>
      <c r="AF17" s="36">
        <f>VLOOKUP($A17,[29]HISTOJUIN24!$A$6:$CB$38,60,0)</f>
        <v>0</v>
      </c>
      <c r="AG17" s="36">
        <f>VLOOKUP($A17,[29]HISTOJUIN24!$A$6:$CB$38,61,0)</f>
        <v>0</v>
      </c>
      <c r="AH17" s="36">
        <f>VLOOKUP($A17,[29]HISTOJUIN24!$A$6:$CB$38,62,0)</f>
        <v>0</v>
      </c>
      <c r="AI17" s="36">
        <f>VLOOKUP($A17,[29]HISTOJUIN24!$A$6:$CB$38,63,0)</f>
        <v>0</v>
      </c>
      <c r="AJ17" s="36">
        <f>VLOOKUP($A17,[29]HISTOJUIN24!$A$6:$CB$38,64,0)</f>
        <v>0</v>
      </c>
      <c r="AK17" s="36">
        <f>VLOOKUP($A17,[29]HISTOJUIN24!$A$6:$CB$38,65,0)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VLOOKUP($A18,[29]HISTOJUIN24!$A$6:$BA$38,48,0)</f>
        <v>0</v>
      </c>
      <c r="F18" s="36">
        <f>MVTMAI24!I18-E18+L18</f>
        <v>939347.40957062226</v>
      </c>
      <c r="G18" s="5">
        <f>IF(MVTMAI24!I18+L18&gt;700000,(MVTMAI24!I18-E18+L18),0)</f>
        <v>939347.40957062226</v>
      </c>
      <c r="H18" s="36">
        <f t="shared" si="0"/>
        <v>3541.1916380451562</v>
      </c>
      <c r="I18" s="6">
        <f t="shared" si="2"/>
        <v>942888.60120866739</v>
      </c>
      <c r="J18" s="36">
        <f>VLOOKUP($A18,[29]HISTOJUIN24!$A$6:$AQ$42,22,0)</f>
        <v>0</v>
      </c>
      <c r="K18" s="36">
        <f>VLOOKUP($A18,[29]HISTOJUIN24!$A$6:$AU$38,45,0)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VLOOKUP($A18,[29]HISTOJUIN24!$A$6:$AU$38,7,0)</f>
        <v>0</v>
      </c>
      <c r="Q18" s="36">
        <f>VLOOKUP($A18,[29]HISTOJUIN24!$A$6:$AU$38,23,0)</f>
        <v>0</v>
      </c>
      <c r="R18" s="36">
        <f>VLOOKUP($A18,[29]HISTOJUIN24!$A$6:$AU$38,46,0)</f>
        <v>0</v>
      </c>
      <c r="S18" s="36">
        <f>VLOOKUP($A18,[29]HISTOJUIN24!$A$6:$AU$38,26,0)</f>
        <v>0</v>
      </c>
      <c r="T18" s="36">
        <f>VLOOKUP($A18,[29]HISTOJUIN24!$A$6:$BG$38,58,0)</f>
        <v>0</v>
      </c>
      <c r="U18" s="36">
        <f>VLOOKUP($A18,[29]HISTOJUIN24!$A$6:$AU$38,28,0)</f>
        <v>0</v>
      </c>
      <c r="V18" s="36">
        <f>VLOOKUP($A18,[29]HISTOJUIN24!$A$6:$AU$38,19,0)</f>
        <v>0</v>
      </c>
      <c r="W18" s="36">
        <f>VLOOKUP($A18,[29]HISTOJUIN24!$A$6:$AU$38,20,0)</f>
        <v>0</v>
      </c>
      <c r="X18" s="36">
        <f>VLOOKUP($A18,[29]HISTOJUIN24!$A$6:$AU$38,27,0)</f>
        <v>0</v>
      </c>
      <c r="Y18" s="36">
        <f>VLOOKUP($A18,[29]HISTOJUIN24!$A$6:$BM$38,33,0)</f>
        <v>0</v>
      </c>
      <c r="Z18" s="36">
        <f>VLOOKUP($A18,[29]HISTOJUIN24!$A$6:$BM$38,65,0)</f>
        <v>0</v>
      </c>
      <c r="AA18" s="36"/>
      <c r="AB18" s="36">
        <f>VLOOKUP($A18,[29]HISTOJUIN24!$A$6:$AU$38,43,0)</f>
        <v>0</v>
      </c>
      <c r="AC18" s="36">
        <f>VLOOKUP($A18,[29]HISTOJUIN24!$A$6:$AU$38,44,0)</f>
        <v>0</v>
      </c>
      <c r="AD18" s="36">
        <f>VLOOKUP($A18,[29]HISTOJUIN24!$A$6:$AU$38,47,0)</f>
        <v>0</v>
      </c>
      <c r="AE18" s="36">
        <f>VLOOKUP(A18,[29]HISTOJUIN24!$A$6:$BB$38,54,0)</f>
        <v>0</v>
      </c>
      <c r="AF18" s="36">
        <f>VLOOKUP($A18,[29]HISTOJUIN24!$A$6:$CB$38,60,0)</f>
        <v>0</v>
      </c>
      <c r="AG18" s="36">
        <f>VLOOKUP($A18,[29]HISTOJUIN24!$A$6:$CB$38,61,0)</f>
        <v>0</v>
      </c>
      <c r="AH18" s="36">
        <f>VLOOKUP($A18,[29]HISTOJUIN24!$A$6:$CB$38,62,0)</f>
        <v>0</v>
      </c>
      <c r="AI18" s="36">
        <f>VLOOKUP($A18,[29]HISTOJUIN24!$A$6:$CB$38,63,0)</f>
        <v>0</v>
      </c>
      <c r="AJ18" s="36">
        <f>VLOOKUP($A18,[29]HISTOJUIN24!$A$6:$CB$38,64,0)</f>
        <v>0</v>
      </c>
      <c r="AK18" s="36">
        <f>VLOOKUP($A18,[29]HISTOJUIN24!$A$6:$CB$38,65,0)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MVTMAI24!I19-E19+L19</f>
        <v>676217</v>
      </c>
      <c r="G19" s="5">
        <f>IF(MVTMAI24!I19+L19&gt;700000,(MVTMAI24!I19-E19+L19),0)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MVTMAI24!I20-E20+L20</f>
        <v>114000</v>
      </c>
      <c r="G20" s="5">
        <f>IF(MVTMAI24!I20+L20&gt;700000,(MVTMAI24!I20-E20+L20),0)</f>
        <v>0</v>
      </c>
      <c r="H20" s="36">
        <f t="shared" si="0"/>
        <v>0</v>
      </c>
      <c r="I20" s="6">
        <f t="shared" si="2"/>
        <v>114000</v>
      </c>
      <c r="J20" s="36">
        <f>VLOOKUP($A20,[29]HISTOJUIN24!$A$6:$AQ$42,22,0)</f>
        <v>0</v>
      </c>
      <c r="K20" s="36">
        <f>VLOOKUP($A20,[29]HISTOJUIN24!$A$6:$AU$38,45,0)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VLOOKUP($A20,[29]HISTOJUIN24!$A$6:$AU$38,7,0)</f>
        <v>0</v>
      </c>
      <c r="Q20" s="36">
        <f>VLOOKUP($A20,[29]HISTOJUIN24!$A$6:$AU$38,23,0)</f>
        <v>0</v>
      </c>
      <c r="R20" s="36">
        <f>VLOOKUP($A20,[29]HISTOJUIN24!$A$6:$AU$38,46,0)</f>
        <v>0</v>
      </c>
      <c r="S20" s="36">
        <f>VLOOKUP($A20,[29]HISTOJUIN24!$A$6:$AU$38,26,0)</f>
        <v>0</v>
      </c>
      <c r="T20" s="36">
        <f>VLOOKUP($A20,[29]HISTOJUIN24!$A$6:$BG$38,58,0)</f>
        <v>0</v>
      </c>
      <c r="U20" s="36">
        <f>VLOOKUP($A20,[29]HISTOJUIN24!$A$6:$AU$38,28,0)</f>
        <v>0</v>
      </c>
      <c r="V20" s="36">
        <f>VLOOKUP($A20,[29]HISTOJUIN24!$A$6:$AU$38,19,0)</f>
        <v>0</v>
      </c>
      <c r="W20" s="36">
        <f>VLOOKUP($A20,[29]HISTOJUIN24!$A$6:$AU$38,20,0)</f>
        <v>0</v>
      </c>
      <c r="X20" s="36">
        <f>VLOOKUP($A20,[29]HISTOJUIN24!$A$6:$AU$38,27,0)</f>
        <v>0</v>
      </c>
      <c r="Y20" s="36">
        <f>VLOOKUP($A20,[29]HISTOJUIN24!$A$6:$BM$38,33,0)</f>
        <v>0</v>
      </c>
      <c r="Z20" s="36">
        <f>VLOOKUP($A20,[29]HISTOJUIN24!$A$6:$BM$38,65,0)</f>
        <v>0</v>
      </c>
      <c r="AA20" s="36"/>
      <c r="AB20" s="36">
        <f>VLOOKUP($A20,[29]HISTOJUIN24!$A$6:$AU$38,43,0)</f>
        <v>0</v>
      </c>
      <c r="AC20" s="36">
        <f>VLOOKUP($A20,[29]HISTOJUIN24!$A$6:$AU$38,44,0)</f>
        <v>0</v>
      </c>
      <c r="AD20" s="36">
        <f>VLOOKUP($A20,[29]HISTOJUIN24!$A$6:$AU$38,47,0)</f>
        <v>0</v>
      </c>
      <c r="AE20" s="36">
        <f>VLOOKUP(A20,[29]HISTOJUIN24!$A$6:$BB$38,54,0)</f>
        <v>0</v>
      </c>
      <c r="AF20" s="36">
        <f>VLOOKUP($A20,[29]HISTOJUIN24!$A$6:$CB$38,60,0)</f>
        <v>0</v>
      </c>
      <c r="AG20" s="36">
        <f>VLOOKUP($A20,[29]HISTOJUIN24!$A$6:$CB$38,61,0)</f>
        <v>0</v>
      </c>
      <c r="AH20" s="36">
        <f>VLOOKUP($A20,[29]HISTOJUIN24!$A$6:$CB$38,62,0)</f>
        <v>0</v>
      </c>
      <c r="AI20" s="36">
        <f>VLOOKUP($A20,[29]HISTOJUIN24!$A$6:$CB$38,63,0)</f>
        <v>0</v>
      </c>
      <c r="AJ20" s="36">
        <f>VLOOKUP($A20,[29]HISTOJUIN24!$A$6:$CB$38,64,0)</f>
        <v>0</v>
      </c>
      <c r="AK20" s="36">
        <f>VLOOKUP($A20,[29]HISTOJUIN24!$A$6:$CB$38,65,0)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MVTMAI24!I21-E21+L21</f>
        <v>895430.56919215003</v>
      </c>
      <c r="G21" s="5">
        <f>IF(MVTMAI24!I21+L21&gt;700000,(MVTMAI24!I21-E21+L21),0)</f>
        <v>895430.56919215003</v>
      </c>
      <c r="H21" s="36">
        <f t="shared" si="0"/>
        <v>3375.6320736783396</v>
      </c>
      <c r="I21" s="6">
        <f t="shared" si="2"/>
        <v>898806.20126582833</v>
      </c>
      <c r="J21" s="36">
        <f>VLOOKUP($A21,[29]HISTOJUIN24!$A$6:$AQ$42,22,0)</f>
        <v>0</v>
      </c>
      <c r="K21" s="36">
        <f>VLOOKUP($A21,[29]HISTOJUIN24!$A$6:$AU$38,45,0)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VLOOKUP($A21,[29]HISTOJUIN24!$A$6:$AU$38,7,0)</f>
        <v>0</v>
      </c>
      <c r="Q21" s="36">
        <f>VLOOKUP($A21,[29]HISTOJUIN24!$A$6:$AU$38,23,0)</f>
        <v>0</v>
      </c>
      <c r="R21" s="36">
        <f>VLOOKUP($A21,[29]HISTOJUIN24!$A$6:$AU$38,46,0)</f>
        <v>0</v>
      </c>
      <c r="S21" s="36">
        <f>VLOOKUP($A21,[29]HISTOJUIN24!$A$6:$AU$38,26,0)</f>
        <v>0</v>
      </c>
      <c r="T21" s="36">
        <f>VLOOKUP($A21,[29]HISTOJUIN24!$A$6:$BG$38,58,0)</f>
        <v>0</v>
      </c>
      <c r="U21" s="36">
        <f>VLOOKUP($A21,[29]HISTOJUIN24!$A$6:$AU$38,28,0)</f>
        <v>0</v>
      </c>
      <c r="V21" s="36">
        <f>VLOOKUP($A21,[29]HISTOJUIN24!$A$6:$AU$38,19,0)</f>
        <v>0</v>
      </c>
      <c r="W21" s="36">
        <f>VLOOKUP($A21,[29]HISTOJUIN24!$A$6:$AU$38,20,0)</f>
        <v>0</v>
      </c>
      <c r="X21" s="36">
        <f>VLOOKUP($A21,[29]HISTOJUIN24!$A$6:$AU$38,27,0)</f>
        <v>0</v>
      </c>
      <c r="Y21" s="36">
        <f>VLOOKUP($A21,[29]HISTOJUIN24!$A$6:$BM$38,33,0)</f>
        <v>0</v>
      </c>
      <c r="Z21" s="36">
        <f>VLOOKUP($A21,[29]HISTOJUIN24!$A$6:$BM$38,65,0)</f>
        <v>0</v>
      </c>
      <c r="AA21" s="36"/>
      <c r="AB21" s="36">
        <f>VLOOKUP($A21,[29]HISTOJUIN24!$A$6:$AU$38,43,0)</f>
        <v>0</v>
      </c>
      <c r="AC21" s="36">
        <f>VLOOKUP($A21,[29]HISTOJUIN24!$A$6:$AU$38,44,0)</f>
        <v>0</v>
      </c>
      <c r="AD21" s="36">
        <f>VLOOKUP($A21,[29]HISTOJUIN24!$A$6:$AU$38,47,0)</f>
        <v>0</v>
      </c>
      <c r="AE21" s="36">
        <f>VLOOKUP(A21,[29]HISTOJUIN24!$A$6:$BB$38,54,0)</f>
        <v>0</v>
      </c>
      <c r="AF21" s="36">
        <f>VLOOKUP($A21,[29]HISTOJUIN24!$A$6:$CB$38,60,0)</f>
        <v>0</v>
      </c>
      <c r="AG21" s="36">
        <f>VLOOKUP($A21,[29]HISTOJUIN24!$A$6:$CB$38,61,0)</f>
        <v>0</v>
      </c>
      <c r="AH21" s="36">
        <f>VLOOKUP($A21,[29]HISTOJUIN24!$A$6:$CB$38,62,0)</f>
        <v>0</v>
      </c>
      <c r="AI21" s="36">
        <f>VLOOKUP($A21,[29]HISTOJUIN24!$A$6:$CB$38,63,0)</f>
        <v>0</v>
      </c>
      <c r="AJ21" s="36">
        <f>VLOOKUP($A21,[29]HISTOJUIN24!$A$6:$CB$38,64,0)</f>
        <v>0</v>
      </c>
      <c r="AK21" s="36">
        <f>VLOOKUP($A21,[29]HISTOJUIN24!$A$6:$CB$38,65,0)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MVTMAI24!I22-E22+L22</f>
        <v>864263.97451724915</v>
      </c>
      <c r="G22" s="5">
        <f>IF(MVTMAI24!I22+L22&gt;700000,(MVTMAI24!I22-E22+L22),0)</f>
        <v>864263.97451724915</v>
      </c>
      <c r="H22" s="36">
        <f t="shared" si="0"/>
        <v>3258.1389254302908</v>
      </c>
      <c r="I22" s="6">
        <f t="shared" si="2"/>
        <v>867522.1134426794</v>
      </c>
      <c r="J22" s="36">
        <f>VLOOKUP($A22,[29]HISTOJUIN24!$A$6:$AQ$42,22,0)</f>
        <v>0</v>
      </c>
      <c r="K22" s="36">
        <f>VLOOKUP($A22,[29]HISTOJUIN24!$A$6:$AU$38,45,0)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VLOOKUP($A22,[29]HISTOJUIN24!$A$6:$AU$38,7,0)</f>
        <v>0</v>
      </c>
      <c r="Q22" s="36">
        <f>VLOOKUP($A22,[29]HISTOJUIN24!$A$6:$AU$38,23,0)</f>
        <v>0</v>
      </c>
      <c r="R22" s="36">
        <f>VLOOKUP($A22,[29]HISTOJUIN24!$A$6:$AU$38,46,0)</f>
        <v>0</v>
      </c>
      <c r="S22" s="36">
        <f>VLOOKUP($A22,[29]HISTOJUIN24!$A$6:$AU$38,26,0)</f>
        <v>0</v>
      </c>
      <c r="T22" s="36">
        <f>VLOOKUP($A22,[29]HISTOJUIN24!$A$6:$BG$38,58,0)</f>
        <v>0</v>
      </c>
      <c r="U22" s="36">
        <f>VLOOKUP($A22,[29]HISTOJUIN24!$A$6:$AU$38,28,0)</f>
        <v>0</v>
      </c>
      <c r="V22" s="36">
        <f>VLOOKUP($A22,[29]HISTOJUIN24!$A$6:$AU$38,19,0)</f>
        <v>0</v>
      </c>
      <c r="W22" s="36">
        <f>VLOOKUP($A22,[29]HISTOJUIN24!$A$6:$AU$38,20,0)</f>
        <v>0</v>
      </c>
      <c r="X22" s="36">
        <f>VLOOKUP($A22,[29]HISTOJUIN24!$A$6:$AU$38,27,0)</f>
        <v>0</v>
      </c>
      <c r="Y22" s="36">
        <f>VLOOKUP($A22,[29]HISTOJUIN24!$A$6:$BM$38,33,0)</f>
        <v>0</v>
      </c>
      <c r="Z22" s="36">
        <f>VLOOKUP($A22,[29]HISTOJUIN24!$A$6:$BM$38,65,0)</f>
        <v>0</v>
      </c>
      <c r="AA22" s="36"/>
      <c r="AB22" s="36">
        <f>VLOOKUP($A22,[29]HISTOJUIN24!$A$6:$AU$38,43,0)</f>
        <v>0</v>
      </c>
      <c r="AC22" s="36">
        <f>VLOOKUP($A22,[29]HISTOJUIN24!$A$6:$AU$38,44,0)</f>
        <v>0</v>
      </c>
      <c r="AD22" s="36">
        <f>VLOOKUP($A22,[29]HISTOJUIN24!$A$6:$AU$38,47,0)</f>
        <v>0</v>
      </c>
      <c r="AE22" s="36">
        <f>VLOOKUP(A22,[29]HISTOJUIN24!$A$6:$BB$38,54,0)</f>
        <v>0</v>
      </c>
      <c r="AF22" s="36">
        <f>VLOOKUP($A22,[29]HISTOJUIN24!$A$6:$CB$38,60,0)</f>
        <v>0</v>
      </c>
      <c r="AG22" s="36">
        <f>VLOOKUP($A22,[29]HISTOJUIN24!$A$6:$CB$38,61,0)</f>
        <v>0</v>
      </c>
      <c r="AH22" s="36">
        <f>VLOOKUP($A22,[29]HISTOJUIN24!$A$6:$CB$38,62,0)</f>
        <v>0</v>
      </c>
      <c r="AI22" s="36">
        <f>VLOOKUP($A22,[29]HISTOJUIN24!$A$6:$CB$38,63,0)</f>
        <v>0</v>
      </c>
      <c r="AJ22" s="36">
        <f>VLOOKUP($A22,[29]HISTOJUIN24!$A$6:$CB$38,64,0)</f>
        <v>0</v>
      </c>
      <c r="AK22" s="36">
        <f>VLOOKUP($A22,[29]HISTOJUIN24!$A$6:$CB$38,65,0)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MVTMAI24!I23-E23+L23</f>
        <v>970375.30890728219</v>
      </c>
      <c r="G23" s="5">
        <f>IF(MVTMAI24!I23+L23&gt;700000,(MVTMAI24!I23-E23+L23),0)</f>
        <v>970375.30890728219</v>
      </c>
      <c r="H23" s="36">
        <f t="shared" si="0"/>
        <v>3658.1619267345254</v>
      </c>
      <c r="I23" s="6">
        <f t="shared" si="2"/>
        <v>974033.47083401668</v>
      </c>
      <c r="J23" s="36">
        <f>VLOOKUP($A23,[29]HISTOJUIN24!$A$6:$AQ$42,22,0)</f>
        <v>0</v>
      </c>
      <c r="K23" s="36">
        <f>VLOOKUP($A23,[29]HISTOJUIN24!$A$6:$AU$38,45,0)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VLOOKUP($A23,[29]HISTOJUIN24!$A$6:$AU$38,7,0)</f>
        <v>3000</v>
      </c>
      <c r="Q23" s="36">
        <f>VLOOKUP($A23,[29]HISTOJUIN24!$A$6:$AU$38,23,0)</f>
        <v>0</v>
      </c>
      <c r="R23" s="36">
        <f>VLOOKUP($A23,[29]HISTOJUIN24!$A$6:$AU$38,46,0)</f>
        <v>0</v>
      </c>
      <c r="S23" s="36">
        <f>VLOOKUP($A23,[29]HISTOJUIN24!$A$6:$AU$38,26,0)</f>
        <v>0</v>
      </c>
      <c r="T23" s="36">
        <f>VLOOKUP($A23,[29]HISTOJUIN24!$A$6:$BG$38,58,0)</f>
        <v>0</v>
      </c>
      <c r="U23" s="36">
        <f>VLOOKUP($A23,[29]HISTOJUIN24!$A$6:$AU$38,28,0)</f>
        <v>0</v>
      </c>
      <c r="V23" s="36">
        <f>VLOOKUP($A23,[29]HISTOJUIN24!$A$6:$AU$38,19,0)</f>
        <v>0</v>
      </c>
      <c r="W23" s="36">
        <f>VLOOKUP($A23,[29]HISTOJUIN24!$A$6:$AU$38,20,0)</f>
        <v>0</v>
      </c>
      <c r="X23" s="36">
        <f>VLOOKUP($A23,[29]HISTOJUIN24!$A$6:$AU$38,27,0)</f>
        <v>0</v>
      </c>
      <c r="Y23" s="36">
        <f>VLOOKUP($A23,[29]HISTOJUIN24!$A$6:$BM$38,33,0)</f>
        <v>0</v>
      </c>
      <c r="Z23" s="36">
        <f>VLOOKUP($A23,[29]HISTOJUIN24!$A$6:$BM$38,65,0)</f>
        <v>0</v>
      </c>
      <c r="AA23" s="36"/>
      <c r="AB23" s="36">
        <f>VLOOKUP($A23,[29]HISTOJUIN24!$A$6:$AU$38,43,0)</f>
        <v>0</v>
      </c>
      <c r="AC23" s="36">
        <f>VLOOKUP($A23,[29]HISTOJUIN24!$A$6:$AU$38,44,0)</f>
        <v>0</v>
      </c>
      <c r="AD23" s="36">
        <f>VLOOKUP($A23,[29]HISTOJUIN24!$A$6:$AU$38,47,0)</f>
        <v>0</v>
      </c>
      <c r="AE23" s="36">
        <f>VLOOKUP(A23,[29]HISTOJUIN24!$A$6:$BB$38,54,0)</f>
        <v>0</v>
      </c>
      <c r="AF23" s="36">
        <f>VLOOKUP($A23,[29]HISTOJUIN24!$A$6:$CB$38,60,0)</f>
        <v>0</v>
      </c>
      <c r="AG23" s="36">
        <f>VLOOKUP($A23,[29]HISTOJUIN24!$A$6:$CB$38,61,0)</f>
        <v>0</v>
      </c>
      <c r="AH23" s="36">
        <f>VLOOKUP($A23,[29]HISTOJUIN24!$A$6:$CB$38,62,0)</f>
        <v>0</v>
      </c>
      <c r="AI23" s="36">
        <f>VLOOKUP($A23,[29]HISTOJUIN24!$A$6:$CB$38,63,0)</f>
        <v>0</v>
      </c>
      <c r="AJ23" s="36">
        <f>VLOOKUP($A23,[29]HISTOJUIN24!$A$6:$CB$38,64,0)</f>
        <v>0</v>
      </c>
      <c r="AK23" s="36">
        <f>VLOOKUP($A23,[29]HISTOJUIN24!$A$6:$CB$38,65,0)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MVTMAI24!I24-E24+L24</f>
        <v>1173927.5627359396</v>
      </c>
      <c r="G24" s="5">
        <f>IF(MVTMAI24!I24+L24&gt;700000,(MVTMAI24!I24-E24+L24),0)</f>
        <v>1173927.5627359396</v>
      </c>
      <c r="H24" s="36">
        <f t="shared" si="0"/>
        <v>4425.5218319401765</v>
      </c>
      <c r="I24" s="6">
        <f t="shared" si="2"/>
        <v>1178353.0845678798</v>
      </c>
      <c r="J24" s="36">
        <f>VLOOKUP($A24,[29]HISTOJUIN24!$A$6:$AQ$42,22,0)</f>
        <v>0</v>
      </c>
      <c r="K24" s="36">
        <f>VLOOKUP($A24,[29]HISTOJUIN24!$A$6:$AU$38,45,0)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VLOOKUP($A24,[29]HISTOJUIN24!$A$6:$AU$38,7,0)</f>
        <v>0</v>
      </c>
      <c r="Q24" s="36">
        <f>VLOOKUP($A24,[29]HISTOJUIN24!$A$6:$AU$38,23,0)</f>
        <v>0</v>
      </c>
      <c r="R24" s="36">
        <f>VLOOKUP($A24,[29]HISTOJUIN24!$A$6:$AU$38,46,0)</f>
        <v>0</v>
      </c>
      <c r="S24" s="36">
        <f>VLOOKUP($A24,[29]HISTOJUIN24!$A$6:$AU$38,26,0)</f>
        <v>0</v>
      </c>
      <c r="T24" s="36">
        <f>VLOOKUP($A24,[29]HISTOJUIN24!$A$6:$BG$38,58,0)</f>
        <v>0</v>
      </c>
      <c r="U24" s="36">
        <f>VLOOKUP($A24,[29]HISTOJUIN24!$A$6:$AU$38,28,0)</f>
        <v>0</v>
      </c>
      <c r="V24" s="36">
        <f>VLOOKUP($A24,[29]HISTOJUIN24!$A$6:$AU$38,19,0)</f>
        <v>0</v>
      </c>
      <c r="W24" s="36">
        <f>VLOOKUP($A24,[29]HISTOJUIN24!$A$6:$AU$38,20,0)</f>
        <v>0</v>
      </c>
      <c r="X24" s="36">
        <f>VLOOKUP($A24,[29]HISTOJUIN24!$A$6:$AU$38,27,0)</f>
        <v>0</v>
      </c>
      <c r="Y24" s="36">
        <f>VLOOKUP($A24,[29]HISTOJUIN24!$A$6:$BM$38,33,0)</f>
        <v>0</v>
      </c>
      <c r="Z24" s="36">
        <f>VLOOKUP($A24,[29]HISTOJUIN24!$A$6:$BM$38,65,0)</f>
        <v>0</v>
      </c>
      <c r="AA24" s="36"/>
      <c r="AB24" s="36">
        <f>VLOOKUP($A24,[29]HISTOJUIN24!$A$6:$AU$38,43,0)</f>
        <v>0</v>
      </c>
      <c r="AC24" s="36">
        <f>VLOOKUP($A24,[29]HISTOJUIN24!$A$6:$AU$38,44,0)</f>
        <v>0</v>
      </c>
      <c r="AD24" s="36">
        <f>VLOOKUP($A24,[29]HISTOJUIN24!$A$6:$AU$38,47,0)</f>
        <v>0</v>
      </c>
      <c r="AE24" s="36">
        <f>VLOOKUP(A24,[29]HISTOJUIN24!$A$6:$BB$38,54,0)</f>
        <v>0</v>
      </c>
      <c r="AF24" s="36">
        <f>VLOOKUP($A24,[29]HISTOJUIN24!$A$6:$CB$38,60,0)</f>
        <v>0</v>
      </c>
      <c r="AG24" s="36">
        <f>VLOOKUP($A24,[29]HISTOJUIN24!$A$6:$CB$38,61,0)</f>
        <v>0</v>
      </c>
      <c r="AH24" s="36">
        <f>VLOOKUP($A24,[29]HISTOJUIN24!$A$6:$CB$38,62,0)</f>
        <v>0</v>
      </c>
      <c r="AI24" s="36">
        <f>VLOOKUP($A24,[29]HISTOJUIN24!$A$6:$CB$38,63,0)</f>
        <v>0</v>
      </c>
      <c r="AJ24" s="36">
        <f>VLOOKUP($A24,[29]HISTOJUIN24!$A$6:$CB$38,64,0)</f>
        <v>0</v>
      </c>
      <c r="AK24" s="36">
        <f>VLOOKUP($A24,[29]HISTOJUIN24!$A$6:$CB$38,65,0)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MVTMAI24!I25-E25+L25</f>
        <v>1016994.6536978025</v>
      </c>
      <c r="G25" s="5">
        <f>IF(MVTMAI24!I25+L25&gt;700000,(MVTMAI24!I25-E25+L25),0)</f>
        <v>1016994.6536978025</v>
      </c>
      <c r="H25" s="36">
        <f t="shared" si="0"/>
        <v>3833.9095066621653</v>
      </c>
      <c r="I25" s="6">
        <f t="shared" si="2"/>
        <v>1020828.5632044646</v>
      </c>
      <c r="J25" s="36">
        <f>VLOOKUP($A25,[29]HISTOJUIN24!$A$6:$AQ$42,22,0)</f>
        <v>0</v>
      </c>
      <c r="K25" s="36">
        <f>VLOOKUP($A25,[29]HISTOJUIN24!$A$6:$AU$38,45,0)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VLOOKUP($A25,[29]HISTOJUIN24!$A$6:$AU$38,7,0)</f>
        <v>0</v>
      </c>
      <c r="Q25" s="36">
        <f>VLOOKUP($A25,[29]HISTOJUIN24!$A$6:$AU$38,23,0)</f>
        <v>0</v>
      </c>
      <c r="R25" s="36">
        <f>VLOOKUP($A25,[29]HISTOJUIN24!$A$6:$AU$38,46,0)</f>
        <v>0</v>
      </c>
      <c r="S25" s="36">
        <f>VLOOKUP($A25,[29]HISTOJUIN24!$A$6:$AU$38,26,0)</f>
        <v>0</v>
      </c>
      <c r="T25" s="36">
        <f>VLOOKUP($A25,[29]HISTOJUIN24!$A$6:$BG$38,58,0)</f>
        <v>0</v>
      </c>
      <c r="U25" s="36">
        <f>VLOOKUP($A25,[29]HISTOJUIN24!$A$6:$AU$38,28,0)</f>
        <v>0</v>
      </c>
      <c r="V25" s="36">
        <f>VLOOKUP($A25,[29]HISTOJUIN24!$A$6:$AU$38,19,0)</f>
        <v>0</v>
      </c>
      <c r="W25" s="36">
        <f>VLOOKUP($A25,[29]HISTOJUIN24!$A$6:$AU$38,20,0)</f>
        <v>0</v>
      </c>
      <c r="X25" s="36">
        <f>VLOOKUP($A25,[29]HISTOJUIN24!$A$6:$AU$38,27,0)</f>
        <v>0</v>
      </c>
      <c r="Y25" s="36">
        <f>VLOOKUP($A25,[29]HISTOJUIN24!$A$6:$BM$38,33,0)</f>
        <v>0</v>
      </c>
      <c r="Z25" s="36">
        <f>VLOOKUP($A25,[29]HISTOJUIN24!$A$6:$BM$38,65,0)</f>
        <v>0</v>
      </c>
      <c r="AA25" s="36"/>
      <c r="AB25" s="36">
        <f>VLOOKUP($A25,[29]HISTOJUIN24!$A$6:$AU$38,43,0)</f>
        <v>0</v>
      </c>
      <c r="AC25" s="36">
        <f>VLOOKUP($A25,[29]HISTOJUIN24!$A$6:$AU$38,44,0)</f>
        <v>0</v>
      </c>
      <c r="AD25" s="36">
        <f>VLOOKUP($A25,[29]HISTOJUIN24!$A$6:$AU$38,47,0)</f>
        <v>0</v>
      </c>
      <c r="AE25" s="36">
        <f>VLOOKUP(A25,[29]HISTOJUIN24!$A$6:$BB$38,54,0)</f>
        <v>0</v>
      </c>
      <c r="AF25" s="36">
        <f>VLOOKUP($A25,[29]HISTOJUIN24!$A$6:$CB$38,60,0)</f>
        <v>0</v>
      </c>
      <c r="AG25" s="36">
        <f>VLOOKUP($A25,[29]HISTOJUIN24!$A$6:$CB$38,61,0)</f>
        <v>0</v>
      </c>
      <c r="AH25" s="36">
        <f>VLOOKUP($A25,[29]HISTOJUIN24!$A$6:$CB$38,62,0)</f>
        <v>0</v>
      </c>
      <c r="AI25" s="36">
        <f>VLOOKUP($A25,[29]HISTOJUIN24!$A$6:$CB$38,63,0)</f>
        <v>0</v>
      </c>
      <c r="AJ25" s="36">
        <f>VLOOKUP($A25,[29]HISTOJUIN24!$A$6:$CB$38,64,0)</f>
        <v>0</v>
      </c>
      <c r="AK25" s="36">
        <f>VLOOKUP($A25,[29]HISTOJUIN24!$A$6:$CB$38,65,0)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MVTMAI24!I26-E26+L26</f>
        <v>887818.20426349016</v>
      </c>
      <c r="G26" s="5">
        <f>IF(MVTMAI24!I26+L26&gt;700000,(MVTMAI24!I26-E26+L26),0)</f>
        <v>887818.20426349016</v>
      </c>
      <c r="H26" s="36">
        <f t="shared" si="0"/>
        <v>3346.9346580507813</v>
      </c>
      <c r="I26" s="6">
        <f t="shared" si="2"/>
        <v>891165.13892154093</v>
      </c>
      <c r="J26" s="36">
        <f>VLOOKUP($A26,[29]HISTOJUIN24!$A$6:$AQ$42,22,0)</f>
        <v>0</v>
      </c>
      <c r="K26" s="36">
        <f>VLOOKUP($A26,[29]HISTOJUIN24!$A$6:$AU$38,45,0)</f>
        <v>30500</v>
      </c>
      <c r="L26" s="36">
        <f t="shared" si="3"/>
        <v>24500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VLOOKUP($A26,[29]HISTOJUIN24!$A$6:$AU$38,7,0)</f>
        <v>0</v>
      </c>
      <c r="Q26" s="36">
        <f>VLOOKUP($A26,[29]HISTOJUIN24!$A$6:$AU$38,23,0)</f>
        <v>0</v>
      </c>
      <c r="R26" s="36">
        <f>VLOOKUP($A26,[29]HISTOJUIN24!$A$6:$AU$38,46,0)</f>
        <v>0</v>
      </c>
      <c r="S26" s="36">
        <f>VLOOKUP($A26,[29]HISTOJUIN24!$A$6:$AU$38,26,0)</f>
        <v>0</v>
      </c>
      <c r="T26" s="36">
        <f>VLOOKUP($A26,[29]HISTOJUIN24!$A$6:$BG$38,58,0)</f>
        <v>0</v>
      </c>
      <c r="U26" s="36">
        <f>VLOOKUP($A26,[29]HISTOJUIN24!$A$6:$AU$38,28,0)</f>
        <v>0</v>
      </c>
      <c r="V26" s="36">
        <f>VLOOKUP($A26,[29]HISTOJUIN24!$A$6:$AU$38,19,0)</f>
        <v>0</v>
      </c>
      <c r="W26" s="36">
        <f>VLOOKUP($A26,[29]HISTOJUIN24!$A$6:$AU$38,20,0)</f>
        <v>0</v>
      </c>
      <c r="X26" s="36">
        <f>VLOOKUP($A26,[29]HISTOJUIN24!$A$6:$AU$38,27,0)</f>
        <v>0</v>
      </c>
      <c r="Y26" s="36">
        <f>VLOOKUP($A26,[29]HISTOJUIN24!$A$6:$BM$38,33,0)</f>
        <v>0</v>
      </c>
      <c r="Z26" s="36">
        <f>VLOOKUP($A26,[29]HISTOJUIN24!$A$6:$BM$38,65,0)</f>
        <v>0</v>
      </c>
      <c r="AA26" s="36"/>
      <c r="AB26" s="36">
        <f>VLOOKUP($A26,[29]HISTOJUIN24!$A$6:$AU$38,43,0)</f>
        <v>0</v>
      </c>
      <c r="AC26" s="36">
        <f>VLOOKUP($A26,[29]HISTOJUIN24!$A$6:$AU$38,44,0)</f>
        <v>0</v>
      </c>
      <c r="AD26" s="36">
        <f>VLOOKUP($A26,[29]HISTOJUIN24!$A$6:$AU$38,47,0)</f>
        <v>0</v>
      </c>
      <c r="AE26" s="36">
        <f>VLOOKUP(A26,[29]HISTOJUIN24!$A$6:$BB$38,54,0)</f>
        <v>0</v>
      </c>
      <c r="AF26" s="36">
        <f>VLOOKUP($A26,[29]HISTOJUIN24!$A$6:$CB$38,60,0)</f>
        <v>0</v>
      </c>
      <c r="AG26" s="36">
        <f>VLOOKUP($A26,[29]HISTOJUIN24!$A$6:$CB$38,61,0)</f>
        <v>0</v>
      </c>
      <c r="AH26" s="36">
        <f>VLOOKUP($A26,[29]HISTOJUIN24!$A$6:$CB$38,62,0)</f>
        <v>0</v>
      </c>
      <c r="AI26" s="36">
        <f>VLOOKUP($A26,[29]HISTOJUIN24!$A$6:$CB$38,63,0)</f>
        <v>0</v>
      </c>
      <c r="AJ26" s="36">
        <f>VLOOKUP($A26,[29]HISTOJUIN24!$A$6:$CB$38,64,0)</f>
        <v>0</v>
      </c>
      <c r="AK26" s="36">
        <f>VLOOKUP($A26,[29]HISTOJUIN24!$A$6:$CB$38,65,0)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MVTMAI24!I27-E27+L27</f>
        <v>883880.89115594886</v>
      </c>
      <c r="G27" s="5">
        <f>IF(MVTMAI24!I27+L27&gt;700000,(MVTMAI24!I27-E27+L27),0)</f>
        <v>883880.89115594886</v>
      </c>
      <c r="H27" s="36">
        <f t="shared" si="0"/>
        <v>3332.0916083859461</v>
      </c>
      <c r="I27" s="6">
        <f t="shared" si="2"/>
        <v>887212.98276433477</v>
      </c>
      <c r="J27" s="36">
        <f>VLOOKUP($A27,[29]HISTOJUIN24!$A$6:$AQ$42,22,0)</f>
        <v>0</v>
      </c>
      <c r="K27" s="36">
        <f>VLOOKUP($A27,[29]HISTOJUIN24!$A$6:$AU$38,45,0)</f>
        <v>25500</v>
      </c>
      <c r="L27" s="36">
        <f t="shared" si="3"/>
        <v>19500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VLOOKUP($A27,[29]HISTOJUIN24!$A$6:$AU$38,7,0)</f>
        <v>0</v>
      </c>
      <c r="Q27" s="36">
        <f>VLOOKUP($A27,[29]HISTOJUIN24!$A$6:$AU$38,23,0)</f>
        <v>0</v>
      </c>
      <c r="R27" s="36">
        <f>VLOOKUP($A27,[29]HISTOJUIN24!$A$6:$AU$38,46,0)</f>
        <v>0</v>
      </c>
      <c r="S27" s="36">
        <f>VLOOKUP($A27,[29]HISTOJUIN24!$A$6:$AU$38,26,0)</f>
        <v>0</v>
      </c>
      <c r="T27" s="36">
        <f>VLOOKUP($A27,[29]HISTOJUIN24!$A$6:$BG$38,58,0)</f>
        <v>0</v>
      </c>
      <c r="U27" s="36">
        <f>VLOOKUP($A27,[29]HISTOJUIN24!$A$6:$AU$38,28,0)</f>
        <v>0</v>
      </c>
      <c r="V27" s="36">
        <f>VLOOKUP($A27,[29]HISTOJUIN24!$A$6:$AU$38,19,0)</f>
        <v>0</v>
      </c>
      <c r="W27" s="36">
        <f>VLOOKUP($A27,[29]HISTOJUIN24!$A$6:$AU$38,20,0)</f>
        <v>0</v>
      </c>
      <c r="X27" s="36">
        <f>VLOOKUP($A27,[29]HISTOJUIN24!$A$6:$AU$38,27,0)</f>
        <v>0</v>
      </c>
      <c r="Y27" s="36">
        <f>VLOOKUP($A27,[29]HISTOJUIN24!$A$6:$BM$38,33,0)</f>
        <v>0</v>
      </c>
      <c r="Z27" s="36">
        <f>VLOOKUP($A27,[29]HISTOJUIN24!$A$6:$BM$38,65,0)</f>
        <v>0</v>
      </c>
      <c r="AA27" s="36"/>
      <c r="AB27" s="36">
        <f>VLOOKUP($A27,[29]HISTOJUIN24!$A$6:$AU$38,43,0)</f>
        <v>0</v>
      </c>
      <c r="AC27" s="36">
        <f>VLOOKUP($A27,[29]HISTOJUIN24!$A$6:$AU$38,44,0)</f>
        <v>0</v>
      </c>
      <c r="AD27" s="36">
        <f>VLOOKUP($A27,[29]HISTOJUIN24!$A$6:$AU$38,47,0)</f>
        <v>0</v>
      </c>
      <c r="AE27" s="36">
        <f>VLOOKUP(A27,[29]HISTOJUIN24!$A$6:$BB$38,54,0)</f>
        <v>0</v>
      </c>
      <c r="AF27" s="36">
        <f>VLOOKUP($A27,[29]HISTOJUIN24!$A$6:$CB$38,60,0)</f>
        <v>0</v>
      </c>
      <c r="AG27" s="36">
        <f>VLOOKUP($A27,[29]HISTOJUIN24!$A$6:$CB$38,61,0)</f>
        <v>0</v>
      </c>
      <c r="AH27" s="36">
        <f>VLOOKUP($A27,[29]HISTOJUIN24!$A$6:$CB$38,62,0)</f>
        <v>0</v>
      </c>
      <c r="AI27" s="36">
        <f>VLOOKUP($A27,[29]HISTOJUIN24!$A$6:$CB$38,63,0)</f>
        <v>0</v>
      </c>
      <c r="AJ27" s="36">
        <f>VLOOKUP($A27,[29]HISTOJUIN24!$A$6:$CB$38,64,0)</f>
        <v>0</v>
      </c>
      <c r="AK27" s="36">
        <f>VLOOKUP($A27,[29]HISTOJUIN24!$A$6:$CB$38,65,0)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MVTMAI24!I28-E28+L28</f>
        <v>785435.37774277106</v>
      </c>
      <c r="G28" s="5">
        <f>IF(MVTMAI24!I28+L28&gt;700000,(MVTMAI24!I28-E28+L28),0)</f>
        <v>785435.37774277106</v>
      </c>
      <c r="H28" s="36">
        <f t="shared" si="0"/>
        <v>2960.96754358317</v>
      </c>
      <c r="I28" s="6">
        <f t="shared" si="2"/>
        <v>788396.34528635419</v>
      </c>
      <c r="J28" s="36">
        <f>VLOOKUP($A28,[29]HISTOJUIN24!$A$6:$AQ$42,22,0)</f>
        <v>0</v>
      </c>
      <c r="K28" s="36">
        <f>VLOOKUP($A28,[29]HISTOJUIN24!$A$6:$AU$38,45,0)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VLOOKUP($A28,[29]HISTOJUIN24!$A$6:$AU$38,7,0)</f>
        <v>0</v>
      </c>
      <c r="Q28" s="36">
        <f>VLOOKUP($A28,[29]HISTOJUIN24!$A$6:$AU$38,23,0)</f>
        <v>0</v>
      </c>
      <c r="R28" s="36">
        <f>VLOOKUP($A28,[29]HISTOJUIN24!$A$6:$AU$38,46,0)</f>
        <v>0</v>
      </c>
      <c r="S28" s="36">
        <f>VLOOKUP($A28,[29]HISTOJUIN24!$A$6:$AU$38,26,0)</f>
        <v>0</v>
      </c>
      <c r="T28" s="36">
        <f>VLOOKUP($A28,[29]HISTOJUIN24!$A$6:$BG$38,58,0)</f>
        <v>0</v>
      </c>
      <c r="U28" s="36">
        <f>VLOOKUP($A28,[29]HISTOJUIN24!$A$6:$AU$38,28,0)</f>
        <v>0</v>
      </c>
      <c r="V28" s="36">
        <f>VLOOKUP($A28,[29]HISTOJUIN24!$A$6:$AU$38,19,0)</f>
        <v>0</v>
      </c>
      <c r="W28" s="36">
        <f>VLOOKUP($A28,[29]HISTOJUIN24!$A$6:$AU$38,20,0)</f>
        <v>0</v>
      </c>
      <c r="X28" s="36">
        <f>VLOOKUP($A28,[29]HISTOJUIN24!$A$6:$AU$38,27,0)</f>
        <v>0</v>
      </c>
      <c r="Y28" s="36">
        <f>VLOOKUP($A28,[29]HISTOJUIN24!$A$6:$BM$38,33,0)</f>
        <v>0</v>
      </c>
      <c r="Z28" s="36">
        <f>VLOOKUP($A28,[29]HISTOJUIN24!$A$6:$BM$38,65,0)</f>
        <v>0</v>
      </c>
      <c r="AA28" s="36"/>
      <c r="AB28" s="36">
        <f>VLOOKUP($A28,[29]HISTOJUIN24!$A$6:$AU$38,43,0)</f>
        <v>0</v>
      </c>
      <c r="AC28" s="36">
        <f>VLOOKUP($A28,[29]HISTOJUIN24!$A$6:$AU$38,44,0)</f>
        <v>0</v>
      </c>
      <c r="AD28" s="36">
        <f>VLOOKUP($A28,[29]HISTOJUIN24!$A$6:$AU$38,47,0)</f>
        <v>0</v>
      </c>
      <c r="AE28" s="36">
        <f>VLOOKUP(A28,[29]HISTOJUIN24!$A$6:$BB$38,54,0)</f>
        <v>0</v>
      </c>
      <c r="AF28" s="36">
        <f>VLOOKUP($A28,[29]HISTOJUIN24!$A$6:$CB$38,60,0)</f>
        <v>0</v>
      </c>
      <c r="AG28" s="36">
        <f>VLOOKUP($A28,[29]HISTOJUIN24!$A$6:$CB$38,61,0)</f>
        <v>0</v>
      </c>
      <c r="AH28" s="36">
        <f>VLOOKUP($A28,[29]HISTOJUIN24!$A$6:$CB$38,62,0)</f>
        <v>0</v>
      </c>
      <c r="AI28" s="36">
        <f>VLOOKUP($A28,[29]HISTOJUIN24!$A$6:$CB$38,63,0)</f>
        <v>0</v>
      </c>
      <c r="AJ28" s="36">
        <f>VLOOKUP($A28,[29]HISTOJUIN24!$A$6:$CB$38,64,0)</f>
        <v>0</v>
      </c>
      <c r="AK28" s="36">
        <f>VLOOKUP($A28,[29]HISTOJUIN24!$A$6:$CB$38,65,0)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MVTMAI24!I29-E29+L29</f>
        <v>909751.79374347127</v>
      </c>
      <c r="G29" s="5">
        <f>IF(MVTMAI24!I29+L29&gt;700000,(MVTMAI24!I29-E29+L29),0)</f>
        <v>909751.79374347127</v>
      </c>
      <c r="H29" s="36">
        <f t="shared" si="0"/>
        <v>3429.6208323750684</v>
      </c>
      <c r="I29" s="6">
        <f t="shared" si="2"/>
        <v>913181.41457584628</v>
      </c>
      <c r="J29" s="36">
        <f>VLOOKUP($A29,[29]HISTOJUIN24!$A$6:$AQ$42,22,0)</f>
        <v>0</v>
      </c>
      <c r="K29" s="36">
        <f>VLOOKUP($A29,[29]HISTOJUIN24!$A$6:$AU$38,45,0)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VLOOKUP($A29,[29]HISTOJUIN24!$A$6:$AU$38,7,0)</f>
        <v>0</v>
      </c>
      <c r="Q29" s="36">
        <f>VLOOKUP($A29,[29]HISTOJUIN24!$A$6:$AU$38,23,0)</f>
        <v>0</v>
      </c>
      <c r="R29" s="36">
        <f>VLOOKUP($A29,[29]HISTOJUIN24!$A$6:$AU$38,46,0)</f>
        <v>0</v>
      </c>
      <c r="S29" s="36">
        <f>VLOOKUP($A29,[29]HISTOJUIN24!$A$6:$AU$38,26,0)</f>
        <v>0</v>
      </c>
      <c r="T29" s="36">
        <f>VLOOKUP($A29,[29]HISTOJUIN24!$A$6:$BG$38,58,0)</f>
        <v>0</v>
      </c>
      <c r="U29" s="36">
        <f>VLOOKUP($A29,[29]HISTOJUIN24!$A$6:$AU$38,28,0)</f>
        <v>0</v>
      </c>
      <c r="V29" s="36">
        <f>VLOOKUP($A29,[29]HISTOJUIN24!$A$6:$AU$38,19,0)</f>
        <v>0</v>
      </c>
      <c r="W29" s="36">
        <f>VLOOKUP($A29,[29]HISTOJUIN24!$A$6:$AU$38,20,0)</f>
        <v>0</v>
      </c>
      <c r="X29" s="36">
        <f>VLOOKUP($A29,[29]HISTOJUIN24!$A$6:$AU$38,27,0)</f>
        <v>0</v>
      </c>
      <c r="Y29" s="36">
        <f>VLOOKUP($A29,[29]HISTOJUIN24!$A$6:$BM$38,33,0)</f>
        <v>0</v>
      </c>
      <c r="Z29" s="36">
        <f>VLOOKUP($A29,[29]HISTOJUIN24!$A$6:$BM$38,65,0)</f>
        <v>0</v>
      </c>
      <c r="AA29" s="36"/>
      <c r="AB29" s="36">
        <f>VLOOKUP($A29,[29]HISTOJUIN24!$A$6:$AU$38,43,0)</f>
        <v>0</v>
      </c>
      <c r="AC29" s="36">
        <f>VLOOKUP($A29,[29]HISTOJUIN24!$A$6:$AU$38,44,0)</f>
        <v>0</v>
      </c>
      <c r="AD29" s="36">
        <f>VLOOKUP($A29,[29]HISTOJUIN24!$A$6:$AU$38,47,0)</f>
        <v>0</v>
      </c>
      <c r="AE29" s="36">
        <f>VLOOKUP(A29,[29]HISTOJUIN24!$A$6:$BB$38,54,0)</f>
        <v>0</v>
      </c>
      <c r="AF29" s="36">
        <f>VLOOKUP($A29,[29]HISTOJUIN24!$A$6:$CB$38,60,0)</f>
        <v>0</v>
      </c>
      <c r="AG29" s="36">
        <f>VLOOKUP($A29,[29]HISTOJUIN24!$A$6:$CB$38,61,0)</f>
        <v>0</v>
      </c>
      <c r="AH29" s="36">
        <f>VLOOKUP($A29,[29]HISTOJUIN24!$A$6:$CB$38,62,0)</f>
        <v>0</v>
      </c>
      <c r="AI29" s="36">
        <f>VLOOKUP($A29,[29]HISTOJUIN24!$A$6:$CB$38,63,0)</f>
        <v>0</v>
      </c>
      <c r="AJ29" s="36">
        <f>VLOOKUP($A29,[29]HISTOJUIN24!$A$6:$CB$38,64,0)</f>
        <v>0</v>
      </c>
      <c r="AK29" s="36">
        <f>VLOOKUP($A29,[29]HISTOJUIN24!$A$6:$CB$38,65,0)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MVTMAI24!I30-E30+L30</f>
        <v>815133.42401196656</v>
      </c>
      <c r="G30" s="5">
        <f>IF(MVTMAI24!I30+L30&gt;700000,(MVTMAI24!I30-E30+L30),0)</f>
        <v>815133.42401196656</v>
      </c>
      <c r="H30" s="36">
        <f t="shared" si="0"/>
        <v>3072.9244958707427</v>
      </c>
      <c r="I30" s="6">
        <f t="shared" si="2"/>
        <v>818206.34850783728</v>
      </c>
      <c r="J30" s="36">
        <f>VLOOKUP($A30,[29]HISTOJUIN24!$A$6:$AQ$42,22,0)</f>
        <v>0</v>
      </c>
      <c r="K30" s="36">
        <f>VLOOKUP($A30,[29]HISTOJUIN24!$A$6:$AU$38,45,0)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VLOOKUP($A30,[29]HISTOJUIN24!$A$6:$AU$38,7,0)</f>
        <v>0</v>
      </c>
      <c r="Q30" s="36">
        <f>VLOOKUP($A30,[29]HISTOJUIN24!$A$6:$AU$38,23,0)</f>
        <v>0</v>
      </c>
      <c r="R30" s="36">
        <f>VLOOKUP($A30,[29]HISTOJUIN24!$A$6:$AU$38,46,0)</f>
        <v>0</v>
      </c>
      <c r="S30" s="36">
        <f>VLOOKUP($A30,[29]HISTOJUIN24!$A$6:$AU$38,26,0)</f>
        <v>0</v>
      </c>
      <c r="T30" s="36">
        <f>VLOOKUP($A30,[29]HISTOJUIN24!$A$6:$BG$38,58,0)</f>
        <v>0</v>
      </c>
      <c r="U30" s="36">
        <f>VLOOKUP($A30,[29]HISTOJUIN24!$A$6:$AU$38,28,0)</f>
        <v>0</v>
      </c>
      <c r="V30" s="36">
        <f>VLOOKUP($A30,[29]HISTOJUIN24!$A$6:$AU$38,19,0)</f>
        <v>0</v>
      </c>
      <c r="W30" s="36">
        <f>VLOOKUP($A30,[29]HISTOJUIN24!$A$6:$AU$38,20,0)</f>
        <v>0</v>
      </c>
      <c r="X30" s="36">
        <f>VLOOKUP($A30,[29]HISTOJUIN24!$A$6:$AU$38,27,0)</f>
        <v>0</v>
      </c>
      <c r="Y30" s="36">
        <f>VLOOKUP($A30,[29]HISTOJUIN24!$A$6:$BM$38,33,0)</f>
        <v>0</v>
      </c>
      <c r="Z30" s="36">
        <f>VLOOKUP($A30,[29]HISTOJUIN24!$A$6:$BM$38,65,0)</f>
        <v>0</v>
      </c>
      <c r="AA30" s="36"/>
      <c r="AB30" s="36">
        <f>VLOOKUP($A30,[29]HISTOJUIN24!$A$6:$AU$38,43,0)</f>
        <v>0</v>
      </c>
      <c r="AC30" s="36">
        <f>VLOOKUP($A30,[29]HISTOJUIN24!$A$6:$AU$38,44,0)</f>
        <v>0</v>
      </c>
      <c r="AD30" s="36">
        <f>VLOOKUP($A30,[29]HISTOJUIN24!$A$6:$AU$38,47,0)</f>
        <v>0</v>
      </c>
      <c r="AE30" s="36">
        <f>VLOOKUP(A30,[29]HISTOJUIN24!$A$6:$BB$38,54,0)</f>
        <v>0</v>
      </c>
      <c r="AF30" s="36">
        <f>VLOOKUP($A30,[29]HISTOJUIN24!$A$6:$CB$38,60,0)</f>
        <v>0</v>
      </c>
      <c r="AG30" s="36">
        <f>VLOOKUP($A30,[29]HISTOJUIN24!$A$6:$CB$38,61,0)</f>
        <v>0</v>
      </c>
      <c r="AH30" s="36">
        <f>VLOOKUP($A30,[29]HISTOJUIN24!$A$6:$CB$38,62,0)</f>
        <v>0</v>
      </c>
      <c r="AI30" s="36">
        <f>VLOOKUP($A30,[29]HISTOJUIN24!$A$6:$CB$38,63,0)</f>
        <v>0</v>
      </c>
      <c r="AJ30" s="36">
        <f>VLOOKUP($A30,[29]HISTOJUIN24!$A$6:$CB$38,64,0)</f>
        <v>0</v>
      </c>
      <c r="AK30" s="36">
        <f>VLOOKUP($A30,[29]HISTOJUIN24!$A$6:$CB$38,65,0)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MVTMAI24!I31-E31+L31</f>
        <v>974611.03968691302</v>
      </c>
      <c r="G31" s="5">
        <f>IF(MVTMAI24!I31+L31&gt;700000,(MVTMAI24!I31-E31+L31),0)</f>
        <v>974611.03968691302</v>
      </c>
      <c r="H31" s="36">
        <f t="shared" si="0"/>
        <v>3674.1299639750769</v>
      </c>
      <c r="I31" s="6">
        <f t="shared" si="2"/>
        <v>978285.16965088807</v>
      </c>
      <c r="J31" s="36">
        <f>VLOOKUP($A31,[29]HISTOJUIN24!$A$6:$AQ$42,22,0)</f>
        <v>0</v>
      </c>
      <c r="K31" s="36">
        <f>VLOOKUP($A31,[29]HISTOJUIN24!$A$6:$AU$38,45,0)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VLOOKUP($A31,[29]HISTOJUIN24!$A$6:$AU$38,7,0)</f>
        <v>0</v>
      </c>
      <c r="Q31" s="36">
        <f>VLOOKUP($A31,[29]HISTOJUIN24!$A$6:$AU$38,23,0)</f>
        <v>0</v>
      </c>
      <c r="R31" s="36">
        <f>VLOOKUP($A31,[29]HISTOJUIN24!$A$6:$AU$38,46,0)</f>
        <v>0</v>
      </c>
      <c r="S31" s="36">
        <f>VLOOKUP($A31,[29]HISTOJUIN24!$A$6:$AU$38,26,0)</f>
        <v>0</v>
      </c>
      <c r="T31" s="36">
        <f>VLOOKUP($A31,[29]HISTOJUIN24!$A$6:$BG$38,58,0)</f>
        <v>30000</v>
      </c>
      <c r="U31" s="36">
        <f>VLOOKUP($A31,[29]HISTOJUIN24!$A$6:$AU$38,28,0)</f>
        <v>0</v>
      </c>
      <c r="V31" s="36">
        <f>VLOOKUP($A31,[29]HISTOJUIN24!$A$6:$AU$38,19,0)</f>
        <v>0</v>
      </c>
      <c r="W31" s="36">
        <f>VLOOKUP($A31,[29]HISTOJUIN24!$A$6:$AU$38,20,0)</f>
        <v>0</v>
      </c>
      <c r="X31" s="36">
        <f>VLOOKUP($A31,[29]HISTOJUIN24!$A$6:$AU$38,27,0)</f>
        <v>0</v>
      </c>
      <c r="Y31" s="36">
        <f>VLOOKUP($A31,[29]HISTOJUIN24!$A$6:$BM$38,33,0)</f>
        <v>0</v>
      </c>
      <c r="Z31" s="36">
        <f>VLOOKUP($A31,[29]HISTOJUIN24!$A$6:$BM$38,65,0)</f>
        <v>0</v>
      </c>
      <c r="AA31" s="36"/>
      <c r="AB31" s="36">
        <f>VLOOKUP($A31,[29]HISTOJUIN24!$A$6:$AU$38,43,0)</f>
        <v>0</v>
      </c>
      <c r="AC31" s="36">
        <f>VLOOKUP($A31,[29]HISTOJUIN24!$A$6:$AU$38,44,0)</f>
        <v>0</v>
      </c>
      <c r="AD31" s="36">
        <f>VLOOKUP($A31,[29]HISTOJUIN24!$A$6:$AU$38,47,0)</f>
        <v>0</v>
      </c>
      <c r="AE31" s="36">
        <f>VLOOKUP(A31,[29]HISTOJUIN24!$A$6:$BB$38,54,0)</f>
        <v>0</v>
      </c>
      <c r="AF31" s="36">
        <f>VLOOKUP($A31,[29]HISTOJUIN24!$A$6:$CB$38,60,0)</f>
        <v>0</v>
      </c>
      <c r="AG31" s="36">
        <f>VLOOKUP($A31,[29]HISTOJUIN24!$A$6:$CB$38,61,0)</f>
        <v>0</v>
      </c>
      <c r="AH31" s="36">
        <f>VLOOKUP($A31,[29]HISTOJUIN24!$A$6:$CB$38,62,0)</f>
        <v>0</v>
      </c>
      <c r="AI31" s="36">
        <f>VLOOKUP($A31,[29]HISTOJUIN24!$A$6:$CB$38,63,0)</f>
        <v>0</v>
      </c>
      <c r="AJ31" s="36">
        <f>VLOOKUP($A31,[29]HISTOJUIN24!$A$6:$CB$38,64,0)</f>
        <v>0</v>
      </c>
      <c r="AK31" s="36">
        <f>VLOOKUP($A31,[29]HISTOJUIN24!$A$6:$CB$38,65,0)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MVTMAI24!I32-E32+L32</f>
        <v>863768.17409210303</v>
      </c>
      <c r="G32" s="5">
        <f>IF(MVTMAI24!I32+L32&gt;700000,(MVTMAI24!I32-E32+L32),0)</f>
        <v>863768.17409210303</v>
      </c>
      <c r="H32" s="36">
        <f t="shared" si="0"/>
        <v>3256.2698359946057</v>
      </c>
      <c r="I32" s="6">
        <f t="shared" si="2"/>
        <v>867024.44392809761</v>
      </c>
      <c r="J32" s="36">
        <f>VLOOKUP($A32,[29]HISTOJUIN24!$A$6:$AQ$42,22,0)</f>
        <v>0</v>
      </c>
      <c r="K32" s="36">
        <f>VLOOKUP($A32,[29]HISTOJUIN24!$A$6:$AU$38,45,0)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VLOOKUP($A32,[29]HISTOJUIN24!$A$6:$AU$38,7,0)</f>
        <v>0</v>
      </c>
      <c r="Q32" s="36">
        <f>VLOOKUP($A32,[29]HISTOJUIN24!$A$6:$AU$38,23,0)</f>
        <v>0</v>
      </c>
      <c r="R32" s="36">
        <f>VLOOKUP($A32,[29]HISTOJUIN24!$A$6:$AU$38,46,0)</f>
        <v>0</v>
      </c>
      <c r="S32" s="36">
        <f>VLOOKUP($A32,[29]HISTOJUIN24!$A$6:$AU$38,26,0)</f>
        <v>0</v>
      </c>
      <c r="T32" s="36">
        <f>VLOOKUP($A32,[29]HISTOJUIN24!$A$6:$BG$38,58,0)</f>
        <v>60000</v>
      </c>
      <c r="U32" s="36">
        <f>VLOOKUP($A32,[29]HISTOJUIN24!$A$6:$AU$38,28,0)</f>
        <v>0</v>
      </c>
      <c r="V32" s="36">
        <f>VLOOKUP($A32,[29]HISTOJUIN24!$A$6:$AU$38,19,0)</f>
        <v>0</v>
      </c>
      <c r="W32" s="36">
        <f>VLOOKUP($A32,[29]HISTOJUIN24!$A$6:$AU$38,20,0)</f>
        <v>0</v>
      </c>
      <c r="X32" s="36">
        <f>VLOOKUP($A32,[29]HISTOJUIN24!$A$6:$AU$38,27,0)</f>
        <v>0</v>
      </c>
      <c r="Y32" s="36">
        <f>VLOOKUP($A32,[29]HISTOJUIN24!$A$6:$BM$38,33,0)</f>
        <v>0</v>
      </c>
      <c r="Z32" s="36">
        <f>VLOOKUP($A32,[29]HISTOJUIN24!$A$6:$BM$38,65,0)</f>
        <v>0</v>
      </c>
      <c r="AA32" s="36"/>
      <c r="AB32" s="36">
        <f>VLOOKUP($A32,[29]HISTOJUIN24!$A$6:$AU$38,43,0)</f>
        <v>0</v>
      </c>
      <c r="AC32" s="36">
        <f>VLOOKUP($A32,[29]HISTOJUIN24!$A$6:$AU$38,44,0)</f>
        <v>0</v>
      </c>
      <c r="AD32" s="36">
        <f>VLOOKUP($A32,[29]HISTOJUIN24!$A$6:$AU$38,47,0)</f>
        <v>0</v>
      </c>
      <c r="AE32" s="36">
        <f>VLOOKUP(A32,[29]HISTOJUIN24!$A$6:$BB$38,54,0)</f>
        <v>0</v>
      </c>
      <c r="AF32" s="36">
        <f>VLOOKUP($A32,[29]HISTOJUIN24!$A$6:$CB$38,60,0)</f>
        <v>0</v>
      </c>
      <c r="AG32" s="36">
        <f>VLOOKUP($A32,[29]HISTOJUIN24!$A$6:$CB$38,61,0)</f>
        <v>0</v>
      </c>
      <c r="AH32" s="36">
        <f>VLOOKUP($A32,[29]HISTOJUIN24!$A$6:$CB$38,62,0)</f>
        <v>0</v>
      </c>
      <c r="AI32" s="36">
        <f>VLOOKUP($A32,[29]HISTOJUIN24!$A$6:$CB$38,63,0)</f>
        <v>100000</v>
      </c>
      <c r="AJ32" s="36">
        <f>VLOOKUP($A32,[29]HISTOJUIN24!$A$6:$CB$38,64,0)</f>
        <v>0</v>
      </c>
      <c r="AK32" s="36">
        <f>VLOOKUP($A32,[29]HISTOJUIN24!$A$6:$CB$38,65,0)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MVTMAI24!I33-E33+L33</f>
        <v>864077.35479589261</v>
      </c>
      <c r="G33" s="5">
        <f>IF(MVTMAI24!I33+L33&gt;700000,(MVTMAI24!I33-E33+L33),0)</f>
        <v>864077.35479589261</v>
      </c>
      <c r="H33" s="36">
        <f t="shared" si="0"/>
        <v>3257.4353985029488</v>
      </c>
      <c r="I33" s="6">
        <f t="shared" si="2"/>
        <v>867334.79019439558</v>
      </c>
      <c r="J33" s="36">
        <f>VLOOKUP($A33,[29]HISTOJUIN24!$A$6:$AQ$42,22,0)</f>
        <v>0</v>
      </c>
      <c r="K33" s="36">
        <f>VLOOKUP($A33,[29]HISTOJUIN24!$A$6:$AU$38,45,0)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VLOOKUP($A33,[29]HISTOJUIN24!$A$6:$AU$38,7,0)</f>
        <v>0</v>
      </c>
      <c r="Q33" s="36">
        <f>VLOOKUP($A33,[29]HISTOJUIN24!$A$6:$AU$38,23,0)</f>
        <v>0</v>
      </c>
      <c r="R33" s="36">
        <f>VLOOKUP($A33,[29]HISTOJUIN24!$A$6:$AU$38,46,0)</f>
        <v>0</v>
      </c>
      <c r="S33" s="36">
        <f>VLOOKUP($A33,[29]HISTOJUIN24!$A$6:$AU$38,26,0)</f>
        <v>0</v>
      </c>
      <c r="T33" s="36">
        <f>VLOOKUP($A33,[29]HISTOJUIN24!$A$6:$BG$38,58,0)</f>
        <v>0</v>
      </c>
      <c r="U33" s="36">
        <f>VLOOKUP($A33,[29]HISTOJUIN24!$A$6:$AU$38,28,0)</f>
        <v>0</v>
      </c>
      <c r="V33" s="36">
        <f>VLOOKUP($A33,[29]HISTOJUIN24!$A$6:$AU$38,19,0)</f>
        <v>0</v>
      </c>
      <c r="W33" s="36">
        <f>VLOOKUP($A33,[29]HISTOJUIN24!$A$6:$AU$38,20,0)</f>
        <v>0</v>
      </c>
      <c r="X33" s="36">
        <f>VLOOKUP($A33,[29]HISTOJUIN24!$A$6:$AU$38,27,0)</f>
        <v>0</v>
      </c>
      <c r="Y33" s="36">
        <f>VLOOKUP($A33,[29]HISTOJUIN24!$A$6:$BM$38,33,0)</f>
        <v>0</v>
      </c>
      <c r="Z33" s="36">
        <f>VLOOKUP($A33,[29]HISTOJUIN24!$A$6:$BM$38,65,0)</f>
        <v>0</v>
      </c>
      <c r="AA33" s="36"/>
      <c r="AB33" s="36">
        <f>VLOOKUP($A33,[29]HISTOJUIN24!$A$6:$AU$38,43,0)</f>
        <v>0</v>
      </c>
      <c r="AC33" s="36">
        <f>VLOOKUP($A33,[29]HISTOJUIN24!$A$6:$AU$38,44,0)</f>
        <v>0</v>
      </c>
      <c r="AD33" s="36">
        <f>VLOOKUP($A33,[29]HISTOJUIN24!$A$6:$AU$38,47,0)</f>
        <v>0</v>
      </c>
      <c r="AE33" s="36">
        <f>VLOOKUP(A33,[29]HISTOJUIN24!$A$6:$BB$38,54,0)</f>
        <v>0</v>
      </c>
      <c r="AF33" s="36">
        <f>VLOOKUP($A33,[29]HISTOJUIN24!$A$6:$CB$38,60,0)</f>
        <v>0</v>
      </c>
      <c r="AG33" s="36">
        <f>VLOOKUP($A33,[29]HISTOJUIN24!$A$6:$CB$38,61,0)</f>
        <v>0</v>
      </c>
      <c r="AH33" s="36">
        <f>VLOOKUP($A33,[29]HISTOJUIN24!$A$6:$CB$38,62,0)</f>
        <v>0</v>
      </c>
      <c r="AI33" s="36">
        <f>VLOOKUP($A33,[29]HISTOJUIN24!$A$6:$CB$38,63,0)</f>
        <v>0</v>
      </c>
      <c r="AJ33" s="36">
        <f>VLOOKUP($A33,[29]HISTOJUIN24!$A$6:$CB$38,64,0)</f>
        <v>0</v>
      </c>
      <c r="AK33" s="36">
        <f>VLOOKUP($A33,[29]HISTOJUIN24!$A$6:$CB$38,65,0)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MVTMAI24!I34-E34+L34</f>
        <v>549000</v>
      </c>
      <c r="G34" s="5">
        <f>IF(MVTMAI24!I34+L34&gt;700000,(MVTMAI24!I34-E34+L34),0)</f>
        <v>0</v>
      </c>
      <c r="H34" s="36">
        <f t="shared" si="0"/>
        <v>0</v>
      </c>
      <c r="I34" s="6">
        <f t="shared" si="2"/>
        <v>549000</v>
      </c>
      <c r="J34" s="36">
        <f>VLOOKUP($A34,[29]HISTOJUIN24!$A$6:$AQ$42,22,0)</f>
        <v>0</v>
      </c>
      <c r="K34" s="36">
        <f>VLOOKUP($A34,[29]HISTOJUIN24!$A$6:$AU$38,45,0)</f>
        <v>45000</v>
      </c>
      <c r="L34" s="36">
        <f t="shared" si="3"/>
        <v>39000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VLOOKUP($A34,[29]HISTOJUIN24!$A$6:$AU$38,7,0)</f>
        <v>0</v>
      </c>
      <c r="Q34" s="36">
        <f>VLOOKUP($A34,[29]HISTOJUIN24!$A$6:$AU$38,23,0)</f>
        <v>0</v>
      </c>
      <c r="R34" s="36">
        <f>VLOOKUP($A34,[29]HISTOJUIN24!$A$6:$AU$38,46,0)</f>
        <v>0</v>
      </c>
      <c r="S34" s="36">
        <f>VLOOKUP($A34,[29]HISTOJUIN24!$A$6:$AU$38,26,0)</f>
        <v>0</v>
      </c>
      <c r="T34" s="36">
        <f>VLOOKUP($A34,[29]HISTOJUIN24!$A$6:$BG$38,58,0)</f>
        <v>0</v>
      </c>
      <c r="U34" s="36">
        <f>VLOOKUP($A34,[29]HISTOJUIN24!$A$6:$AU$38,28,0)</f>
        <v>0</v>
      </c>
      <c r="V34" s="36">
        <f>VLOOKUP($A34,[29]HISTOJUIN24!$A$6:$AU$38,19,0)</f>
        <v>0</v>
      </c>
      <c r="W34" s="36">
        <f>VLOOKUP($A34,[29]HISTOJUIN24!$A$6:$AU$38,20,0)</f>
        <v>0</v>
      </c>
      <c r="X34" s="36">
        <f>VLOOKUP($A34,[29]HISTOJUIN24!$A$6:$AU$38,27,0)</f>
        <v>0</v>
      </c>
      <c r="Y34" s="36">
        <f>VLOOKUP($A34,[29]HISTOJUIN24!$A$6:$BM$38,33,0)</f>
        <v>0</v>
      </c>
      <c r="Z34" s="36">
        <f>VLOOKUP($A34,[29]HISTOJUIN24!$A$6:$BM$38,65,0)</f>
        <v>0</v>
      </c>
      <c r="AA34" s="36"/>
      <c r="AB34" s="36">
        <f>VLOOKUP($A34,[29]HISTOJUIN24!$A$6:$AU$38,43,0)</f>
        <v>0</v>
      </c>
      <c r="AC34" s="36">
        <f>VLOOKUP($A34,[29]HISTOJUIN24!$A$6:$AU$38,44,0)</f>
        <v>0</v>
      </c>
      <c r="AD34" s="36">
        <f>VLOOKUP($A34,[29]HISTOJUIN24!$A$6:$AU$38,47,0)</f>
        <v>0</v>
      </c>
      <c r="AE34" s="36">
        <f>VLOOKUP(A34,[29]HISTOJUIN24!$A$6:$BB$38,54,0)</f>
        <v>0</v>
      </c>
      <c r="AF34" s="36">
        <f>VLOOKUP($A34,[29]HISTOJUIN24!$A$6:$CB$38,60,0)</f>
        <v>0</v>
      </c>
      <c r="AG34" s="36">
        <f>VLOOKUP($A34,[29]HISTOJUIN24!$A$6:$CB$38,61,0)</f>
        <v>0</v>
      </c>
      <c r="AH34" s="36">
        <f>VLOOKUP($A34,[29]HISTOJUIN24!$A$6:$CB$38,62,0)</f>
        <v>0</v>
      </c>
      <c r="AI34" s="36">
        <f>VLOOKUP($A34,[29]HISTOJUIN24!$A$6:$CB$38,63,0)</f>
        <v>0</v>
      </c>
      <c r="AJ34" s="36">
        <f>VLOOKUP($A34,[29]HISTOJUIN24!$A$6:$CB$38,64,0)</f>
        <v>0</v>
      </c>
      <c r="AK34" s="36">
        <f>VLOOKUP($A34,[29]HISTOJUIN24!$A$6:$CB$38,65,0)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MVTMAI24!I35-E35+L35</f>
        <v>214000</v>
      </c>
      <c r="G35" s="5">
        <f>IF(MVTMAI24!I35+L35&gt;700000,(MVTMAI24!I35-E35+L35),0)</f>
        <v>0</v>
      </c>
      <c r="H35" s="36">
        <f t="shared" si="0"/>
        <v>0</v>
      </c>
      <c r="I35" s="6">
        <f t="shared" si="2"/>
        <v>214000</v>
      </c>
      <c r="J35" s="36">
        <f>VLOOKUP($A35,[29]HISTOJUIN24!$A$6:$AQ$42,22,0)</f>
        <v>0</v>
      </c>
      <c r="K35" s="36">
        <f>VLOOKUP($A35,[29]HISTOJUIN24!$A$6:$AU$38,45,0)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VLOOKUP($A35,[29]HISTOJUIN24!$A$6:$AU$38,7,0)</f>
        <v>0</v>
      </c>
      <c r="Q35" s="36">
        <f>VLOOKUP($A35,[29]HISTOJUIN24!$A$6:$AU$38,23,0)</f>
        <v>0</v>
      </c>
      <c r="R35" s="36">
        <f>VLOOKUP($A35,[29]HISTOJUIN24!$A$6:$AU$38,46,0)</f>
        <v>0</v>
      </c>
      <c r="S35" s="36">
        <f>VLOOKUP($A35,[29]HISTOJUIN24!$A$6:$AU$38,26,0)</f>
        <v>0</v>
      </c>
      <c r="T35" s="36">
        <f>VLOOKUP($A35,[29]HISTOJUIN24!$A$6:$BG$38,58,0)</f>
        <v>0</v>
      </c>
      <c r="U35" s="36">
        <f>VLOOKUP($A35,[29]HISTOJUIN24!$A$6:$AU$38,28,0)</f>
        <v>0</v>
      </c>
      <c r="V35" s="36">
        <f>VLOOKUP($A35,[29]HISTOJUIN24!$A$6:$AU$38,19,0)</f>
        <v>0</v>
      </c>
      <c r="W35" s="36">
        <f>VLOOKUP($A35,[29]HISTOJUIN24!$A$6:$AU$38,20,0)</f>
        <v>0</v>
      </c>
      <c r="X35" s="36">
        <f>VLOOKUP($A35,[29]HISTOJUIN24!$A$6:$AU$38,27,0)</f>
        <v>0</v>
      </c>
      <c r="Y35" s="36">
        <f>VLOOKUP($A35,[29]HISTOJUIN24!$A$6:$BM$38,33,0)</f>
        <v>0</v>
      </c>
      <c r="Z35" s="36">
        <f>VLOOKUP($A35,[29]HISTOJUIN24!$A$6:$BM$38,65,0)</f>
        <v>0</v>
      </c>
      <c r="AA35" s="36"/>
      <c r="AB35" s="36">
        <f>VLOOKUP($A35,[29]HISTOJUIN24!$A$6:$AU$38,43,0)</f>
        <v>0</v>
      </c>
      <c r="AC35" s="36">
        <f>VLOOKUP($A35,[29]HISTOJUIN24!$A$6:$AU$38,44,0)</f>
        <v>0</v>
      </c>
      <c r="AD35" s="36">
        <f>VLOOKUP($A35,[29]HISTOJUIN24!$A$6:$AU$38,47,0)</f>
        <v>0</v>
      </c>
      <c r="AE35" s="36">
        <f>VLOOKUP(A35,[29]HISTOJUIN24!$A$6:$BB$38,54,0)</f>
        <v>0</v>
      </c>
      <c r="AF35" s="36">
        <f>VLOOKUP($A35,[29]HISTOJUIN24!$A$6:$CB$38,60,0)</f>
        <v>0</v>
      </c>
      <c r="AG35" s="36">
        <f>VLOOKUP($A35,[29]HISTOJUIN24!$A$6:$CB$38,61,0)</f>
        <v>0</v>
      </c>
      <c r="AH35" s="36">
        <f>VLOOKUP($A35,[29]HISTOJUIN24!$A$6:$CB$38,62,0)</f>
        <v>0</v>
      </c>
      <c r="AI35" s="36">
        <f>VLOOKUP($A35,[29]HISTOJUIN24!$A$6:$CB$38,63,0)</f>
        <v>0</v>
      </c>
      <c r="AJ35" s="36">
        <f>VLOOKUP($A35,[29]HISTOJUIN24!$A$6:$CB$38,64,0)</f>
        <v>0</v>
      </c>
      <c r="AK35" s="36">
        <f>VLOOKUP($A35,[29]HISTOJUIN24!$A$6:$CB$38,65,0)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MVTMAI24!I36-E36+L36</f>
        <v>921266.77802584018</v>
      </c>
      <c r="G36" s="5">
        <f>IF(MVTMAI24!I36+L36&gt;700000,(MVTMAI24!I36-E36+L36),0)</f>
        <v>921266.77802584018</v>
      </c>
      <c r="H36" s="36">
        <f t="shared" si="0"/>
        <v>3473.0305076852774</v>
      </c>
      <c r="I36" s="6">
        <f t="shared" si="2"/>
        <v>924739.80853352544</v>
      </c>
      <c r="J36" s="36">
        <f>VLOOKUP($A36,[29]HISTOJUIN24!$A$6:$AQ$42,22,0)</f>
        <v>0</v>
      </c>
      <c r="K36" s="36">
        <f>VLOOKUP($A36,[29]HISTOJUIN24!$A$6:$AU$38,45,0)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VLOOKUP($A36,[29]HISTOJUIN24!$A$6:$AU$38,7,0)</f>
        <v>0</v>
      </c>
      <c r="Q36" s="36">
        <f>VLOOKUP($A36,[29]HISTOJUIN24!$A$6:$AU$38,23,0)</f>
        <v>0</v>
      </c>
      <c r="R36" s="36">
        <f>VLOOKUP($A36,[29]HISTOJUIN24!$A$6:$AU$38,46,0)</f>
        <v>0</v>
      </c>
      <c r="S36" s="36">
        <f>VLOOKUP($A36,[29]HISTOJUIN24!$A$6:$AU$38,26,0)</f>
        <v>0</v>
      </c>
      <c r="T36" s="36">
        <f>VLOOKUP($A36,[29]HISTOJUIN24!$A$6:$BG$38,58,0)</f>
        <v>0</v>
      </c>
      <c r="U36" s="36">
        <f>VLOOKUP($A36,[29]HISTOJUIN24!$A$6:$AU$38,28,0)</f>
        <v>0</v>
      </c>
      <c r="V36" s="36">
        <f>VLOOKUP($A36,[29]HISTOJUIN24!$A$6:$AU$38,19,0)</f>
        <v>0</v>
      </c>
      <c r="W36" s="36">
        <f>VLOOKUP($A36,[29]HISTOJUIN24!$A$6:$AU$38,20,0)</f>
        <v>0</v>
      </c>
      <c r="X36" s="36">
        <f>VLOOKUP($A36,[29]HISTOJUIN24!$A$6:$AU$38,27,0)</f>
        <v>0</v>
      </c>
      <c r="Y36" s="36">
        <f>VLOOKUP($A36,[29]HISTOJUIN24!$A$6:$BM$38,33,0)</f>
        <v>0</v>
      </c>
      <c r="Z36" s="36">
        <f>VLOOKUP($A36,[29]HISTOJUIN24!$A$6:$BM$38,65,0)</f>
        <v>0</v>
      </c>
      <c r="AA36" s="36"/>
      <c r="AB36" s="36">
        <f>VLOOKUP($A36,[29]HISTOJUIN24!$A$6:$AU$38,43,0)</f>
        <v>0</v>
      </c>
      <c r="AC36" s="36">
        <f>VLOOKUP($A36,[29]HISTOJUIN24!$A$6:$AU$38,44,0)</f>
        <v>0</v>
      </c>
      <c r="AD36" s="36">
        <f>VLOOKUP($A36,[29]HISTOJUIN24!$A$6:$AU$38,47,0)</f>
        <v>0</v>
      </c>
      <c r="AE36" s="36">
        <f>VLOOKUP(A36,[29]HISTOJUIN24!$A$6:$BB$38,54,0)</f>
        <v>0</v>
      </c>
      <c r="AF36" s="36">
        <f>VLOOKUP($A36,[29]HISTOJUIN24!$A$6:$CB$38,60,0)</f>
        <v>0</v>
      </c>
      <c r="AG36" s="36">
        <f>VLOOKUP($A36,[29]HISTOJUIN24!$A$6:$CB$38,61,0)</f>
        <v>0</v>
      </c>
      <c r="AH36" s="36">
        <f>VLOOKUP($A36,[29]HISTOJUIN24!$A$6:$CB$38,62,0)</f>
        <v>0</v>
      </c>
      <c r="AI36" s="36">
        <f>VLOOKUP($A36,[29]HISTOJUIN24!$A$6:$CB$38,63,0)</f>
        <v>0</v>
      </c>
      <c r="AJ36" s="36">
        <f>VLOOKUP($A36,[29]HISTOJUIN24!$A$6:$CB$38,64,0)</f>
        <v>0</v>
      </c>
      <c r="AK36" s="36">
        <f>VLOOKUP($A36,[29]HISTOJUIN24!$A$6:$CB$38,65,0)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MVTMAI24!I37-E37+L37</f>
        <v>1935702.5449915663</v>
      </c>
      <c r="G37" s="5">
        <f>IF(MVTMAI24!I37+L37&gt;700000,(MVTMAI24!I37-E37+L37),0)</f>
        <v>1935702.5449915663</v>
      </c>
      <c r="H37" s="36">
        <f t="shared" si="0"/>
        <v>7297.2934147975748</v>
      </c>
      <c r="I37" s="6">
        <f t="shared" si="2"/>
        <v>1942999.838406364</v>
      </c>
      <c r="J37" s="36">
        <f>VLOOKUP($A37,[29]HISTOJUIN24!$A$6:$AQ$42,22,0)</f>
        <v>0</v>
      </c>
      <c r="K37" s="36">
        <f>VLOOKUP($A37,[29]HISTOJUIN24!$A$6:$AU$38,45,0)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VLOOKUP($A37,[29]HISTOJUIN24!$A$6:$AU$38,7,0)</f>
        <v>0</v>
      </c>
      <c r="Q37" s="36">
        <f>VLOOKUP($A37,[29]HISTOJUIN24!$A$6:$AU$38,23,0)</f>
        <v>0</v>
      </c>
      <c r="R37" s="36">
        <f>VLOOKUP($A37,[29]HISTOJUIN24!$A$6:$AU$38,46,0)</f>
        <v>0</v>
      </c>
      <c r="S37" s="36">
        <f>VLOOKUP($A37,[29]HISTOJUIN24!$A$6:$AU$38,26,0)</f>
        <v>0</v>
      </c>
      <c r="T37" s="36">
        <f>VLOOKUP($A37,[29]HISTOJUIN24!$A$6:$BG$38,58,0)</f>
        <v>0</v>
      </c>
      <c r="U37" s="36">
        <f>VLOOKUP($A37,[29]HISTOJUIN24!$A$6:$AU$38,28,0)</f>
        <v>0</v>
      </c>
      <c r="V37" s="36">
        <f>VLOOKUP($A37,[29]HISTOJUIN24!$A$6:$AU$38,19,0)</f>
        <v>0</v>
      </c>
      <c r="W37" s="36">
        <f>VLOOKUP($A37,[29]HISTOJUIN24!$A$6:$AU$38,20,0)</f>
        <v>0</v>
      </c>
      <c r="X37" s="36">
        <f>VLOOKUP($A37,[29]HISTOJUIN24!$A$6:$AU$38,27,0)</f>
        <v>0</v>
      </c>
      <c r="Y37" s="36">
        <f>VLOOKUP($A37,[29]HISTOJUIN24!$A$6:$BM$38,33,0)</f>
        <v>0</v>
      </c>
      <c r="Z37" s="36">
        <f>VLOOKUP($A37,[29]HISTOJUIN24!$A$6:$BM$38,65,0)</f>
        <v>0</v>
      </c>
      <c r="AA37" s="36"/>
      <c r="AB37" s="36">
        <f>VLOOKUP($A37,[29]HISTOJUIN24!$A$6:$AU$38,43,0)</f>
        <v>0</v>
      </c>
      <c r="AC37" s="36">
        <f>VLOOKUP($A37,[29]HISTOJUIN24!$A$6:$AU$38,44,0)</f>
        <v>0</v>
      </c>
      <c r="AD37" s="36">
        <f>VLOOKUP($A37,[29]HISTOJUIN24!$A$6:$AU$38,47,0)</f>
        <v>0</v>
      </c>
      <c r="AE37" s="36">
        <f>VLOOKUP(A37,[29]HISTOJUIN24!$A$6:$BB$38,54,0)</f>
        <v>0</v>
      </c>
      <c r="AF37" s="36">
        <f>VLOOKUP($A37,[29]HISTOJUIN24!$A$6:$CB$38,60,0)</f>
        <v>0</v>
      </c>
      <c r="AG37" s="36">
        <f>VLOOKUP($A37,[29]HISTOJUIN24!$A$6:$CB$38,61,0)</f>
        <v>0</v>
      </c>
      <c r="AH37" s="36">
        <f>VLOOKUP($A37,[29]HISTOJUIN24!$A$6:$CB$38,62,0)</f>
        <v>0</v>
      </c>
      <c r="AI37" s="36">
        <f>VLOOKUP($A37,[29]HISTOJUIN24!$A$6:$CB$38,63,0)</f>
        <v>0</v>
      </c>
      <c r="AJ37" s="36">
        <f>VLOOKUP($A37,[29]HISTOJUIN24!$A$6:$CB$38,64,0)</f>
        <v>0</v>
      </c>
      <c r="AK37" s="36">
        <f>VLOOKUP($A37,[29]HISTOJUIN24!$A$6:$CB$38,65,0)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MVTMAI24!I38-E38+L38</f>
        <v>114000</v>
      </c>
      <c r="G38" s="5">
        <f>IF(MVTMAI24!I38+L38&gt;700000,(MVTMAI24!I38-E38+L38),0)</f>
        <v>0</v>
      </c>
      <c r="H38" s="36">
        <f t="shared" si="0"/>
        <v>0</v>
      </c>
      <c r="I38" s="6">
        <f t="shared" si="2"/>
        <v>114000</v>
      </c>
      <c r="J38" s="36">
        <f>VLOOKUP($A38,[29]HISTOJUIN24!$A$6:$AQ$42,22,0)</f>
        <v>0</v>
      </c>
      <c r="K38" s="36">
        <f>VLOOKUP($A38,[29]HISTOJUIN24!$A$6:$AU$38,45,0)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VLOOKUP($A38,[29]HISTOJUIN24!$A$6:$AU$38,7,0)</f>
        <v>0</v>
      </c>
      <c r="Q38" s="36">
        <f>VLOOKUP($A38,[29]HISTOJUIN24!$A$6:$AU$38,23,0)</f>
        <v>0</v>
      </c>
      <c r="R38" s="36">
        <f>VLOOKUP($A38,[29]HISTOJUIN24!$A$6:$AU$38,46,0)</f>
        <v>0</v>
      </c>
      <c r="S38" s="36">
        <f>VLOOKUP($A38,[29]HISTOJUIN24!$A$6:$AU$38,26,0)</f>
        <v>0</v>
      </c>
      <c r="T38" s="36">
        <f>VLOOKUP($A38,[29]HISTOJUIN24!$A$6:$BG$38,58,0)</f>
        <v>0</v>
      </c>
      <c r="U38" s="36">
        <f>VLOOKUP($A38,[29]HISTOJUIN24!$A$6:$AU$38,28,0)</f>
        <v>0</v>
      </c>
      <c r="V38" s="36">
        <f>VLOOKUP($A38,[29]HISTOJUIN24!$A$6:$AU$38,19,0)</f>
        <v>0</v>
      </c>
      <c r="W38" s="36">
        <f>VLOOKUP($A38,[29]HISTOJUIN24!$A$6:$AU$38,20,0)</f>
        <v>0</v>
      </c>
      <c r="X38" s="36">
        <f>VLOOKUP($A38,[29]HISTOJUIN24!$A$6:$AU$38,27,0)</f>
        <v>0</v>
      </c>
      <c r="Y38" s="36">
        <f>VLOOKUP($A38,[29]HISTOJUIN24!$A$6:$BM$38,33,0)</f>
        <v>0</v>
      </c>
      <c r="Z38" s="36">
        <f>VLOOKUP($A38,[29]HISTOJUIN24!$A$6:$BM$38,65,0)</f>
        <v>0</v>
      </c>
      <c r="AA38" s="36"/>
      <c r="AB38" s="36">
        <f>VLOOKUP($A38,[29]HISTOJUIN24!$A$6:$AU$38,43,0)</f>
        <v>0</v>
      </c>
      <c r="AC38" s="36">
        <f>VLOOKUP($A38,[29]HISTOJUIN24!$A$6:$AU$38,44,0)</f>
        <v>0</v>
      </c>
      <c r="AD38" s="36">
        <f>VLOOKUP($A38,[29]HISTOJUIN24!$A$6:$AU$38,47,0)</f>
        <v>0</v>
      </c>
      <c r="AE38" s="36">
        <f>VLOOKUP(A38,[29]HISTOJUIN24!$A$6:$BB$38,54,0)</f>
        <v>0</v>
      </c>
      <c r="AF38" s="36">
        <f>VLOOKUP($A38,[29]HISTOJUIN24!$A$6:$CB$38,60,0)</f>
        <v>0</v>
      </c>
      <c r="AG38" s="36">
        <f>VLOOKUP($A38,[29]HISTOJUIN24!$A$6:$CB$38,61,0)</f>
        <v>0</v>
      </c>
      <c r="AH38" s="36">
        <f>VLOOKUP($A38,[29]HISTOJUIN24!$A$6:$CB$38,62,0)</f>
        <v>0</v>
      </c>
      <c r="AI38" s="36">
        <f>VLOOKUP($A38,[29]HISTOJUIN24!$A$6:$CB$38,63,0)</f>
        <v>0</v>
      </c>
      <c r="AJ38" s="36">
        <f>VLOOKUP($A38,[29]HISTOJUIN24!$A$6:$CB$38,64,0)</f>
        <v>0</v>
      </c>
      <c r="AK38" s="36">
        <f>VLOOKUP($A38,[29]HISTOJUIN24!$A$6:$CB$38,65,0)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MVTMAI24!I39-E39+L39</f>
        <v>2100888.9806010709</v>
      </c>
      <c r="G39" s="5">
        <f>IF(MVTMAI24!I39+L39&gt;700000,(MVTMAI24!I39-E39+L39),0)</f>
        <v>2100888.9806010709</v>
      </c>
      <c r="H39" s="36">
        <f t="shared" si="0"/>
        <v>7920.0202340116157</v>
      </c>
      <c r="I39" s="6">
        <f t="shared" si="2"/>
        <v>2108809.0008350825</v>
      </c>
      <c r="J39" s="36">
        <f>VLOOKUP($A39,[29]HISTOJUIN24!$A$6:$AQ$42,22,0)</f>
        <v>0</v>
      </c>
      <c r="K39" s="36">
        <f>VLOOKUP($A39,[29]HISTOJUIN24!$A$6:$AU$38,45,0)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VLOOKUP($A39,[29]HISTOJUIN24!$A$6:$AU$38,7,0)</f>
        <v>0</v>
      </c>
      <c r="Q39" s="36">
        <f>VLOOKUP($A39,[29]HISTOJUIN24!$A$6:$AU$38,23,0)</f>
        <v>0</v>
      </c>
      <c r="R39" s="36">
        <f>VLOOKUP($A39,[29]HISTOJUIN24!$A$6:$AU$38,46,0)</f>
        <v>0</v>
      </c>
      <c r="S39" s="36">
        <f>VLOOKUP($A39,[29]HISTOJUIN24!$A$6:$AU$38,26,0)</f>
        <v>0</v>
      </c>
      <c r="T39" s="36">
        <f>VLOOKUP($A39,[29]HISTOJUIN24!$A$6:$BG$38,58,0)</f>
        <v>0</v>
      </c>
      <c r="U39" s="36">
        <f>VLOOKUP($A39,[29]HISTOJUIN24!$A$6:$AU$38,28,0)</f>
        <v>0</v>
      </c>
      <c r="V39" s="36">
        <f>VLOOKUP($A39,[29]HISTOJUIN24!$A$6:$AU$38,19,0)</f>
        <v>0</v>
      </c>
      <c r="W39" s="36">
        <f>VLOOKUP($A39,[29]HISTOJUIN24!$A$6:$AU$38,20,0)</f>
        <v>0</v>
      </c>
      <c r="X39" s="36">
        <f>VLOOKUP($A39,[29]HISTOJUIN24!$A$6:$AU$38,27,0)</f>
        <v>0</v>
      </c>
      <c r="Y39" s="36">
        <f>VLOOKUP($A39,[29]HISTOJUIN24!$A$6:$BM$38,33,0)</f>
        <v>0</v>
      </c>
      <c r="Z39" s="36">
        <f>VLOOKUP($A39,[29]HISTOJUIN24!$A$6:$BM$38,65,0)</f>
        <v>0</v>
      </c>
      <c r="AA39" s="36"/>
      <c r="AB39" s="36">
        <f>VLOOKUP($A39,[29]HISTOJUIN24!$A$6:$AU$38,43,0)</f>
        <v>0</v>
      </c>
      <c r="AC39" s="36">
        <f>VLOOKUP($A39,[29]HISTOJUIN24!$A$6:$AU$38,44,0)</f>
        <v>0</v>
      </c>
      <c r="AD39" s="36">
        <f>VLOOKUP($A39,[29]HISTOJUIN24!$A$6:$AU$38,47,0)</f>
        <v>0</v>
      </c>
      <c r="AE39" s="36">
        <f>VLOOKUP(A39,[29]HISTOJUIN24!$A$6:$BB$38,54,0)</f>
        <v>0</v>
      </c>
      <c r="AF39" s="36">
        <f>VLOOKUP($A39,[29]HISTOJUIN24!$A$6:$CB$38,60,0)</f>
        <v>0</v>
      </c>
      <c r="AG39" s="36">
        <f>VLOOKUP($A39,[29]HISTOJUIN24!$A$6:$CB$38,61,0)</f>
        <v>0</v>
      </c>
      <c r="AH39" s="36">
        <f>VLOOKUP($A39,[29]HISTOJUIN24!$A$6:$CB$38,62,0)</f>
        <v>0</v>
      </c>
      <c r="AI39" s="36">
        <f>VLOOKUP($A39,[29]HISTOJUIN24!$A$6:$CB$38,63,0)</f>
        <v>0</v>
      </c>
      <c r="AJ39" s="36">
        <f>VLOOKUP($A39,[29]HISTOJUIN24!$A$6:$CB$38,64,0)</f>
        <v>0</v>
      </c>
      <c r="AK39" s="36">
        <f>VLOOKUP($A39,[29]HISTOJUIN24!$A$6:$CB$38,65,0)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30846156.073121928</v>
      </c>
      <c r="G41" s="9">
        <f t="shared" si="10"/>
        <v>29178939.073121928</v>
      </c>
      <c r="H41" s="36">
        <f t="shared" si="10"/>
        <v>109999.99999999997</v>
      </c>
      <c r="I41" s="9">
        <f t="shared" si="10"/>
        <v>30956156.073121917</v>
      </c>
      <c r="J41" s="9">
        <f t="shared" si="10"/>
        <v>0</v>
      </c>
      <c r="K41" s="9">
        <f t="shared" si="10"/>
        <v>916500</v>
      </c>
      <c r="L41" s="9">
        <f t="shared" si="10"/>
        <v>724500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110000</v>
      </c>
      <c r="U41" s="9">
        <f t="shared" si="10"/>
        <v>0</v>
      </c>
      <c r="V41" s="9">
        <f t="shared" si="10"/>
        <v>360000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12000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2000000</v>
      </c>
    </row>
    <row r="44" spans="1:38" x14ac:dyDescent="0.35">
      <c r="G44" s="2"/>
    </row>
  </sheetData>
  <autoFilter ref="A5:V39" xr:uid="{00000000-0009-0000-0000-00000B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M44"/>
  <sheetViews>
    <sheetView zoomScale="84" zoomScaleNormal="84" workbookViewId="0">
      <pane xSplit="2" ySplit="5" topLeftCell="F33" activePane="bottomRight" state="frozen"/>
      <selection activeCell="B43" sqref="B43"/>
      <selection pane="topRight" activeCell="B43" sqref="B43"/>
      <selection pane="bottomLeft" activeCell="B43" sqref="B43"/>
      <selection pane="bottomRight" activeCell="A18" sqref="A18:XFD1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2">
        <v>45490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VLOOKUP($A6,[29]HISTOJUIL24!$A$6:$BA$38,48,0)</f>
        <v>0</v>
      </c>
      <c r="F6" s="36">
        <f>MVTJUIN24!I6-E6+L6</f>
        <v>951365.38454948971</v>
      </c>
      <c r="G6" s="5">
        <f>IF(MVTJUIN24!I6+L6&gt;700000,(MVTJUIN24!I6-E6+L6),0)</f>
        <v>951365.38454948971</v>
      </c>
      <c r="H6" s="36">
        <f t="shared" ref="H6:H39" si="0">$T$41/$G$41*G6</f>
        <v>3953.1135211050751</v>
      </c>
      <c r="I6" s="6">
        <f>F6+H6</f>
        <v>955318.49807059474</v>
      </c>
      <c r="J6" s="36">
        <f>VLOOKUP($A6,[29]HISTOJUIL24!$A$6:$AQ$42,22,0)</f>
        <v>0</v>
      </c>
      <c r="K6" s="36">
        <f>VLOOKUP($A6,[29]HISTOJUIL24!$A$6:$AU$38,45,0)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VLOOKUP($A6,[29]HISTOJUIL24!$A$6:$AU$38,7,0)</f>
        <v>0</v>
      </c>
      <c r="Q6" s="36">
        <f>VLOOKUP($A6,[29]HISTOJUIL24!$A$6:$AU$38,23,0)</f>
        <v>0</v>
      </c>
      <c r="R6" s="36">
        <f>VLOOKUP($A6,[29]HISTOJUIL24!$A$6:$AU$38,46,0)</f>
        <v>0</v>
      </c>
      <c r="S6" s="36">
        <f>VLOOKUP($A6,[29]HISTOJUIL24!$A$6:$AU$38,26,0)</f>
        <v>0</v>
      </c>
      <c r="T6" s="36">
        <f>VLOOKUP($A6,[29]HISTOJUIL24!$A$6:$BG$38,58,0)</f>
        <v>0</v>
      </c>
      <c r="U6" s="36">
        <f>VLOOKUP($A6,[29]HISTOJUIL24!$A$6:$AU$38,28,0)</f>
        <v>0</v>
      </c>
      <c r="V6" s="36">
        <f>VLOOKUP($A6,[29]HISTOJUIL24!$A$6:$AU$38,19,0)</f>
        <v>0</v>
      </c>
      <c r="W6" s="36">
        <f>VLOOKUP($A6,[29]HISTOJUIL24!$A$6:$AU$38,20,0)</f>
        <v>0</v>
      </c>
      <c r="X6" s="36">
        <f>VLOOKUP($A6,[29]HISTOJUIL24!$A$6:$AU$38,27,0)</f>
        <v>0</v>
      </c>
      <c r="Y6" s="36">
        <f>VLOOKUP($A6,[29]HISTOJUIL24!$A$6:$BM$38,33,0)</f>
        <v>0</v>
      </c>
      <c r="Z6" s="36">
        <f>VLOOKUP($A6,[29]HISTOJUIL24!$A$6:$BM$38,65,0)</f>
        <v>0</v>
      </c>
      <c r="AA6" s="36"/>
      <c r="AB6" s="36">
        <f>VLOOKUP($A6,[29]HISTOJUIL24!$A$6:$AU$38,43,0)</f>
        <v>0</v>
      </c>
      <c r="AC6" s="36">
        <f>VLOOKUP($A6,[29]HISTOJUIL24!$A$6:$AU$38,44,0)</f>
        <v>0</v>
      </c>
      <c r="AD6" s="36">
        <f>VLOOKUP($A6,[29]HISTOJUIL24!$A$6:$AU$38,47,0)</f>
        <v>0</v>
      </c>
      <c r="AE6" s="36">
        <f>VLOOKUP(A6,[29]HISTOJUIL24!$A$6:$BB$38,54,0)</f>
        <v>0</v>
      </c>
      <c r="AF6" s="36">
        <f>VLOOKUP($A6,[29]HISTOJUIL24!$A$6:$CB$38,60,0)</f>
        <v>42000</v>
      </c>
      <c r="AG6" s="36">
        <f>VLOOKUP($A6,[29]HISTOJUIL24!$A$6:$CB$38,61,0)</f>
        <v>609500</v>
      </c>
      <c r="AH6" s="36">
        <f>VLOOKUP($A6,[29]HISTOJUIL24!$A$6:$CB$38,62,0)</f>
        <v>0</v>
      </c>
      <c r="AI6" s="36">
        <f>VLOOKUP($A6,[29]HISTOJUIL24!$A$6:$CB$38,63,0)</f>
        <v>0</v>
      </c>
      <c r="AJ6" s="36">
        <f>VLOOKUP($A6,[29]HISTOJUIL24!$A$6:$CB$38,64,0)</f>
        <v>0</v>
      </c>
      <c r="AK6" s="36">
        <f>VLOOKUP($A6,[29]HISTOJUIL24!$A$6:$CB$38,65,0)</f>
        <v>0</v>
      </c>
      <c r="AL6" s="36">
        <f>VLOOKUP($A6,[29]HISTOJUIL24!$A$6:$CB$38,66,0)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VLOOKUP($A7,[29]HISTOJUIL24!$A$6:$BA$38,48,0)</f>
        <v>0</v>
      </c>
      <c r="F7" s="36">
        <f>MVTJUIN24!I7-E7+L7</f>
        <v>832186.82681611623</v>
      </c>
      <c r="G7" s="5">
        <f>IF(MVTJUIN24!I7+L7&gt;700000,(MVTJUIN24!I7-E7+L7),0)</f>
        <v>832186.82681611623</v>
      </c>
      <c r="H7" s="36">
        <f t="shared" si="0"/>
        <v>3457.9027685878409</v>
      </c>
      <c r="I7" s="6">
        <f t="shared" ref="I7:I39" si="2">F7+H7</f>
        <v>835644.72958470404</v>
      </c>
      <c r="J7" s="36">
        <f>VLOOKUP($A7,[29]HISTOJUIL24!$A$6:$AQ$42,22,0)</f>
        <v>0</v>
      </c>
      <c r="K7" s="36">
        <f>VLOOKUP($A7,[29]HISTOJUIL24!$A$6:$AU$38,45,0)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VLOOKUP($A7,[29]HISTOJUIL24!$A$6:$AU$38,7,0)</f>
        <v>3000</v>
      </c>
      <c r="Q7" s="36">
        <f>VLOOKUP($A7,[29]HISTOJUIL24!$A$6:$AU$38,23,0)</f>
        <v>0</v>
      </c>
      <c r="R7" s="36">
        <f>VLOOKUP($A7,[29]HISTOJUIL24!$A$6:$AU$38,46,0)</f>
        <v>0</v>
      </c>
      <c r="S7" s="36">
        <f>VLOOKUP($A7,[29]HISTOJUIL24!$A$6:$AU$38,26,0)</f>
        <v>0</v>
      </c>
      <c r="T7" s="36">
        <f>VLOOKUP($A7,[29]HISTOJUIL24!$A$6:$BG$38,58,0)</f>
        <v>0</v>
      </c>
      <c r="U7" s="36">
        <f>VLOOKUP($A7,[29]HISTOJUIL24!$A$6:$AU$38,28,0)</f>
        <v>0</v>
      </c>
      <c r="V7" s="36">
        <f>VLOOKUP($A7,[29]HISTOJUIL24!$A$6:$AU$38,19,0)</f>
        <v>0</v>
      </c>
      <c r="W7" s="36">
        <f>VLOOKUP($A7,[29]HISTOJUIL24!$A$6:$AU$38,20,0)</f>
        <v>0</v>
      </c>
      <c r="X7" s="36">
        <f>VLOOKUP($A7,[29]HISTOJUIL24!$A$6:$AU$38,27,0)</f>
        <v>0</v>
      </c>
      <c r="Y7" s="36">
        <f>VLOOKUP($A7,[29]HISTOJUIL24!$A$6:$BM$38,33,0)</f>
        <v>0</v>
      </c>
      <c r="Z7" s="36">
        <f>VLOOKUP($A7,[29]HISTOJUIL24!$A$6:$BM$38,65,0)</f>
        <v>0</v>
      </c>
      <c r="AA7" s="36"/>
      <c r="AB7" s="36">
        <f>VLOOKUP($A7,[29]HISTOJUIL24!$A$6:$AU$38,43,0)</f>
        <v>0</v>
      </c>
      <c r="AC7" s="36">
        <f>VLOOKUP($A7,[29]HISTOJUIL24!$A$6:$AU$38,44,0)</f>
        <v>0</v>
      </c>
      <c r="AD7" s="36">
        <f>VLOOKUP($A7,[29]HISTOJUIL24!$A$6:$AU$38,47,0)</f>
        <v>0</v>
      </c>
      <c r="AE7" s="36">
        <f>VLOOKUP(A7,[29]HISTOJUIL24!$A$6:$BB$38,54,0)</f>
        <v>0</v>
      </c>
      <c r="AF7" s="36">
        <f>VLOOKUP($A7,[29]HISTOJUIL24!$A$6:$CB$38,60,0)</f>
        <v>0</v>
      </c>
      <c r="AG7" s="36">
        <f>VLOOKUP($A7,[29]HISTOJUIL24!$A$6:$CB$38,61,0)</f>
        <v>0</v>
      </c>
      <c r="AH7" s="36">
        <f>VLOOKUP($A7,[29]HISTOJUIL24!$A$6:$CB$38,62,0)</f>
        <v>0</v>
      </c>
      <c r="AI7" s="36">
        <f>VLOOKUP($A7,[29]HISTOJUIL24!$A$6:$CB$38,63,0)</f>
        <v>0</v>
      </c>
      <c r="AJ7" s="36">
        <f>VLOOKUP($A7,[29]HISTOJUIL24!$A$6:$CB$38,64,0)</f>
        <v>0</v>
      </c>
      <c r="AK7" s="36">
        <f>VLOOKUP($A7,[29]HISTOJUIL24!$A$6:$CB$38,65,0)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VLOOKUP($A8,[29]HISTOJUIL24!$A$6:$BA$38,48,0)</f>
        <v>0</v>
      </c>
      <c r="F8" s="36">
        <f>MVTJUIN24!I8-E8+L8</f>
        <v>882289.6811928167</v>
      </c>
      <c r="G8" s="5">
        <f>IF(MVTJUIN24!I8+L8&gt;700000,(MVTJUIN24!I8-E8+L8),0)</f>
        <v>882289.6811928167</v>
      </c>
      <c r="H8" s="36">
        <f t="shared" si="0"/>
        <v>3666.0901530555698</v>
      </c>
      <c r="I8" s="6">
        <f t="shared" si="2"/>
        <v>885955.77134587232</v>
      </c>
      <c r="J8" s="36">
        <f>VLOOKUP($A8,[29]HISTOJUIL24!$A$6:$AQ$42,22,0)</f>
        <v>0</v>
      </c>
      <c r="K8" s="36">
        <f>VLOOKUP($A8,[29]HISTOJUIL24!$A$6:$AU$38,45,0)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VLOOKUP($A8,[29]HISTOJUIL24!$A$6:$AU$38,7,0)</f>
        <v>0</v>
      </c>
      <c r="Q8" s="36">
        <f>VLOOKUP($A8,[29]HISTOJUIL24!$A$6:$AU$38,23,0)</f>
        <v>0</v>
      </c>
      <c r="R8" s="36">
        <f>VLOOKUP($A8,[29]HISTOJUIL24!$A$6:$AU$38,46,0)</f>
        <v>0</v>
      </c>
      <c r="S8" s="36">
        <f>VLOOKUP($A8,[29]HISTOJUIL24!$A$6:$AU$38,26,0)</f>
        <v>0</v>
      </c>
      <c r="T8" s="36">
        <f>VLOOKUP($A8,[29]HISTOJUIL24!$A$6:$BG$38,58,0)</f>
        <v>0</v>
      </c>
      <c r="U8" s="36">
        <f>VLOOKUP($A8,[29]HISTOJUIL24!$A$6:$AU$38,28,0)</f>
        <v>0</v>
      </c>
      <c r="V8" s="36">
        <f>VLOOKUP($A8,[29]HISTOJUIL24!$A$6:$AU$38,19,0)</f>
        <v>0</v>
      </c>
      <c r="W8" s="36">
        <f>VLOOKUP($A8,[29]HISTOJUIL24!$A$6:$AU$38,20,0)</f>
        <v>0</v>
      </c>
      <c r="X8" s="36">
        <f>VLOOKUP($A8,[29]HISTOJUIL24!$A$6:$AU$38,27,0)</f>
        <v>0</v>
      </c>
      <c r="Y8" s="36">
        <f>VLOOKUP($A8,[29]HISTOJUIL24!$A$6:$BM$38,33,0)</f>
        <v>0</v>
      </c>
      <c r="Z8" s="36">
        <f>VLOOKUP($A8,[29]HISTOJUIL24!$A$6:$BM$38,65,0)</f>
        <v>0</v>
      </c>
      <c r="AA8" s="36"/>
      <c r="AB8" s="36">
        <f>VLOOKUP($A8,[29]HISTOJUIL24!$A$6:$AU$38,43,0)</f>
        <v>0</v>
      </c>
      <c r="AC8" s="36">
        <f>VLOOKUP($A8,[29]HISTOJUIL24!$A$6:$AU$38,44,0)</f>
        <v>0</v>
      </c>
      <c r="AD8" s="36">
        <f>VLOOKUP($A8,[29]HISTOJUIL24!$A$6:$AU$38,47,0)</f>
        <v>0</v>
      </c>
      <c r="AE8" s="36">
        <f>VLOOKUP(A8,[29]HISTOJUIL24!$A$6:$BB$38,54,0)</f>
        <v>0</v>
      </c>
      <c r="AF8" s="36">
        <f>VLOOKUP($A8,[29]HISTOJUIL24!$A$6:$CB$38,60,0)</f>
        <v>0</v>
      </c>
      <c r="AG8" s="36">
        <f>VLOOKUP($A8,[29]HISTOJUIL24!$A$6:$CB$38,61,0)</f>
        <v>0</v>
      </c>
      <c r="AH8" s="36">
        <f>VLOOKUP($A8,[29]HISTOJUIL24!$A$6:$CB$38,62,0)</f>
        <v>0</v>
      </c>
      <c r="AI8" s="36">
        <f>VLOOKUP($A8,[29]HISTOJUIL24!$A$6:$CB$38,63,0)</f>
        <v>0</v>
      </c>
      <c r="AJ8" s="36">
        <f>VLOOKUP($A8,[29]HISTOJUIL24!$A$6:$CB$38,64,0)</f>
        <v>0</v>
      </c>
      <c r="AK8" s="36">
        <f>VLOOKUP($A8,[29]HISTOJUIL24!$A$6:$CB$38,65,0)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VLOOKUP($A9,[29]HISTOJUIL24!$A$6:$BA$38,48,0)</f>
        <v>0</v>
      </c>
      <c r="F9" s="36">
        <f>MVTJUIN24!I9-E9+L9</f>
        <v>940031.30886345147</v>
      </c>
      <c r="G9" s="5">
        <f>IF(MVTJUIN24!I9+L9&gt;700000,(MVTJUIN24!I9-E9+L9),0)</f>
        <v>940031.30886345147</v>
      </c>
      <c r="H9" s="36">
        <f t="shared" si="0"/>
        <v>3906.0181689182568</v>
      </c>
      <c r="I9" s="6">
        <f t="shared" si="2"/>
        <v>943937.32703236968</v>
      </c>
      <c r="J9" s="36">
        <f>VLOOKUP($A9,[29]HISTOJUIL24!$A$6:$AQ$42,22,0)</f>
        <v>0</v>
      </c>
      <c r="K9" s="36">
        <f>VLOOKUP($A9,[29]HISTOJUIL24!$A$6:$AU$38,45,0)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VLOOKUP($A9,[29]HISTOJUIL24!$A$6:$AU$38,7,0)</f>
        <v>0</v>
      </c>
      <c r="Q9" s="36">
        <f>VLOOKUP($A9,[29]HISTOJUIL24!$A$6:$AU$38,23,0)</f>
        <v>0</v>
      </c>
      <c r="R9" s="36">
        <f>VLOOKUP($A9,[29]HISTOJUIL24!$A$6:$AU$38,46,0)</f>
        <v>0</v>
      </c>
      <c r="S9" s="36">
        <f>VLOOKUP($A9,[29]HISTOJUIL24!$A$6:$AU$38,26,0)</f>
        <v>0</v>
      </c>
      <c r="T9" s="36">
        <f>VLOOKUP($A9,[29]HISTOJUIL24!$A$6:$BG$38,58,0)</f>
        <v>0</v>
      </c>
      <c r="U9" s="36">
        <f>VLOOKUP($A9,[29]HISTOJUIL24!$A$6:$AU$38,28,0)</f>
        <v>0</v>
      </c>
      <c r="V9" s="36">
        <f>VLOOKUP($A9,[29]HISTOJUIL24!$A$6:$AU$38,19,0)</f>
        <v>0</v>
      </c>
      <c r="W9" s="36">
        <f>VLOOKUP($A9,[29]HISTOJUIL24!$A$6:$AU$38,20,0)</f>
        <v>0</v>
      </c>
      <c r="X9" s="36">
        <f>VLOOKUP($A9,[29]HISTOJUIL24!$A$6:$AU$38,27,0)</f>
        <v>0</v>
      </c>
      <c r="Y9" s="36">
        <f>VLOOKUP($A9,[29]HISTOJUIL24!$A$6:$BM$38,33,0)</f>
        <v>0</v>
      </c>
      <c r="Z9" s="36">
        <f>VLOOKUP($A9,[29]HISTOJUIL24!$A$6:$BM$38,65,0)</f>
        <v>0</v>
      </c>
      <c r="AA9" s="36"/>
      <c r="AB9" s="36">
        <f>VLOOKUP($A9,[29]HISTOJUIL24!$A$6:$AU$38,43,0)</f>
        <v>0</v>
      </c>
      <c r="AC9" s="36">
        <f>VLOOKUP($A9,[29]HISTOJUIL24!$A$6:$AU$38,44,0)</f>
        <v>0</v>
      </c>
      <c r="AD9" s="36">
        <f>VLOOKUP($A9,[29]HISTOJUIL24!$A$6:$AU$38,47,0)</f>
        <v>0</v>
      </c>
      <c r="AE9" s="36">
        <f>VLOOKUP(A9,[29]HISTOJUIL24!$A$6:$BB$38,54,0)</f>
        <v>0</v>
      </c>
      <c r="AF9" s="36">
        <f>VLOOKUP($A9,[29]HISTOJUIL24!$A$6:$CB$38,60,0)</f>
        <v>0</v>
      </c>
      <c r="AG9" s="36">
        <f>VLOOKUP($A9,[29]HISTOJUIL24!$A$6:$CB$38,61,0)</f>
        <v>0</v>
      </c>
      <c r="AH9" s="36">
        <f>VLOOKUP($A9,[29]HISTOJUIL24!$A$6:$CB$38,62,0)</f>
        <v>0</v>
      </c>
      <c r="AI9" s="36">
        <f>VLOOKUP($A9,[29]HISTOJUIL24!$A$6:$CB$38,63,0)</f>
        <v>0</v>
      </c>
      <c r="AJ9" s="36">
        <f>VLOOKUP($A9,[29]HISTOJUIL24!$A$6:$CB$38,64,0)</f>
        <v>0</v>
      </c>
      <c r="AK9" s="36">
        <f>VLOOKUP($A9,[29]HISTOJUIL24!$A$6:$CB$38,65,0)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VLOOKUP($A10,[29]HISTOJUIL24!$A$6:$BA$38,48,0)</f>
        <v>0</v>
      </c>
      <c r="F10" s="36">
        <f>MVTJUIN24!I10-E10+L10</f>
        <v>881029.37939733674</v>
      </c>
      <c r="G10" s="5">
        <f>IF(MVTJUIN24!I10+L10&gt;700000,(MVTJUIN24!I10-E10+L10),0)</f>
        <v>881029.37939733674</v>
      </c>
      <c r="H10" s="36">
        <f t="shared" si="0"/>
        <v>3660.8533469353388</v>
      </c>
      <c r="I10" s="6">
        <f t="shared" si="2"/>
        <v>884690.2327442721</v>
      </c>
      <c r="J10" s="36">
        <f>VLOOKUP($A10,[29]HISTOJUIL24!$A$6:$AQ$42,22,0)</f>
        <v>0</v>
      </c>
      <c r="K10" s="36">
        <f>VLOOKUP($A10,[29]HISTOJUIL24!$A$6:$AU$38,45,0)</f>
        <v>28500</v>
      </c>
      <c r="L10" s="36">
        <f t="shared" si="3"/>
        <v>22500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VLOOKUP($A10,[29]HISTOJUIL24!$A$6:$AU$38,7,0)</f>
        <v>0</v>
      </c>
      <c r="Q10" s="36">
        <f>VLOOKUP($A10,[29]HISTOJUIL24!$A$6:$AU$38,23,0)</f>
        <v>0</v>
      </c>
      <c r="R10" s="36">
        <f>VLOOKUP($A10,[29]HISTOJUIL24!$A$6:$AU$38,46,0)</f>
        <v>0</v>
      </c>
      <c r="S10" s="36">
        <f>VLOOKUP($A10,[29]HISTOJUIL24!$A$6:$AU$38,26,0)</f>
        <v>0</v>
      </c>
      <c r="T10" s="36">
        <f>VLOOKUP($A10,[29]HISTOJUIL24!$A$6:$BG$38,58,0)</f>
        <v>0</v>
      </c>
      <c r="U10" s="36">
        <f>VLOOKUP($A10,[29]HISTOJUIL24!$A$6:$AU$38,28,0)</f>
        <v>0</v>
      </c>
      <c r="V10" s="36">
        <f>VLOOKUP($A10,[29]HISTOJUIL24!$A$6:$AU$38,19,0)</f>
        <v>0</v>
      </c>
      <c r="W10" s="36">
        <f>VLOOKUP($A10,[29]HISTOJUIL24!$A$6:$AU$38,20,0)</f>
        <v>0</v>
      </c>
      <c r="X10" s="36">
        <f>VLOOKUP($A10,[29]HISTOJUIL24!$A$6:$AU$38,27,0)</f>
        <v>0</v>
      </c>
      <c r="Y10" s="36">
        <f>VLOOKUP($A10,[29]HISTOJUIL24!$A$6:$BM$38,33,0)</f>
        <v>0</v>
      </c>
      <c r="Z10" s="36">
        <f>VLOOKUP($A10,[29]HISTOJUIL24!$A$6:$BM$38,65,0)</f>
        <v>0</v>
      </c>
      <c r="AA10" s="36"/>
      <c r="AB10" s="36">
        <f>VLOOKUP($A10,[29]HISTOJUIL24!$A$6:$AU$38,43,0)</f>
        <v>0</v>
      </c>
      <c r="AC10" s="36">
        <f>VLOOKUP($A10,[29]HISTOJUIL24!$A$6:$AU$38,44,0)</f>
        <v>0</v>
      </c>
      <c r="AD10" s="36">
        <f>VLOOKUP($A10,[29]HISTOJUIL24!$A$6:$AU$38,47,0)</f>
        <v>0</v>
      </c>
      <c r="AE10" s="36">
        <f>VLOOKUP(A10,[29]HISTOJUIL24!$A$6:$BB$38,54,0)</f>
        <v>0</v>
      </c>
      <c r="AF10" s="36">
        <f>VLOOKUP($A10,[29]HISTOJUIL24!$A$6:$CB$38,60,0)</f>
        <v>0</v>
      </c>
      <c r="AG10" s="36">
        <f>VLOOKUP($A10,[29]HISTOJUIL24!$A$6:$CB$38,61,0)</f>
        <v>0</v>
      </c>
      <c r="AH10" s="36">
        <f>VLOOKUP($A10,[29]HISTOJUIL24!$A$6:$CB$38,62,0)</f>
        <v>0</v>
      </c>
      <c r="AI10" s="36">
        <f>VLOOKUP($A10,[29]HISTOJUIL24!$A$6:$CB$38,63,0)</f>
        <v>0</v>
      </c>
      <c r="AJ10" s="36">
        <f>VLOOKUP($A10,[29]HISTOJUIL24!$A$6:$CB$38,64,0)</f>
        <v>0</v>
      </c>
      <c r="AK10" s="36">
        <f>VLOOKUP($A10,[29]HISTOJUIL24!$A$6:$CB$38,65,0)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VLOOKUP($A11,[29]HISTOJUIL24!$A$6:$BA$38,48,0)</f>
        <v>0</v>
      </c>
      <c r="F11" s="36">
        <f>MVTJUIN24!I11-E11+L11</f>
        <v>907764.88188133587</v>
      </c>
      <c r="G11" s="5">
        <f>IF(MVTJUIN24!I11+L11&gt;700000,(MVTJUIN24!I11-E11+L11),0)</f>
        <v>907764.88188133587</v>
      </c>
      <c r="H11" s="36">
        <f t="shared" si="0"/>
        <v>3771.9447089708442</v>
      </c>
      <c r="I11" s="6">
        <f t="shared" si="2"/>
        <v>911536.82659030671</v>
      </c>
      <c r="J11" s="36">
        <f>VLOOKUP($A11,[29]HISTOJUIL24!$A$6:$AQ$42,22,0)</f>
        <v>0</v>
      </c>
      <c r="K11" s="36">
        <f>VLOOKUP($A11,[29]HISTOJUIL24!$A$6:$AU$38,45,0)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VLOOKUP($A11,[29]HISTOJUIL24!$A$6:$AU$38,7,0)</f>
        <v>3000</v>
      </c>
      <c r="Q11" s="36">
        <f>VLOOKUP($A11,[29]HISTOJUIL24!$A$6:$AU$38,23,0)</f>
        <v>0</v>
      </c>
      <c r="R11" s="36">
        <f>VLOOKUP($A11,[29]HISTOJUIL24!$A$6:$AU$38,46,0)</f>
        <v>0</v>
      </c>
      <c r="S11" s="36">
        <f>VLOOKUP($A11,[29]HISTOJUIL24!$A$6:$AU$38,26,0)</f>
        <v>0</v>
      </c>
      <c r="T11" s="36">
        <f>VLOOKUP($A11,[29]HISTOJUIL24!$A$6:$BG$38,58,0)</f>
        <v>0</v>
      </c>
      <c r="U11" s="36">
        <f>VLOOKUP($A11,[29]HISTOJUIL24!$A$6:$AU$38,28,0)</f>
        <v>0</v>
      </c>
      <c r="V11" s="36">
        <f>VLOOKUP($A11,[29]HISTOJUIL24!$A$6:$AU$38,19,0)</f>
        <v>0</v>
      </c>
      <c r="W11" s="36">
        <f>VLOOKUP($A11,[29]HISTOJUIL24!$A$6:$AU$38,20,0)</f>
        <v>0</v>
      </c>
      <c r="X11" s="36">
        <f>VLOOKUP($A11,[29]HISTOJUIL24!$A$6:$AU$38,27,0)</f>
        <v>0</v>
      </c>
      <c r="Y11" s="36">
        <f>VLOOKUP($A11,[29]HISTOJUIL24!$A$6:$BM$38,33,0)</f>
        <v>0</v>
      </c>
      <c r="Z11" s="36">
        <f>VLOOKUP($A11,[29]HISTOJUIL24!$A$6:$BM$38,65,0)</f>
        <v>0</v>
      </c>
      <c r="AA11" s="36"/>
      <c r="AB11" s="36">
        <f>VLOOKUP($A11,[29]HISTOJUIL24!$A$6:$AU$38,43,0)</f>
        <v>0</v>
      </c>
      <c r="AC11" s="36">
        <f>VLOOKUP($A11,[29]HISTOJUIL24!$A$6:$AU$38,44,0)</f>
        <v>0</v>
      </c>
      <c r="AD11" s="36">
        <f>VLOOKUP($A11,[29]HISTOJUIL24!$A$6:$AU$38,47,0)</f>
        <v>0</v>
      </c>
      <c r="AE11" s="36">
        <f>VLOOKUP(A11,[29]HISTOJUIL24!$A$6:$BB$38,54,0)</f>
        <v>0</v>
      </c>
      <c r="AF11" s="36">
        <f>VLOOKUP($A11,[29]HISTOJUIL24!$A$6:$CB$38,60,0)</f>
        <v>0</v>
      </c>
      <c r="AG11" s="36">
        <f>VLOOKUP($A11,[29]HISTOJUIL24!$A$6:$CB$38,61,0)</f>
        <v>0</v>
      </c>
      <c r="AH11" s="36">
        <f>VLOOKUP($A11,[29]HISTOJUIL24!$A$6:$CB$38,62,0)</f>
        <v>0</v>
      </c>
      <c r="AI11" s="36">
        <f>VLOOKUP($A11,[29]HISTOJUIL24!$A$6:$CB$38,63,0)</f>
        <v>0</v>
      </c>
      <c r="AJ11" s="36">
        <f>VLOOKUP($A11,[29]HISTOJUIL24!$A$6:$CB$38,64,0)</f>
        <v>0</v>
      </c>
      <c r="AK11" s="36">
        <f>VLOOKUP($A11,[29]HISTOJUIL24!$A$6:$CB$38,65,0)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VLOOKUP($A12,[29]HISTOJUIL24!$A$6:$BA$38,48,0)</f>
        <v>0</v>
      </c>
      <c r="F12" s="36">
        <f>MVTJUIN24!I12-E12+L12</f>
        <v>941763.86200978281</v>
      </c>
      <c r="G12" s="5">
        <f>IF(MVTJUIN24!I12+L12&gt;700000,(MVTJUIN24!I12-E12+L12),0)</f>
        <v>941763.86200978281</v>
      </c>
      <c r="H12" s="36">
        <f t="shared" si="0"/>
        <v>3913.2172738888867</v>
      </c>
      <c r="I12" s="6">
        <f t="shared" si="2"/>
        <v>945677.07928367169</v>
      </c>
      <c r="J12" s="36">
        <f>VLOOKUP($A12,[29]HISTOJUIL24!$A$6:$AQ$42,22,0)</f>
        <v>0</v>
      </c>
      <c r="K12" s="36">
        <f>VLOOKUP($A12,[29]HISTOJUIL24!$A$6:$AU$38,45,0)</f>
        <v>31600</v>
      </c>
      <c r="L12" s="36">
        <f t="shared" si="3"/>
        <v>25600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VLOOKUP($A12,[29]HISTOJUIL24!$A$6:$AU$38,7,0)</f>
        <v>0</v>
      </c>
      <c r="Q12" s="36">
        <f>VLOOKUP($A12,[29]HISTOJUIL24!$A$6:$AU$38,23,0)</f>
        <v>0</v>
      </c>
      <c r="R12" s="36">
        <f>VLOOKUP($A12,[29]HISTOJUIL24!$A$6:$AU$38,46,0)</f>
        <v>0</v>
      </c>
      <c r="S12" s="36">
        <f>VLOOKUP($A12,[29]HISTOJUIL24!$A$6:$AU$38,26,0)</f>
        <v>0</v>
      </c>
      <c r="T12" s="36">
        <f>VLOOKUP($A12,[29]HISTOJUIL24!$A$6:$BG$38,58,0)</f>
        <v>8400</v>
      </c>
      <c r="U12" s="36">
        <f>VLOOKUP($A12,[29]HISTOJUIL24!$A$6:$AU$38,28,0)</f>
        <v>0</v>
      </c>
      <c r="V12" s="36">
        <f>VLOOKUP($A12,[29]HISTOJUIL24!$A$6:$AU$38,19,0)</f>
        <v>0</v>
      </c>
      <c r="W12" s="36">
        <f>VLOOKUP($A12,[29]HISTOJUIL24!$A$6:$AU$38,20,0)</f>
        <v>0</v>
      </c>
      <c r="X12" s="36">
        <f>VLOOKUP($A12,[29]HISTOJUIL24!$A$6:$AU$38,27,0)</f>
        <v>0</v>
      </c>
      <c r="Y12" s="36">
        <f>VLOOKUP($A12,[29]HISTOJUIL24!$A$6:$BM$38,33,0)</f>
        <v>0</v>
      </c>
      <c r="Z12" s="36">
        <f>VLOOKUP($A12,[29]HISTOJUIL24!$A$6:$BM$38,65,0)</f>
        <v>0</v>
      </c>
      <c r="AA12" s="36"/>
      <c r="AB12" s="36">
        <f>VLOOKUP($A12,[29]HISTOJUIL24!$A$6:$AU$38,43,0)</f>
        <v>0</v>
      </c>
      <c r="AC12" s="36">
        <f>VLOOKUP($A12,[29]HISTOJUIL24!$A$6:$AU$38,44,0)</f>
        <v>0</v>
      </c>
      <c r="AD12" s="36">
        <f>VLOOKUP($A12,[29]HISTOJUIL24!$A$6:$AU$38,47,0)</f>
        <v>0</v>
      </c>
      <c r="AE12" s="36">
        <f>VLOOKUP(A12,[29]HISTOJUIL24!$A$6:$BB$38,54,0)</f>
        <v>0</v>
      </c>
      <c r="AF12" s="36">
        <f>VLOOKUP($A12,[29]HISTOJUIL24!$A$6:$CB$38,60,0)</f>
        <v>0</v>
      </c>
      <c r="AG12" s="36">
        <f>VLOOKUP($A12,[29]HISTOJUIL24!$A$6:$CB$38,61,0)</f>
        <v>0</v>
      </c>
      <c r="AH12" s="36">
        <f>VLOOKUP($A12,[29]HISTOJUIL24!$A$6:$CB$38,62,0)</f>
        <v>0</v>
      </c>
      <c r="AI12" s="36">
        <f>VLOOKUP($A12,[29]HISTOJUIL24!$A$6:$CB$38,63,0)</f>
        <v>0</v>
      </c>
      <c r="AJ12" s="36">
        <f>VLOOKUP($A12,[29]HISTOJUIL24!$A$6:$CB$38,64,0)</f>
        <v>0</v>
      </c>
      <c r="AK12" s="36">
        <f>VLOOKUP($A12,[29]HISTOJUIL24!$A$6:$CB$38,65,0)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VLOOKUP($A13,[29]HISTOJUIL24!$A$6:$BA$38,48,0)</f>
        <v>0</v>
      </c>
      <c r="F13" s="36">
        <f>MVTJUIN24!I13-E13+L13</f>
        <v>885331.86340187909</v>
      </c>
      <c r="G13" s="5">
        <f>IF(MVTJUIN24!I13+L13&gt;700000,(MVTJUIN24!I13-E13+L13),0)</f>
        <v>885331.86340187909</v>
      </c>
      <c r="H13" s="36">
        <f t="shared" si="0"/>
        <v>3678.731028811213</v>
      </c>
      <c r="I13" s="6">
        <f t="shared" si="2"/>
        <v>889010.59443069028</v>
      </c>
      <c r="J13" s="36">
        <f>VLOOKUP($A13,[29]HISTOJUIL24!$A$6:$AQ$42,22,0)</f>
        <v>0</v>
      </c>
      <c r="K13" s="36">
        <f>VLOOKUP($A13,[29]HISTOJUIL24!$A$6:$AU$38,45,0)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VLOOKUP($A13,[29]HISTOJUIL24!$A$6:$AU$38,7,0)</f>
        <v>0</v>
      </c>
      <c r="Q13" s="36">
        <f>VLOOKUP($A13,[29]HISTOJUIL24!$A$6:$AU$38,23,0)</f>
        <v>0</v>
      </c>
      <c r="R13" s="36">
        <f>VLOOKUP($A13,[29]HISTOJUIL24!$A$6:$AU$38,46,0)</f>
        <v>0</v>
      </c>
      <c r="S13" s="36">
        <f>VLOOKUP($A13,[29]HISTOJUIL24!$A$6:$AU$38,26,0)</f>
        <v>0</v>
      </c>
      <c r="T13" s="36">
        <f>VLOOKUP($A13,[29]HISTOJUIL24!$A$6:$BG$38,58,0)</f>
        <v>0</v>
      </c>
      <c r="U13" s="36">
        <f>VLOOKUP($A13,[29]HISTOJUIL24!$A$6:$AU$38,28,0)</f>
        <v>0</v>
      </c>
      <c r="V13" s="36">
        <f>VLOOKUP($A13,[29]HISTOJUIL24!$A$6:$AU$38,19,0)</f>
        <v>0</v>
      </c>
      <c r="W13" s="36">
        <f>VLOOKUP($A13,[29]HISTOJUIL24!$A$6:$AU$38,20,0)</f>
        <v>0</v>
      </c>
      <c r="X13" s="36">
        <f>VLOOKUP($A13,[29]HISTOJUIL24!$A$6:$AU$38,27,0)</f>
        <v>0</v>
      </c>
      <c r="Y13" s="36">
        <f>VLOOKUP($A13,[29]HISTOJUIL24!$A$6:$BM$38,33,0)</f>
        <v>0</v>
      </c>
      <c r="Z13" s="36">
        <f>VLOOKUP($A13,[29]HISTOJUIL24!$A$6:$BM$38,65,0)</f>
        <v>0</v>
      </c>
      <c r="AA13" s="36"/>
      <c r="AB13" s="36">
        <f>VLOOKUP($A13,[29]HISTOJUIL24!$A$6:$AU$38,43,0)</f>
        <v>0</v>
      </c>
      <c r="AC13" s="36">
        <f>VLOOKUP($A13,[29]HISTOJUIL24!$A$6:$AU$38,44,0)</f>
        <v>0</v>
      </c>
      <c r="AD13" s="36">
        <f>VLOOKUP($A13,[29]HISTOJUIL24!$A$6:$AU$38,47,0)</f>
        <v>0</v>
      </c>
      <c r="AE13" s="36">
        <f>VLOOKUP(A13,[29]HISTOJUIL24!$A$6:$BB$38,54,0)</f>
        <v>0</v>
      </c>
      <c r="AF13" s="36">
        <f>VLOOKUP($A13,[29]HISTOJUIL24!$A$6:$CB$38,60,0)</f>
        <v>0</v>
      </c>
      <c r="AG13" s="36">
        <f>VLOOKUP($A13,[29]HISTOJUIL24!$A$6:$CB$38,61,0)</f>
        <v>0</v>
      </c>
      <c r="AH13" s="36">
        <f>VLOOKUP($A13,[29]HISTOJUIL24!$A$6:$CB$38,62,0)</f>
        <v>0</v>
      </c>
      <c r="AI13" s="36">
        <f>VLOOKUP($A13,[29]HISTOJUIL24!$A$6:$CB$38,63,0)</f>
        <v>0</v>
      </c>
      <c r="AJ13" s="36">
        <f>VLOOKUP($A13,[29]HISTOJUIL24!$A$6:$CB$38,64,0)</f>
        <v>0</v>
      </c>
      <c r="AK13" s="36">
        <f>VLOOKUP($A13,[29]HISTOJUIL24!$A$6:$CB$38,65,0)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VLOOKUP($A14,[29]HISTOJUIL24!$A$6:$BA$38,48,0)</f>
        <v>0</v>
      </c>
      <c r="F14" s="36">
        <f>MVTJUIN24!I14-E14+L14</f>
        <v>1441208.7714340563</v>
      </c>
      <c r="G14" s="5">
        <f>IF(MVTJUIN24!I14+L14&gt;700000,(MVTJUIN24!I14-E14+L14),0)</f>
        <v>1441208.7714340563</v>
      </c>
      <c r="H14" s="36">
        <f t="shared" si="0"/>
        <v>5988.5108010200383</v>
      </c>
      <c r="I14" s="6">
        <f t="shared" si="2"/>
        <v>1447197.2822350764</v>
      </c>
      <c r="J14" s="36">
        <f>VLOOKUP($A14,[29]HISTOJUIL24!$A$6:$AQ$42,22,0)</f>
        <v>0</v>
      </c>
      <c r="K14" s="36">
        <f>VLOOKUP($A14,[29]HISTOJUIL24!$A$6:$AU$38,45,0)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VLOOKUP($A14,[29]HISTOJUIL24!$A$6:$AU$38,7,0)</f>
        <v>0</v>
      </c>
      <c r="Q14" s="36">
        <f>VLOOKUP($A14,[29]HISTOJUIL24!$A$6:$AU$38,23,0)</f>
        <v>0</v>
      </c>
      <c r="R14" s="36">
        <f>VLOOKUP($A14,[29]HISTOJUIL24!$A$6:$AU$38,46,0)</f>
        <v>0</v>
      </c>
      <c r="S14" s="36">
        <f>VLOOKUP($A14,[29]HISTOJUIL24!$A$6:$AU$38,26,0)</f>
        <v>0</v>
      </c>
      <c r="T14" s="36">
        <f>VLOOKUP($A14,[29]HISTOJUIL24!$A$6:$BG$38,58,0)</f>
        <v>0</v>
      </c>
      <c r="U14" s="36">
        <f>VLOOKUP($A14,[29]HISTOJUIL24!$A$6:$AU$38,28,0)</f>
        <v>0</v>
      </c>
      <c r="V14" s="36">
        <f>VLOOKUP($A14,[29]HISTOJUIL24!$A$6:$AU$38,19,0)</f>
        <v>0</v>
      </c>
      <c r="W14" s="36">
        <f>VLOOKUP($A14,[29]HISTOJUIL24!$A$6:$AU$38,20,0)</f>
        <v>0</v>
      </c>
      <c r="X14" s="36">
        <f>VLOOKUP($A14,[29]HISTOJUIL24!$A$6:$AU$38,27,0)</f>
        <v>0</v>
      </c>
      <c r="Y14" s="36">
        <f>VLOOKUP($A14,[29]HISTOJUIL24!$A$6:$BM$38,33,0)</f>
        <v>0</v>
      </c>
      <c r="Z14" s="36">
        <f>VLOOKUP($A14,[29]HISTOJUIL24!$A$6:$BM$38,65,0)</f>
        <v>0</v>
      </c>
      <c r="AA14" s="36"/>
      <c r="AB14" s="36">
        <f>VLOOKUP($A14,[29]HISTOJUIL24!$A$6:$AU$38,43,0)</f>
        <v>0</v>
      </c>
      <c r="AC14" s="36">
        <f>VLOOKUP($A14,[29]HISTOJUIL24!$A$6:$AU$38,44,0)</f>
        <v>0</v>
      </c>
      <c r="AD14" s="36">
        <f>VLOOKUP($A14,[29]HISTOJUIL24!$A$6:$AU$38,47,0)</f>
        <v>0</v>
      </c>
      <c r="AE14" s="36">
        <f>VLOOKUP(A14,[29]HISTOJUIL24!$A$6:$BB$38,54,0)</f>
        <v>0</v>
      </c>
      <c r="AF14" s="36">
        <f>VLOOKUP($A14,[29]HISTOJUIL24!$A$6:$CB$38,60,0)</f>
        <v>0</v>
      </c>
      <c r="AG14" s="36">
        <f>VLOOKUP($A14,[29]HISTOJUIL24!$A$6:$CB$38,61,0)</f>
        <v>0</v>
      </c>
      <c r="AH14" s="36">
        <f>VLOOKUP($A14,[29]HISTOJUIL24!$A$6:$CB$38,62,0)</f>
        <v>0</v>
      </c>
      <c r="AI14" s="36">
        <f>VLOOKUP($A14,[29]HISTOJUIL24!$A$6:$CB$38,63,0)</f>
        <v>0</v>
      </c>
      <c r="AJ14" s="36">
        <f>VLOOKUP($A14,[29]HISTOJUIL24!$A$6:$CB$38,64,0)</f>
        <v>0</v>
      </c>
      <c r="AK14" s="36">
        <f>VLOOKUP($A14,[29]HISTOJUIL24!$A$6:$CB$38,65,0)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VLOOKUP($A15,[29]HISTOJUIL24!$A$6:$BA$38,48,0)</f>
        <v>0</v>
      </c>
      <c r="F15" s="36">
        <f>MVTJUIN24!I15-E15+L15</f>
        <v>947422.11053029553</v>
      </c>
      <c r="G15" s="5">
        <f>IF(MVTJUIN24!I15+L15&gt;700000,(MVTJUIN24!I15-E15+L15),0)</f>
        <v>947422.11053029553</v>
      </c>
      <c r="H15" s="36">
        <f t="shared" si="0"/>
        <v>3936.7284285887222</v>
      </c>
      <c r="I15" s="6">
        <f t="shared" si="2"/>
        <v>951358.83895888424</v>
      </c>
      <c r="J15" s="36">
        <f>VLOOKUP($A15,[29]HISTOJUIL24!$A$6:$AQ$42,22,0)</f>
        <v>0</v>
      </c>
      <c r="K15" s="36">
        <f>VLOOKUP($A15,[29]HISTOJUIL24!$A$6:$AU$38,45,0)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VLOOKUP($A15,[29]HISTOJUIL24!$A$6:$AU$38,7,0)</f>
        <v>0</v>
      </c>
      <c r="Q15" s="36">
        <f>VLOOKUP($A15,[29]HISTOJUIL24!$A$6:$AU$38,23,0)</f>
        <v>0</v>
      </c>
      <c r="R15" s="36">
        <f>VLOOKUP($A15,[29]HISTOJUIL24!$A$6:$AU$38,46,0)</f>
        <v>0</v>
      </c>
      <c r="S15" s="36">
        <f>VLOOKUP($A15,[29]HISTOJUIL24!$A$6:$AU$38,26,0)</f>
        <v>0</v>
      </c>
      <c r="T15" s="36">
        <f>VLOOKUP($A15,[29]HISTOJUIL24!$A$6:$BG$38,58,0)</f>
        <v>0</v>
      </c>
      <c r="U15" s="36">
        <f>VLOOKUP($A15,[29]HISTOJUIL24!$A$6:$AU$38,28,0)</f>
        <v>0</v>
      </c>
      <c r="V15" s="36">
        <f>VLOOKUP($A15,[29]HISTOJUIL24!$A$6:$AU$38,19,0)</f>
        <v>0</v>
      </c>
      <c r="W15" s="36">
        <f>VLOOKUP($A15,[29]HISTOJUIL24!$A$6:$AU$38,20,0)</f>
        <v>0</v>
      </c>
      <c r="X15" s="36">
        <f>VLOOKUP($A15,[29]HISTOJUIL24!$A$6:$AU$38,27,0)</f>
        <v>0</v>
      </c>
      <c r="Y15" s="36">
        <f>VLOOKUP($A15,[29]HISTOJUIL24!$A$6:$BM$38,33,0)</f>
        <v>0</v>
      </c>
      <c r="Z15" s="36">
        <f>VLOOKUP($A15,[29]HISTOJUIL24!$A$6:$BM$38,65,0)</f>
        <v>0</v>
      </c>
      <c r="AA15" s="36"/>
      <c r="AB15" s="36">
        <f>VLOOKUP($A15,[29]HISTOJUIL24!$A$6:$AU$38,43,0)</f>
        <v>0</v>
      </c>
      <c r="AC15" s="36">
        <f>VLOOKUP($A15,[29]HISTOJUIL24!$A$6:$AU$38,44,0)</f>
        <v>0</v>
      </c>
      <c r="AD15" s="36">
        <f>VLOOKUP($A15,[29]HISTOJUIL24!$A$6:$AU$38,47,0)</f>
        <v>0</v>
      </c>
      <c r="AE15" s="36">
        <f>VLOOKUP(A15,[29]HISTOJUIL24!$A$6:$BB$38,54,0)</f>
        <v>0</v>
      </c>
      <c r="AF15" s="36">
        <f>VLOOKUP($A15,[29]HISTOJUIL24!$A$6:$CB$38,60,0)</f>
        <v>0</v>
      </c>
      <c r="AG15" s="36">
        <f>VLOOKUP($A15,[29]HISTOJUIL24!$A$6:$CB$38,61,0)</f>
        <v>0</v>
      </c>
      <c r="AH15" s="36">
        <f>VLOOKUP($A15,[29]HISTOJUIL24!$A$6:$CB$38,62,0)</f>
        <v>0</v>
      </c>
      <c r="AI15" s="36">
        <f>VLOOKUP($A15,[29]HISTOJUIL24!$A$6:$CB$38,63,0)</f>
        <v>0</v>
      </c>
      <c r="AJ15" s="36">
        <f>VLOOKUP($A15,[29]HISTOJUIL24!$A$6:$CB$38,64,0)</f>
        <v>0</v>
      </c>
      <c r="AK15" s="36">
        <f>VLOOKUP($A15,[29]HISTOJUIL24!$A$6:$CB$38,65,0)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VLOOKUP($A16,[29]HISTOJUIL24!$A$6:$BA$38,48,0)</f>
        <v>0</v>
      </c>
      <c r="F16" s="36">
        <f>MVTJUIN24!I16-E16+L16</f>
        <v>1144122.8410238593</v>
      </c>
      <c r="G16" s="5">
        <f>IF(MVTJUIN24!I16+L16&gt;700000,(MVTJUIN24!I16-E16+L16),0)</f>
        <v>1144122.8410238593</v>
      </c>
      <c r="H16" s="36">
        <f t="shared" si="0"/>
        <v>4754.0593194888243</v>
      </c>
      <c r="I16" s="6">
        <f t="shared" si="2"/>
        <v>1148876.9003433483</v>
      </c>
      <c r="J16" s="36">
        <f>VLOOKUP($A16,[29]HISTOJUIL24!$A$6:$AQ$42,22,0)</f>
        <v>0</v>
      </c>
      <c r="K16" s="36">
        <f>VLOOKUP($A16,[29]HISTOJUIL24!$A$6:$AU$38,45,0)</f>
        <v>40000</v>
      </c>
      <c r="L16" s="36">
        <f t="shared" si="3"/>
        <v>34000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VLOOKUP($A16,[29]HISTOJUIL24!$A$6:$AU$38,7,0)</f>
        <v>0</v>
      </c>
      <c r="Q16" s="36">
        <f>VLOOKUP($A16,[29]HISTOJUIL24!$A$6:$AU$38,23,0)</f>
        <v>0</v>
      </c>
      <c r="R16" s="36">
        <f>VLOOKUP($A16,[29]HISTOJUIL24!$A$6:$AU$38,46,0)</f>
        <v>0</v>
      </c>
      <c r="S16" s="36">
        <f>VLOOKUP($A16,[29]HISTOJUIL24!$A$6:$AU$38,26,0)</f>
        <v>0</v>
      </c>
      <c r="T16" s="36">
        <f>VLOOKUP($A16,[29]HISTOJUIL24!$A$6:$BG$38,58,0)</f>
        <v>0</v>
      </c>
      <c r="U16" s="36">
        <f>VLOOKUP($A16,[29]HISTOJUIL24!$A$6:$AU$38,28,0)</f>
        <v>0</v>
      </c>
      <c r="V16" s="36">
        <f>VLOOKUP($A16,[29]HISTOJUIL24!$A$6:$AU$38,19,0)</f>
        <v>238500</v>
      </c>
      <c r="W16" s="36">
        <f>VLOOKUP($A16,[29]HISTOJUIL24!$A$6:$AU$38,20,0)</f>
        <v>0</v>
      </c>
      <c r="X16" s="36">
        <f>VLOOKUP($A16,[29]HISTOJUIL24!$A$6:$AU$38,27,0)</f>
        <v>0</v>
      </c>
      <c r="Y16" s="36">
        <f>VLOOKUP($A16,[29]HISTOJUIL24!$A$6:$BM$38,33,0)</f>
        <v>0</v>
      </c>
      <c r="Z16" s="36">
        <f>VLOOKUP($A16,[29]HISTOJUIL24!$A$6:$BM$38,65,0)</f>
        <v>0</v>
      </c>
      <c r="AA16" s="36"/>
      <c r="AB16" s="36">
        <f>VLOOKUP($A16,[29]HISTOJUIL24!$A$6:$AU$38,43,0)</f>
        <v>0</v>
      </c>
      <c r="AC16" s="36">
        <f>VLOOKUP($A16,[29]HISTOJUIL24!$A$6:$AU$38,44,0)</f>
        <v>0</v>
      </c>
      <c r="AD16" s="36">
        <f>VLOOKUP($A16,[29]HISTOJUIL24!$A$6:$AU$38,47,0)</f>
        <v>0</v>
      </c>
      <c r="AE16" s="36">
        <f>VLOOKUP(A16,[29]HISTOJUIL24!$A$6:$BB$38,54,0)</f>
        <v>0</v>
      </c>
      <c r="AF16" s="36">
        <f>VLOOKUP($A16,[29]HISTOJUIL24!$A$6:$CB$38,60,0)</f>
        <v>0</v>
      </c>
      <c r="AG16" s="36">
        <f>VLOOKUP($A16,[29]HISTOJUIL24!$A$6:$CB$38,61,0)</f>
        <v>0</v>
      </c>
      <c r="AH16" s="36">
        <f>VLOOKUP($A16,[29]HISTOJUIL24!$A$6:$CB$38,62,0)</f>
        <v>0</v>
      </c>
      <c r="AI16" s="36">
        <f>VLOOKUP($A16,[29]HISTOJUIL24!$A$6:$CB$38,63,0)</f>
        <v>0</v>
      </c>
      <c r="AJ16" s="36">
        <f>VLOOKUP($A16,[29]HISTOJUIL24!$A$6:$CB$38,64,0)</f>
        <v>0</v>
      </c>
      <c r="AK16" s="36">
        <f>VLOOKUP($A16,[29]HISTOJUIL24!$A$6:$CB$38,65,0)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VLOOKUP($A17,[29]HISTOJUIL24!$A$6:$BA$38,48,0)</f>
        <v>0</v>
      </c>
      <c r="F17" s="36">
        <f>MVTJUIN24!I17-E17+L17</f>
        <v>895734.84589369607</v>
      </c>
      <c r="G17" s="5">
        <f>IF(MVTJUIN24!I17+L17&gt;700000,(MVTJUIN24!I17-E17+L17),0)</f>
        <v>895734.84589369607</v>
      </c>
      <c r="H17" s="36">
        <f t="shared" si="0"/>
        <v>3721.9575024837809</v>
      </c>
      <c r="I17" s="6">
        <f t="shared" si="2"/>
        <v>899456.80339617981</v>
      </c>
      <c r="J17" s="36">
        <f>VLOOKUP($A17,[29]HISTOJUIL24!$A$6:$AQ$42,22,0)</f>
        <v>0</v>
      </c>
      <c r="K17" s="36">
        <f>VLOOKUP($A17,[29]HISTOJUIL24!$A$6:$AU$38,45,0)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VLOOKUP($A17,[29]HISTOJUIL24!$A$6:$AU$38,7,0)</f>
        <v>3000</v>
      </c>
      <c r="Q17" s="36">
        <f>VLOOKUP($A17,[29]HISTOJUIL24!$A$6:$AU$38,23,0)</f>
        <v>0</v>
      </c>
      <c r="R17" s="36">
        <f>VLOOKUP($A17,[29]HISTOJUIL24!$A$6:$AU$38,46,0)</f>
        <v>0</v>
      </c>
      <c r="S17" s="36">
        <f>VLOOKUP($A17,[29]HISTOJUIL24!$A$6:$AU$38,26,0)</f>
        <v>0</v>
      </c>
      <c r="T17" s="36">
        <f>VLOOKUP($A17,[29]HISTOJUIL24!$A$6:$BG$38,58,0)</f>
        <v>0</v>
      </c>
      <c r="U17" s="36">
        <f>VLOOKUP($A17,[29]HISTOJUIL24!$A$6:$AU$38,28,0)</f>
        <v>0</v>
      </c>
      <c r="V17" s="36">
        <f>VLOOKUP($A17,[29]HISTOJUIL24!$A$6:$AU$38,19,0)</f>
        <v>0</v>
      </c>
      <c r="W17" s="36">
        <f>VLOOKUP($A17,[29]HISTOJUIL24!$A$6:$AU$38,20,0)</f>
        <v>0</v>
      </c>
      <c r="X17" s="36">
        <f>VLOOKUP($A17,[29]HISTOJUIL24!$A$6:$AU$38,27,0)</f>
        <v>0</v>
      </c>
      <c r="Y17" s="36">
        <f>VLOOKUP($A17,[29]HISTOJUIL24!$A$6:$BM$38,33,0)</f>
        <v>0</v>
      </c>
      <c r="Z17" s="36">
        <f>VLOOKUP($A17,[29]HISTOJUIL24!$A$6:$BM$38,65,0)</f>
        <v>0</v>
      </c>
      <c r="AA17" s="36"/>
      <c r="AB17" s="36">
        <f>VLOOKUP($A17,[29]HISTOJUIL24!$A$6:$AU$38,43,0)</f>
        <v>0</v>
      </c>
      <c r="AC17" s="36">
        <f>VLOOKUP($A17,[29]HISTOJUIL24!$A$6:$AU$38,44,0)</f>
        <v>0</v>
      </c>
      <c r="AD17" s="36">
        <f>VLOOKUP($A17,[29]HISTOJUIL24!$A$6:$AU$38,47,0)</f>
        <v>0</v>
      </c>
      <c r="AE17" s="36">
        <f>VLOOKUP(A17,[29]HISTOJUIL24!$A$6:$BB$38,54,0)</f>
        <v>0</v>
      </c>
      <c r="AF17" s="36">
        <f>VLOOKUP($A17,[29]HISTOJUIL24!$A$6:$CB$38,60,0)</f>
        <v>0</v>
      </c>
      <c r="AG17" s="36">
        <f>VLOOKUP($A17,[29]HISTOJUIL24!$A$6:$CB$38,61,0)</f>
        <v>0</v>
      </c>
      <c r="AH17" s="36">
        <f>VLOOKUP($A17,[29]HISTOJUIL24!$A$6:$CB$38,62,0)</f>
        <v>0</v>
      </c>
      <c r="AI17" s="36">
        <f>VLOOKUP($A17,[29]HISTOJUIL24!$A$6:$CB$38,63,0)</f>
        <v>0</v>
      </c>
      <c r="AJ17" s="36">
        <f>VLOOKUP($A17,[29]HISTOJUIL24!$A$6:$CB$38,64,0)</f>
        <v>0</v>
      </c>
      <c r="AK17" s="36">
        <f>VLOOKUP($A17,[29]HISTOJUIL24!$A$6:$CB$38,65,0)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VLOOKUP($A18,[29]HISTOJUIL24!$A$6:$BA$38,48,0)</f>
        <v>0</v>
      </c>
      <c r="F18" s="36">
        <f>MVTJUIN24!I18-E18+L18</f>
        <v>971888.60120866739</v>
      </c>
      <c r="G18" s="5">
        <f>IF(MVTJUIN24!I18+L18&gt;700000,(MVTJUIN24!I18-E18+L18),0)</f>
        <v>971888.60120866739</v>
      </c>
      <c r="H18" s="36">
        <f t="shared" si="0"/>
        <v>4038.3915925900733</v>
      </c>
      <c r="I18" s="6">
        <f t="shared" si="2"/>
        <v>975926.99280125741</v>
      </c>
      <c r="J18" s="36">
        <f>VLOOKUP($A18,[29]HISTOJUIL24!$A$6:$AQ$42,22,0)</f>
        <v>0</v>
      </c>
      <c r="K18" s="36">
        <f>VLOOKUP($A18,[29]HISTOJUIL24!$A$6:$AU$38,45,0)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VLOOKUP($A18,[29]HISTOJUIL24!$A$6:$AU$38,7,0)</f>
        <v>0</v>
      </c>
      <c r="Q18" s="36">
        <f>VLOOKUP($A18,[29]HISTOJUIL24!$A$6:$AU$38,23,0)</f>
        <v>0</v>
      </c>
      <c r="R18" s="36">
        <f>VLOOKUP($A18,[29]HISTOJUIL24!$A$6:$AU$38,46,0)</f>
        <v>0</v>
      </c>
      <c r="S18" s="36">
        <f>VLOOKUP($A18,[29]HISTOJUIL24!$A$6:$AU$38,26,0)</f>
        <v>0</v>
      </c>
      <c r="T18" s="36">
        <f>VLOOKUP($A18,[29]HISTOJUIL24!$A$6:$BG$38,58,0)</f>
        <v>0</v>
      </c>
      <c r="U18" s="36">
        <f>VLOOKUP($A18,[29]HISTOJUIL24!$A$6:$AU$38,28,0)</f>
        <v>0</v>
      </c>
      <c r="V18" s="36">
        <f>VLOOKUP($A18,[29]HISTOJUIL24!$A$6:$AU$38,19,0)</f>
        <v>0</v>
      </c>
      <c r="W18" s="36">
        <f>VLOOKUP($A18,[29]HISTOJUIL24!$A$6:$AU$38,20,0)</f>
        <v>0</v>
      </c>
      <c r="X18" s="36">
        <f>VLOOKUP($A18,[29]HISTOJUIL24!$A$6:$AU$38,27,0)</f>
        <v>0</v>
      </c>
      <c r="Y18" s="36">
        <f>VLOOKUP($A18,[29]HISTOJUIL24!$A$6:$BM$38,33,0)</f>
        <v>0</v>
      </c>
      <c r="Z18" s="36">
        <f>VLOOKUP($A18,[29]HISTOJUIL24!$A$6:$BM$38,65,0)</f>
        <v>0</v>
      </c>
      <c r="AA18" s="36"/>
      <c r="AB18" s="36">
        <f>VLOOKUP($A18,[29]HISTOJUIL24!$A$6:$AU$38,43,0)</f>
        <v>0</v>
      </c>
      <c r="AC18" s="36">
        <f>VLOOKUP($A18,[29]HISTOJUIL24!$A$6:$AU$38,44,0)</f>
        <v>0</v>
      </c>
      <c r="AD18" s="36">
        <f>VLOOKUP($A18,[29]HISTOJUIL24!$A$6:$AU$38,47,0)</f>
        <v>0</v>
      </c>
      <c r="AE18" s="36">
        <f>VLOOKUP(A18,[29]HISTOJUIL24!$A$6:$BB$38,54,0)</f>
        <v>0</v>
      </c>
      <c r="AF18" s="36">
        <f>VLOOKUP($A18,[29]HISTOJUIL24!$A$6:$CB$38,60,0)</f>
        <v>0</v>
      </c>
      <c r="AG18" s="36">
        <f>VLOOKUP($A18,[29]HISTOJUIL24!$A$6:$CB$38,61,0)</f>
        <v>0</v>
      </c>
      <c r="AH18" s="36">
        <f>VLOOKUP($A18,[29]HISTOJUIL24!$A$6:$CB$38,62,0)</f>
        <v>0</v>
      </c>
      <c r="AI18" s="36">
        <f>VLOOKUP($A18,[29]HISTOJUIL24!$A$6:$CB$38,63,0)</f>
        <v>0</v>
      </c>
      <c r="AJ18" s="36">
        <f>VLOOKUP($A18,[29]HISTOJUIL24!$A$6:$CB$38,64,0)</f>
        <v>0</v>
      </c>
      <c r="AK18" s="36">
        <f>VLOOKUP($A18,[29]HISTOJUIL24!$A$6:$CB$38,65,0)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MVTJUIN24!I19-E19+L19</f>
        <v>676217</v>
      </c>
      <c r="G19" s="5">
        <f>IF(MVTJUIN24!I19+L19&gt;700000,(MVTJUIN24!I19-E19+L19),0)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MVTJUIN24!I20-E20+L20</f>
        <v>133000</v>
      </c>
      <c r="G20" s="5">
        <f>IF(MVTJUIN24!I20+L20&gt;700000,(MVTJUIN24!I20-E20+L20),0)</f>
        <v>0</v>
      </c>
      <c r="H20" s="36">
        <f t="shared" si="0"/>
        <v>0</v>
      </c>
      <c r="I20" s="6">
        <f t="shared" si="2"/>
        <v>133000</v>
      </c>
      <c r="J20" s="36">
        <f>VLOOKUP($A20,[29]HISTOJUIL24!$A$6:$AQ$42,22,0)</f>
        <v>0</v>
      </c>
      <c r="K20" s="36">
        <f>VLOOKUP($A20,[29]HISTOJUIL24!$A$6:$AU$38,45,0)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VLOOKUP($A20,[29]HISTOJUIL24!$A$6:$AU$38,7,0)</f>
        <v>0</v>
      </c>
      <c r="Q20" s="36">
        <f>VLOOKUP($A20,[29]HISTOJUIL24!$A$6:$AU$38,23,0)</f>
        <v>0</v>
      </c>
      <c r="R20" s="36">
        <f>VLOOKUP($A20,[29]HISTOJUIL24!$A$6:$AU$38,46,0)</f>
        <v>0</v>
      </c>
      <c r="S20" s="36">
        <f>VLOOKUP($A20,[29]HISTOJUIL24!$A$6:$AU$38,26,0)</f>
        <v>0</v>
      </c>
      <c r="T20" s="36">
        <f>VLOOKUP($A20,[29]HISTOJUIL24!$A$6:$BG$38,58,0)</f>
        <v>0</v>
      </c>
      <c r="U20" s="36">
        <f>VLOOKUP($A20,[29]HISTOJUIL24!$A$6:$AU$38,28,0)</f>
        <v>0</v>
      </c>
      <c r="V20" s="36">
        <f>VLOOKUP($A20,[29]HISTOJUIL24!$A$6:$AU$38,19,0)</f>
        <v>0</v>
      </c>
      <c r="W20" s="36">
        <f>VLOOKUP($A20,[29]HISTOJUIL24!$A$6:$AU$38,20,0)</f>
        <v>0</v>
      </c>
      <c r="X20" s="36">
        <f>VLOOKUP($A20,[29]HISTOJUIL24!$A$6:$AU$38,27,0)</f>
        <v>0</v>
      </c>
      <c r="Y20" s="36">
        <f>VLOOKUP($A20,[29]HISTOJUIL24!$A$6:$BM$38,33,0)</f>
        <v>0</v>
      </c>
      <c r="Z20" s="36">
        <f>VLOOKUP($A20,[29]HISTOJUIL24!$A$6:$BM$38,65,0)</f>
        <v>0</v>
      </c>
      <c r="AA20" s="36"/>
      <c r="AB20" s="36">
        <f>VLOOKUP($A20,[29]HISTOJUIL24!$A$6:$AU$38,43,0)</f>
        <v>0</v>
      </c>
      <c r="AC20" s="36">
        <f>VLOOKUP($A20,[29]HISTOJUIL24!$A$6:$AU$38,44,0)</f>
        <v>0</v>
      </c>
      <c r="AD20" s="36">
        <f>VLOOKUP($A20,[29]HISTOJUIL24!$A$6:$AU$38,47,0)</f>
        <v>0</v>
      </c>
      <c r="AE20" s="36">
        <f>VLOOKUP(A20,[29]HISTOJUIL24!$A$6:$BB$38,54,0)</f>
        <v>0</v>
      </c>
      <c r="AF20" s="36">
        <f>VLOOKUP($A20,[29]HISTOJUIL24!$A$6:$CB$38,60,0)</f>
        <v>0</v>
      </c>
      <c r="AG20" s="36">
        <f>VLOOKUP($A20,[29]HISTOJUIL24!$A$6:$CB$38,61,0)</f>
        <v>0</v>
      </c>
      <c r="AH20" s="36">
        <f>VLOOKUP($A20,[29]HISTOJUIL24!$A$6:$CB$38,62,0)</f>
        <v>0</v>
      </c>
      <c r="AI20" s="36">
        <f>VLOOKUP($A20,[29]HISTOJUIL24!$A$6:$CB$38,63,0)</f>
        <v>0</v>
      </c>
      <c r="AJ20" s="36">
        <f>VLOOKUP($A20,[29]HISTOJUIL24!$A$6:$CB$38,64,0)</f>
        <v>0</v>
      </c>
      <c r="AK20" s="36">
        <f>VLOOKUP($A20,[29]HISTOJUIL24!$A$6:$CB$38,65,0)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MVTJUIN24!I21-E21+L21</f>
        <v>917806.20126582833</v>
      </c>
      <c r="G21" s="5">
        <f>IF(MVTJUIN24!I21+L21&gt;700000,(MVTJUIN24!I21-E21+L21),0)</f>
        <v>917806.20126582833</v>
      </c>
      <c r="H21" s="36">
        <f t="shared" si="0"/>
        <v>3813.6684000712603</v>
      </c>
      <c r="I21" s="6">
        <f t="shared" si="2"/>
        <v>921619.86966589955</v>
      </c>
      <c r="J21" s="36">
        <f>VLOOKUP($A21,[29]HISTOJUIL24!$A$6:$AQ$42,22,0)</f>
        <v>0</v>
      </c>
      <c r="K21" s="36">
        <f>VLOOKUP($A21,[29]HISTOJUIL24!$A$6:$AU$38,45,0)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VLOOKUP($A21,[29]HISTOJUIL24!$A$6:$AU$38,7,0)</f>
        <v>0</v>
      </c>
      <c r="Q21" s="36">
        <f>VLOOKUP($A21,[29]HISTOJUIL24!$A$6:$AU$38,23,0)</f>
        <v>0</v>
      </c>
      <c r="R21" s="36">
        <f>VLOOKUP($A21,[29]HISTOJUIL24!$A$6:$AU$38,46,0)</f>
        <v>0</v>
      </c>
      <c r="S21" s="36">
        <f>VLOOKUP($A21,[29]HISTOJUIL24!$A$6:$AU$38,26,0)</f>
        <v>0</v>
      </c>
      <c r="T21" s="36">
        <f>VLOOKUP($A21,[29]HISTOJUIL24!$A$6:$BG$38,58,0)</f>
        <v>60000</v>
      </c>
      <c r="U21" s="36">
        <f>VLOOKUP($A21,[29]HISTOJUIL24!$A$6:$AU$38,28,0)</f>
        <v>0</v>
      </c>
      <c r="V21" s="36">
        <f>VLOOKUP($A21,[29]HISTOJUIL24!$A$6:$AU$38,19,0)</f>
        <v>0</v>
      </c>
      <c r="W21" s="36">
        <f>VLOOKUP($A21,[29]HISTOJUIL24!$A$6:$AU$38,20,0)</f>
        <v>0</v>
      </c>
      <c r="X21" s="36">
        <f>VLOOKUP($A21,[29]HISTOJUIL24!$A$6:$AU$38,27,0)</f>
        <v>0</v>
      </c>
      <c r="Y21" s="36">
        <f>VLOOKUP($A21,[29]HISTOJUIL24!$A$6:$BM$38,33,0)</f>
        <v>0</v>
      </c>
      <c r="Z21" s="36">
        <f>VLOOKUP($A21,[29]HISTOJUIL24!$A$6:$BM$38,65,0)</f>
        <v>0</v>
      </c>
      <c r="AA21" s="36"/>
      <c r="AB21" s="36">
        <f>VLOOKUP($A21,[29]HISTOJUIL24!$A$6:$AU$38,43,0)</f>
        <v>0</v>
      </c>
      <c r="AC21" s="36">
        <f>VLOOKUP($A21,[29]HISTOJUIL24!$A$6:$AU$38,44,0)</f>
        <v>0</v>
      </c>
      <c r="AD21" s="36">
        <f>VLOOKUP($A21,[29]HISTOJUIL24!$A$6:$AU$38,47,0)</f>
        <v>0</v>
      </c>
      <c r="AE21" s="36">
        <f>VLOOKUP(A21,[29]HISTOJUIL24!$A$6:$BB$38,54,0)</f>
        <v>0</v>
      </c>
      <c r="AF21" s="36">
        <f>VLOOKUP($A21,[29]HISTOJUIL24!$A$6:$CB$38,60,0)</f>
        <v>0</v>
      </c>
      <c r="AG21" s="36">
        <f>VLOOKUP($A21,[29]HISTOJUIL24!$A$6:$CB$38,61,0)</f>
        <v>0</v>
      </c>
      <c r="AH21" s="36">
        <f>VLOOKUP($A21,[29]HISTOJUIL24!$A$6:$CB$38,62,0)</f>
        <v>0</v>
      </c>
      <c r="AI21" s="36">
        <f>VLOOKUP($A21,[29]HISTOJUIL24!$A$6:$CB$38,63,0)</f>
        <v>0</v>
      </c>
      <c r="AJ21" s="36">
        <f>VLOOKUP($A21,[29]HISTOJUIL24!$A$6:$CB$38,64,0)</f>
        <v>0</v>
      </c>
      <c r="AK21" s="36">
        <f>VLOOKUP($A21,[29]HISTOJUIL24!$A$6:$CB$38,65,0)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MVTJUIN24!I22-E22+L22</f>
        <v>886522.1134426794</v>
      </c>
      <c r="G22" s="5">
        <f>IF(MVTJUIN24!I22+L22&gt;700000,(MVTJUIN24!I22-E22+L22),0)</f>
        <v>886522.1134426794</v>
      </c>
      <c r="H22" s="36">
        <f t="shared" si="0"/>
        <v>3683.6767558748602</v>
      </c>
      <c r="I22" s="6">
        <f t="shared" si="2"/>
        <v>890205.79019855428</v>
      </c>
      <c r="J22" s="36">
        <f>VLOOKUP($A22,[29]HISTOJUIL24!$A$6:$AQ$42,22,0)</f>
        <v>0</v>
      </c>
      <c r="K22" s="36">
        <f>VLOOKUP($A22,[29]HISTOJUIL24!$A$6:$AU$38,45,0)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VLOOKUP($A22,[29]HISTOJUIL24!$A$6:$AU$38,7,0)</f>
        <v>0</v>
      </c>
      <c r="Q22" s="36">
        <f>VLOOKUP($A22,[29]HISTOJUIL24!$A$6:$AU$38,23,0)</f>
        <v>0</v>
      </c>
      <c r="R22" s="36">
        <f>VLOOKUP($A22,[29]HISTOJUIL24!$A$6:$AU$38,46,0)</f>
        <v>0</v>
      </c>
      <c r="S22" s="36">
        <f>VLOOKUP($A22,[29]HISTOJUIL24!$A$6:$AU$38,26,0)</f>
        <v>0</v>
      </c>
      <c r="T22" s="36">
        <f>VLOOKUP($A22,[29]HISTOJUIL24!$A$6:$BG$38,58,0)</f>
        <v>0</v>
      </c>
      <c r="U22" s="36">
        <f>VLOOKUP($A22,[29]HISTOJUIL24!$A$6:$AU$38,28,0)</f>
        <v>0</v>
      </c>
      <c r="V22" s="36">
        <f>VLOOKUP($A22,[29]HISTOJUIL24!$A$6:$AU$38,19,0)</f>
        <v>0</v>
      </c>
      <c r="W22" s="36">
        <f>VLOOKUP($A22,[29]HISTOJUIL24!$A$6:$AU$38,20,0)</f>
        <v>0</v>
      </c>
      <c r="X22" s="36">
        <f>VLOOKUP($A22,[29]HISTOJUIL24!$A$6:$AU$38,27,0)</f>
        <v>0</v>
      </c>
      <c r="Y22" s="36">
        <f>VLOOKUP($A22,[29]HISTOJUIL24!$A$6:$BM$38,33,0)</f>
        <v>0</v>
      </c>
      <c r="Z22" s="36">
        <f>VLOOKUP($A22,[29]HISTOJUIL24!$A$6:$BM$38,65,0)</f>
        <v>0</v>
      </c>
      <c r="AA22" s="36"/>
      <c r="AB22" s="36">
        <f>VLOOKUP($A22,[29]HISTOJUIL24!$A$6:$AU$38,43,0)</f>
        <v>0</v>
      </c>
      <c r="AC22" s="36">
        <f>VLOOKUP($A22,[29]HISTOJUIL24!$A$6:$AU$38,44,0)</f>
        <v>0</v>
      </c>
      <c r="AD22" s="36">
        <f>VLOOKUP($A22,[29]HISTOJUIL24!$A$6:$AU$38,47,0)</f>
        <v>0</v>
      </c>
      <c r="AE22" s="36">
        <f>VLOOKUP(A22,[29]HISTOJUIL24!$A$6:$BB$38,54,0)</f>
        <v>0</v>
      </c>
      <c r="AF22" s="36">
        <f>VLOOKUP($A22,[29]HISTOJUIL24!$A$6:$CB$38,60,0)</f>
        <v>0</v>
      </c>
      <c r="AG22" s="36">
        <f>VLOOKUP($A22,[29]HISTOJUIL24!$A$6:$CB$38,61,0)</f>
        <v>0</v>
      </c>
      <c r="AH22" s="36">
        <f>VLOOKUP($A22,[29]HISTOJUIL24!$A$6:$CB$38,62,0)</f>
        <v>0</v>
      </c>
      <c r="AI22" s="36">
        <f>VLOOKUP($A22,[29]HISTOJUIL24!$A$6:$CB$38,63,0)</f>
        <v>0</v>
      </c>
      <c r="AJ22" s="36">
        <f>VLOOKUP($A22,[29]HISTOJUIL24!$A$6:$CB$38,64,0)</f>
        <v>0</v>
      </c>
      <c r="AK22" s="36">
        <f>VLOOKUP($A22,[29]HISTOJUIL24!$A$6:$CB$38,65,0)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MVTJUIN24!I23-E23+L23</f>
        <v>993033.47083401668</v>
      </c>
      <c r="G23" s="5">
        <f>IF(MVTJUIN24!I23+L23&gt;700000,(MVTJUIN24!I23-E23+L23),0)</f>
        <v>993033.47083401668</v>
      </c>
      <c r="H23" s="36">
        <f t="shared" si="0"/>
        <v>4126.2527565292621</v>
      </c>
      <c r="I23" s="6">
        <f t="shared" si="2"/>
        <v>997159.72359054594</v>
      </c>
      <c r="J23" s="36">
        <f>VLOOKUP($A23,[29]HISTOJUIL24!$A$6:$AQ$42,22,0)</f>
        <v>0</v>
      </c>
      <c r="K23" s="36">
        <f>VLOOKUP($A23,[29]HISTOJUIL24!$A$6:$AU$38,45,0)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VLOOKUP($A23,[29]HISTOJUIL24!$A$6:$AU$38,7,0)</f>
        <v>0</v>
      </c>
      <c r="Q23" s="36">
        <f>VLOOKUP($A23,[29]HISTOJUIL24!$A$6:$AU$38,23,0)</f>
        <v>0</v>
      </c>
      <c r="R23" s="36">
        <f>VLOOKUP($A23,[29]HISTOJUIL24!$A$6:$AU$38,46,0)</f>
        <v>0</v>
      </c>
      <c r="S23" s="36">
        <f>VLOOKUP($A23,[29]HISTOJUIL24!$A$6:$AU$38,26,0)</f>
        <v>0</v>
      </c>
      <c r="T23" s="36">
        <f>VLOOKUP($A23,[29]HISTOJUIL24!$A$6:$BG$38,58,0)</f>
        <v>0</v>
      </c>
      <c r="U23" s="36">
        <f>VLOOKUP($A23,[29]HISTOJUIL24!$A$6:$AU$38,28,0)</f>
        <v>0</v>
      </c>
      <c r="V23" s="36">
        <f>VLOOKUP($A23,[29]HISTOJUIL24!$A$6:$AU$38,19,0)</f>
        <v>0</v>
      </c>
      <c r="W23" s="36">
        <f>VLOOKUP($A23,[29]HISTOJUIL24!$A$6:$AU$38,20,0)</f>
        <v>0</v>
      </c>
      <c r="X23" s="36">
        <f>VLOOKUP($A23,[29]HISTOJUIL24!$A$6:$AU$38,27,0)</f>
        <v>0</v>
      </c>
      <c r="Y23" s="36">
        <f>VLOOKUP($A23,[29]HISTOJUIL24!$A$6:$BM$38,33,0)</f>
        <v>0</v>
      </c>
      <c r="Z23" s="36">
        <f>VLOOKUP($A23,[29]HISTOJUIL24!$A$6:$BM$38,65,0)</f>
        <v>0</v>
      </c>
      <c r="AA23" s="36"/>
      <c r="AB23" s="36">
        <f>VLOOKUP($A23,[29]HISTOJUIL24!$A$6:$AU$38,43,0)</f>
        <v>0</v>
      </c>
      <c r="AC23" s="36">
        <f>VLOOKUP($A23,[29]HISTOJUIL24!$A$6:$AU$38,44,0)</f>
        <v>0</v>
      </c>
      <c r="AD23" s="36">
        <f>VLOOKUP($A23,[29]HISTOJUIL24!$A$6:$AU$38,47,0)</f>
        <v>0</v>
      </c>
      <c r="AE23" s="36">
        <f>VLOOKUP(A23,[29]HISTOJUIL24!$A$6:$BB$38,54,0)</f>
        <v>0</v>
      </c>
      <c r="AF23" s="36">
        <f>VLOOKUP($A23,[29]HISTOJUIL24!$A$6:$CB$38,60,0)</f>
        <v>0</v>
      </c>
      <c r="AG23" s="36">
        <f>VLOOKUP($A23,[29]HISTOJUIL24!$A$6:$CB$38,61,0)</f>
        <v>0</v>
      </c>
      <c r="AH23" s="36">
        <f>VLOOKUP($A23,[29]HISTOJUIL24!$A$6:$CB$38,62,0)</f>
        <v>0</v>
      </c>
      <c r="AI23" s="36">
        <f>VLOOKUP($A23,[29]HISTOJUIL24!$A$6:$CB$38,63,0)</f>
        <v>0</v>
      </c>
      <c r="AJ23" s="36">
        <f>VLOOKUP($A23,[29]HISTOJUIL24!$A$6:$CB$38,64,0)</f>
        <v>0</v>
      </c>
      <c r="AK23" s="36">
        <f>VLOOKUP($A23,[29]HISTOJUIL24!$A$6:$CB$38,65,0)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MVTJUIN24!I24-E24+L24</f>
        <v>1217353.0845678798</v>
      </c>
      <c r="G24" s="5">
        <f>IF(MVTJUIN24!I24+L24&gt;700000,(MVTJUIN24!I24-E24+L24),0)</f>
        <v>1217353.0845678798</v>
      </c>
      <c r="H24" s="36">
        <f t="shared" si="0"/>
        <v>5058.3456332532978</v>
      </c>
      <c r="I24" s="6">
        <f t="shared" si="2"/>
        <v>1222411.430201133</v>
      </c>
      <c r="J24" s="36">
        <f>VLOOKUP($A24,[29]HISTOJUIL24!$A$6:$AQ$42,22,0)</f>
        <v>0</v>
      </c>
      <c r="K24" s="36">
        <f>VLOOKUP($A24,[29]HISTOJUIL24!$A$6:$AU$38,45,0)</f>
        <v>45000</v>
      </c>
      <c r="L24" s="36">
        <f t="shared" si="3"/>
        <v>39000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VLOOKUP($A24,[29]HISTOJUIL24!$A$6:$AU$38,7,0)</f>
        <v>0</v>
      </c>
      <c r="Q24" s="36">
        <f>VLOOKUP($A24,[29]HISTOJUIL24!$A$6:$AU$38,23,0)</f>
        <v>0</v>
      </c>
      <c r="R24" s="36">
        <f>VLOOKUP($A24,[29]HISTOJUIL24!$A$6:$AU$38,46,0)</f>
        <v>0</v>
      </c>
      <c r="S24" s="36">
        <f>VLOOKUP($A24,[29]HISTOJUIL24!$A$6:$AU$38,26,0)</f>
        <v>0</v>
      </c>
      <c r="T24" s="36">
        <f>VLOOKUP($A24,[29]HISTOJUIL24!$A$6:$BG$38,58,0)</f>
        <v>30000</v>
      </c>
      <c r="U24" s="36">
        <f>VLOOKUP($A24,[29]HISTOJUIL24!$A$6:$AU$38,28,0)</f>
        <v>0</v>
      </c>
      <c r="V24" s="36">
        <f>VLOOKUP($A24,[29]HISTOJUIL24!$A$6:$AU$38,19,0)</f>
        <v>0</v>
      </c>
      <c r="W24" s="36">
        <f>VLOOKUP($A24,[29]HISTOJUIL24!$A$6:$AU$38,20,0)</f>
        <v>0</v>
      </c>
      <c r="X24" s="36">
        <f>VLOOKUP($A24,[29]HISTOJUIL24!$A$6:$AU$38,27,0)</f>
        <v>0</v>
      </c>
      <c r="Y24" s="36">
        <f>VLOOKUP($A24,[29]HISTOJUIL24!$A$6:$BM$38,33,0)</f>
        <v>0</v>
      </c>
      <c r="Z24" s="36">
        <f>VLOOKUP($A24,[29]HISTOJUIL24!$A$6:$BM$38,65,0)</f>
        <v>0</v>
      </c>
      <c r="AA24" s="36"/>
      <c r="AB24" s="36">
        <f>VLOOKUP($A24,[29]HISTOJUIL24!$A$6:$AU$38,43,0)</f>
        <v>0</v>
      </c>
      <c r="AC24" s="36">
        <f>VLOOKUP($A24,[29]HISTOJUIL24!$A$6:$AU$38,44,0)</f>
        <v>0</v>
      </c>
      <c r="AD24" s="36">
        <f>VLOOKUP($A24,[29]HISTOJUIL24!$A$6:$AU$38,47,0)</f>
        <v>0</v>
      </c>
      <c r="AE24" s="36">
        <f>VLOOKUP(A24,[29]HISTOJUIL24!$A$6:$BB$38,54,0)</f>
        <v>0</v>
      </c>
      <c r="AF24" s="36">
        <f>VLOOKUP($A24,[29]HISTOJUIL24!$A$6:$CB$38,60,0)</f>
        <v>0</v>
      </c>
      <c r="AG24" s="36">
        <f>VLOOKUP($A24,[29]HISTOJUIL24!$A$6:$CB$38,61,0)</f>
        <v>0</v>
      </c>
      <c r="AH24" s="36">
        <f>VLOOKUP($A24,[29]HISTOJUIL24!$A$6:$CB$38,62,0)</f>
        <v>0</v>
      </c>
      <c r="AI24" s="36">
        <f>VLOOKUP($A24,[29]HISTOJUIL24!$A$6:$CB$38,63,0)</f>
        <v>0</v>
      </c>
      <c r="AJ24" s="36">
        <f>VLOOKUP($A24,[29]HISTOJUIL24!$A$6:$CB$38,64,0)</f>
        <v>0</v>
      </c>
      <c r="AK24" s="36">
        <f>VLOOKUP($A24,[29]HISTOJUIL24!$A$6:$CB$38,65,0)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MVTJUIN24!I25-E25+L25</f>
        <v>1054828.5632044645</v>
      </c>
      <c r="G25" s="5">
        <f>IF(MVTJUIN24!I25+L25&gt;700000,(MVTJUIN24!I25-E25+L25),0)</f>
        <v>1054828.5632044645</v>
      </c>
      <c r="H25" s="36">
        <f t="shared" si="0"/>
        <v>4383.0237292331221</v>
      </c>
      <c r="I25" s="6">
        <f t="shared" si="2"/>
        <v>1059211.5869336976</v>
      </c>
      <c r="J25" s="36">
        <f>VLOOKUP($A25,[29]HISTOJUIL24!$A$6:$AQ$42,22,0)</f>
        <v>0</v>
      </c>
      <c r="K25" s="36">
        <f>VLOOKUP($A25,[29]HISTOJUIL24!$A$6:$AU$38,45,0)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VLOOKUP($A25,[29]HISTOJUIL24!$A$6:$AU$38,7,0)</f>
        <v>0</v>
      </c>
      <c r="Q25" s="36">
        <f>VLOOKUP($A25,[29]HISTOJUIL24!$A$6:$AU$38,23,0)</f>
        <v>0</v>
      </c>
      <c r="R25" s="36">
        <f>VLOOKUP($A25,[29]HISTOJUIL24!$A$6:$AU$38,46,0)</f>
        <v>0</v>
      </c>
      <c r="S25" s="36">
        <f>VLOOKUP($A25,[29]HISTOJUIL24!$A$6:$AU$38,26,0)</f>
        <v>0</v>
      </c>
      <c r="T25" s="36">
        <f>VLOOKUP($A25,[29]HISTOJUIL24!$A$6:$BG$38,58,0)</f>
        <v>0</v>
      </c>
      <c r="U25" s="36">
        <f>VLOOKUP($A25,[29]HISTOJUIL24!$A$6:$AU$38,28,0)</f>
        <v>0</v>
      </c>
      <c r="V25" s="36">
        <f>VLOOKUP($A25,[29]HISTOJUIL24!$A$6:$AU$38,19,0)</f>
        <v>500000</v>
      </c>
      <c r="W25" s="36" t="str">
        <f>VLOOKUP($A25,[29]HISTOJUIL24!$A$6:$AU$38,20,0)</f>
        <v>BANQUE</v>
      </c>
      <c r="X25" s="36">
        <f>VLOOKUP($A25,[29]HISTOJUIL24!$A$6:$AU$38,27,0)</f>
        <v>0</v>
      </c>
      <c r="Y25" s="36">
        <f>VLOOKUP($A25,[29]HISTOJUIL24!$A$6:$BM$38,33,0)</f>
        <v>0</v>
      </c>
      <c r="Z25" s="36">
        <f>VLOOKUP($A25,[29]HISTOJUIL24!$A$6:$BM$38,65,0)</f>
        <v>0</v>
      </c>
      <c r="AA25" s="36"/>
      <c r="AB25" s="36">
        <f>VLOOKUP($A25,[29]HISTOJUIL24!$A$6:$AU$38,43,0)</f>
        <v>0</v>
      </c>
      <c r="AC25" s="36">
        <f>VLOOKUP($A25,[29]HISTOJUIL24!$A$6:$AU$38,44,0)</f>
        <v>0</v>
      </c>
      <c r="AD25" s="36">
        <f>VLOOKUP($A25,[29]HISTOJUIL24!$A$6:$AU$38,47,0)</f>
        <v>0</v>
      </c>
      <c r="AE25" s="36">
        <f>VLOOKUP(A25,[29]HISTOJUIL24!$A$6:$BB$38,54,0)</f>
        <v>0</v>
      </c>
      <c r="AF25" s="36">
        <f>VLOOKUP($A25,[29]HISTOJUIL24!$A$6:$CB$38,60,0)</f>
        <v>0</v>
      </c>
      <c r="AG25" s="36">
        <f>VLOOKUP($A25,[29]HISTOJUIL24!$A$6:$CB$38,61,0)</f>
        <v>0</v>
      </c>
      <c r="AH25" s="36">
        <f>VLOOKUP($A25,[29]HISTOJUIL24!$A$6:$CB$38,62,0)</f>
        <v>0</v>
      </c>
      <c r="AI25" s="36">
        <f>VLOOKUP($A25,[29]HISTOJUIL24!$A$6:$CB$38,63,0)</f>
        <v>0</v>
      </c>
      <c r="AJ25" s="36">
        <f>VLOOKUP($A25,[29]HISTOJUIL24!$A$6:$CB$38,64,0)</f>
        <v>0</v>
      </c>
      <c r="AK25" s="36">
        <f>VLOOKUP($A25,[29]HISTOJUIL24!$A$6:$CB$38,65,0)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MVTJUIN24!I26-E26+L26</f>
        <v>910165.13892154093</v>
      </c>
      <c r="G26" s="5">
        <f>IF(MVTJUIN24!I26+L26&gt;700000,(MVTJUIN24!I26-E26+L26),0)</f>
        <v>910165.13892154093</v>
      </c>
      <c r="H26" s="36">
        <f t="shared" si="0"/>
        <v>3781.918257214094</v>
      </c>
      <c r="I26" s="6">
        <f t="shared" si="2"/>
        <v>913947.05717875506</v>
      </c>
      <c r="J26" s="36">
        <f>VLOOKUP($A26,[29]HISTOJUIL24!$A$6:$AQ$42,22,0)</f>
        <v>0</v>
      </c>
      <c r="K26" s="36">
        <f>VLOOKUP($A26,[29]HISTOJUIL24!$A$6:$AU$38,45,0)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VLOOKUP($A26,[29]HISTOJUIL24!$A$6:$AU$38,7,0)</f>
        <v>0</v>
      </c>
      <c r="Q26" s="36">
        <f>VLOOKUP($A26,[29]HISTOJUIL24!$A$6:$AU$38,23,0)</f>
        <v>0</v>
      </c>
      <c r="R26" s="36">
        <f>VLOOKUP($A26,[29]HISTOJUIL24!$A$6:$AU$38,46,0)</f>
        <v>0</v>
      </c>
      <c r="S26" s="36">
        <f>VLOOKUP($A26,[29]HISTOJUIL24!$A$6:$AU$38,26,0)</f>
        <v>0</v>
      </c>
      <c r="T26" s="36">
        <f>VLOOKUP($A26,[29]HISTOJUIL24!$A$6:$BG$38,58,0)</f>
        <v>0</v>
      </c>
      <c r="U26" s="36">
        <f>VLOOKUP($A26,[29]HISTOJUIL24!$A$6:$AU$38,28,0)</f>
        <v>0</v>
      </c>
      <c r="V26" s="36">
        <f>VLOOKUP($A26,[29]HISTOJUIL24!$A$6:$AU$38,19,0)</f>
        <v>0</v>
      </c>
      <c r="W26" s="36">
        <f>VLOOKUP($A26,[29]HISTOJUIL24!$A$6:$AU$38,20,0)</f>
        <v>0</v>
      </c>
      <c r="X26" s="36">
        <f>VLOOKUP($A26,[29]HISTOJUIL24!$A$6:$AU$38,27,0)</f>
        <v>0</v>
      </c>
      <c r="Y26" s="36">
        <f>VLOOKUP($A26,[29]HISTOJUIL24!$A$6:$BM$38,33,0)</f>
        <v>0</v>
      </c>
      <c r="Z26" s="36">
        <f>VLOOKUP($A26,[29]HISTOJUIL24!$A$6:$BM$38,65,0)</f>
        <v>0</v>
      </c>
      <c r="AA26" s="36"/>
      <c r="AB26" s="36">
        <f>VLOOKUP($A26,[29]HISTOJUIL24!$A$6:$AU$38,43,0)</f>
        <v>0</v>
      </c>
      <c r="AC26" s="36">
        <f>VLOOKUP($A26,[29]HISTOJUIL24!$A$6:$AU$38,44,0)</f>
        <v>0</v>
      </c>
      <c r="AD26" s="36">
        <f>VLOOKUP($A26,[29]HISTOJUIL24!$A$6:$AU$38,47,0)</f>
        <v>0</v>
      </c>
      <c r="AE26" s="36">
        <f>VLOOKUP(A26,[29]HISTOJUIL24!$A$6:$BB$38,54,0)</f>
        <v>0</v>
      </c>
      <c r="AF26" s="36">
        <f>VLOOKUP($A26,[29]HISTOJUIL24!$A$6:$CB$38,60,0)</f>
        <v>0</v>
      </c>
      <c r="AG26" s="36">
        <f>VLOOKUP($A26,[29]HISTOJUIL24!$A$6:$CB$38,61,0)</f>
        <v>0</v>
      </c>
      <c r="AH26" s="36">
        <f>VLOOKUP($A26,[29]HISTOJUIL24!$A$6:$CB$38,62,0)</f>
        <v>0</v>
      </c>
      <c r="AI26" s="36">
        <f>VLOOKUP($A26,[29]HISTOJUIL24!$A$6:$CB$38,63,0)</f>
        <v>0</v>
      </c>
      <c r="AJ26" s="36">
        <f>VLOOKUP($A26,[29]HISTOJUIL24!$A$6:$CB$38,64,0)</f>
        <v>0</v>
      </c>
      <c r="AK26" s="36">
        <f>VLOOKUP($A26,[29]HISTOJUIL24!$A$6:$CB$38,65,0)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MVTJUIN24!I27-E27+L27</f>
        <v>906212.98276433477</v>
      </c>
      <c r="G27" s="5">
        <f>IF(MVTJUIN24!I27+L27&gt;700000,(MVTJUIN24!I27-E27+L27),0)</f>
        <v>906212.98276433477</v>
      </c>
      <c r="H27" s="36">
        <f t="shared" si="0"/>
        <v>3765.4962576371713</v>
      </c>
      <c r="I27" s="6">
        <f t="shared" si="2"/>
        <v>909978.47902197193</v>
      </c>
      <c r="J27" s="36">
        <f>VLOOKUP($A27,[29]HISTOJUIL24!$A$6:$AQ$42,22,0)</f>
        <v>0</v>
      </c>
      <c r="K27" s="36">
        <f>VLOOKUP($A27,[29]HISTOJUIL24!$A$6:$AU$38,45,0)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VLOOKUP($A27,[29]HISTOJUIL24!$A$6:$AU$38,7,0)</f>
        <v>0</v>
      </c>
      <c r="Q27" s="36">
        <f>VLOOKUP($A27,[29]HISTOJUIL24!$A$6:$AU$38,23,0)</f>
        <v>0</v>
      </c>
      <c r="R27" s="36">
        <f>VLOOKUP($A27,[29]HISTOJUIL24!$A$6:$AU$38,46,0)</f>
        <v>0</v>
      </c>
      <c r="S27" s="36">
        <f>VLOOKUP($A27,[29]HISTOJUIL24!$A$6:$AU$38,26,0)</f>
        <v>0</v>
      </c>
      <c r="T27" s="36">
        <f>VLOOKUP($A27,[29]HISTOJUIL24!$A$6:$BG$38,58,0)</f>
        <v>30000</v>
      </c>
      <c r="U27" s="36">
        <f>VLOOKUP($A27,[29]HISTOJUIL24!$A$6:$AU$38,28,0)</f>
        <v>0</v>
      </c>
      <c r="V27" s="36">
        <f>VLOOKUP($A27,[29]HISTOJUIL24!$A$6:$AU$38,19,0)</f>
        <v>0</v>
      </c>
      <c r="W27" s="36">
        <f>VLOOKUP($A27,[29]HISTOJUIL24!$A$6:$AU$38,20,0)</f>
        <v>0</v>
      </c>
      <c r="X27" s="36">
        <f>VLOOKUP($A27,[29]HISTOJUIL24!$A$6:$AU$38,27,0)</f>
        <v>0</v>
      </c>
      <c r="Y27" s="36">
        <f>VLOOKUP($A27,[29]HISTOJUIL24!$A$6:$BM$38,33,0)</f>
        <v>0</v>
      </c>
      <c r="Z27" s="36">
        <f>VLOOKUP($A27,[29]HISTOJUIL24!$A$6:$BM$38,65,0)</f>
        <v>0</v>
      </c>
      <c r="AA27" s="36"/>
      <c r="AB27" s="36">
        <f>VLOOKUP($A27,[29]HISTOJUIL24!$A$6:$AU$38,43,0)</f>
        <v>0</v>
      </c>
      <c r="AC27" s="36">
        <f>VLOOKUP($A27,[29]HISTOJUIL24!$A$6:$AU$38,44,0)</f>
        <v>0</v>
      </c>
      <c r="AD27" s="36">
        <f>VLOOKUP($A27,[29]HISTOJUIL24!$A$6:$AU$38,47,0)</f>
        <v>0</v>
      </c>
      <c r="AE27" s="36">
        <f>VLOOKUP(A27,[29]HISTOJUIL24!$A$6:$BB$38,54,0)</f>
        <v>0</v>
      </c>
      <c r="AF27" s="36">
        <f>VLOOKUP($A27,[29]HISTOJUIL24!$A$6:$CB$38,60,0)</f>
        <v>0</v>
      </c>
      <c r="AG27" s="36">
        <f>VLOOKUP($A27,[29]HISTOJUIL24!$A$6:$CB$38,61,0)</f>
        <v>0</v>
      </c>
      <c r="AH27" s="36">
        <f>VLOOKUP($A27,[29]HISTOJUIL24!$A$6:$CB$38,62,0)</f>
        <v>0</v>
      </c>
      <c r="AI27" s="36">
        <f>VLOOKUP($A27,[29]HISTOJUIL24!$A$6:$CB$38,63,0)</f>
        <v>0</v>
      </c>
      <c r="AJ27" s="36">
        <f>VLOOKUP($A27,[29]HISTOJUIL24!$A$6:$CB$38,64,0)</f>
        <v>0</v>
      </c>
      <c r="AK27" s="36">
        <f>VLOOKUP($A27,[29]HISTOJUIL24!$A$6:$CB$38,65,0)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MVTJUIN24!I28-E28+L28</f>
        <v>807396.34528635419</v>
      </c>
      <c r="G28" s="5">
        <f>IF(MVTJUIN24!I28+L28&gt;700000,(MVTJUIN24!I28-E28+L28),0)</f>
        <v>807396.34528635419</v>
      </c>
      <c r="H28" s="36">
        <f t="shared" si="0"/>
        <v>3354.8933577751754</v>
      </c>
      <c r="I28" s="6">
        <f t="shared" si="2"/>
        <v>810751.23864412936</v>
      </c>
      <c r="J28" s="36">
        <f>VLOOKUP($A28,[29]HISTOJUIL24!$A$6:$AQ$42,22,0)</f>
        <v>0</v>
      </c>
      <c r="K28" s="36">
        <f>VLOOKUP($A28,[29]HISTOJUIL24!$A$6:$AU$38,45,0)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VLOOKUP($A28,[29]HISTOJUIL24!$A$6:$AU$38,7,0)</f>
        <v>0</v>
      </c>
      <c r="Q28" s="36">
        <f>VLOOKUP($A28,[29]HISTOJUIL24!$A$6:$AU$38,23,0)</f>
        <v>0</v>
      </c>
      <c r="R28" s="36">
        <f>VLOOKUP($A28,[29]HISTOJUIL24!$A$6:$AU$38,46,0)</f>
        <v>0</v>
      </c>
      <c r="S28" s="36">
        <f>VLOOKUP($A28,[29]HISTOJUIL24!$A$6:$AU$38,26,0)</f>
        <v>0</v>
      </c>
      <c r="T28" s="36">
        <f>VLOOKUP($A28,[29]HISTOJUIL24!$A$6:$BG$38,58,0)</f>
        <v>0</v>
      </c>
      <c r="U28" s="36">
        <f>VLOOKUP($A28,[29]HISTOJUIL24!$A$6:$AU$38,28,0)</f>
        <v>0</v>
      </c>
      <c r="V28" s="36">
        <f>VLOOKUP($A28,[29]HISTOJUIL24!$A$6:$AU$38,19,0)</f>
        <v>0</v>
      </c>
      <c r="W28" s="36">
        <f>VLOOKUP($A28,[29]HISTOJUIL24!$A$6:$AU$38,20,0)</f>
        <v>0</v>
      </c>
      <c r="X28" s="36">
        <f>VLOOKUP($A28,[29]HISTOJUIL24!$A$6:$AU$38,27,0)</f>
        <v>0</v>
      </c>
      <c r="Y28" s="36">
        <f>VLOOKUP($A28,[29]HISTOJUIL24!$A$6:$BM$38,33,0)</f>
        <v>0</v>
      </c>
      <c r="Z28" s="36">
        <f>VLOOKUP($A28,[29]HISTOJUIL24!$A$6:$BM$38,65,0)</f>
        <v>0</v>
      </c>
      <c r="AA28" s="36"/>
      <c r="AB28" s="36">
        <f>VLOOKUP($A28,[29]HISTOJUIL24!$A$6:$AU$38,43,0)</f>
        <v>0</v>
      </c>
      <c r="AC28" s="36">
        <f>VLOOKUP($A28,[29]HISTOJUIL24!$A$6:$AU$38,44,0)</f>
        <v>0</v>
      </c>
      <c r="AD28" s="36">
        <f>VLOOKUP($A28,[29]HISTOJUIL24!$A$6:$AU$38,47,0)</f>
        <v>0</v>
      </c>
      <c r="AE28" s="36">
        <f>VLOOKUP(A28,[29]HISTOJUIL24!$A$6:$BB$38,54,0)</f>
        <v>0</v>
      </c>
      <c r="AF28" s="36">
        <f>VLOOKUP($A28,[29]HISTOJUIL24!$A$6:$CB$38,60,0)</f>
        <v>0</v>
      </c>
      <c r="AG28" s="36">
        <f>VLOOKUP($A28,[29]HISTOJUIL24!$A$6:$CB$38,61,0)</f>
        <v>0</v>
      </c>
      <c r="AH28" s="36">
        <f>VLOOKUP($A28,[29]HISTOJUIL24!$A$6:$CB$38,62,0)</f>
        <v>0</v>
      </c>
      <c r="AI28" s="36">
        <f>VLOOKUP($A28,[29]HISTOJUIL24!$A$6:$CB$38,63,0)</f>
        <v>0</v>
      </c>
      <c r="AJ28" s="36">
        <f>VLOOKUP($A28,[29]HISTOJUIL24!$A$6:$CB$38,64,0)</f>
        <v>0</v>
      </c>
      <c r="AK28" s="36">
        <f>VLOOKUP($A28,[29]HISTOJUIL24!$A$6:$CB$38,65,0)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MVTJUIN24!I29-E29+L29</f>
        <v>932181.41457584628</v>
      </c>
      <c r="G29" s="5">
        <f>IF(MVTJUIN24!I29+L29&gt;700000,(MVTJUIN24!I29-E29+L29),0)</f>
        <v>932181.41457584628</v>
      </c>
      <c r="H29" s="36">
        <f t="shared" si="0"/>
        <v>3873.4002875537039</v>
      </c>
      <c r="I29" s="6">
        <f t="shared" si="2"/>
        <v>936054.81486339995</v>
      </c>
      <c r="J29" s="36">
        <f>VLOOKUP($A29,[29]HISTOJUIL24!$A$6:$AQ$42,22,0)</f>
        <v>0</v>
      </c>
      <c r="K29" s="36">
        <f>VLOOKUP($A29,[29]HISTOJUIL24!$A$6:$AU$38,45,0)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VLOOKUP($A29,[29]HISTOJUIL24!$A$6:$AU$38,7,0)</f>
        <v>0</v>
      </c>
      <c r="Q29" s="36">
        <f>VLOOKUP($A29,[29]HISTOJUIL24!$A$6:$AU$38,23,0)</f>
        <v>0</v>
      </c>
      <c r="R29" s="36">
        <f>VLOOKUP($A29,[29]HISTOJUIL24!$A$6:$AU$38,46,0)</f>
        <v>0</v>
      </c>
      <c r="S29" s="36">
        <f>VLOOKUP($A29,[29]HISTOJUIL24!$A$6:$AU$38,26,0)</f>
        <v>0</v>
      </c>
      <c r="T29" s="36">
        <f>VLOOKUP($A29,[29]HISTOJUIL24!$A$6:$BG$38,58,0)</f>
        <v>0</v>
      </c>
      <c r="U29" s="36">
        <f>VLOOKUP($A29,[29]HISTOJUIL24!$A$6:$AU$38,28,0)</f>
        <v>0</v>
      </c>
      <c r="V29" s="36">
        <f>VLOOKUP($A29,[29]HISTOJUIL24!$A$6:$AU$38,19,0)</f>
        <v>0</v>
      </c>
      <c r="W29" s="36">
        <f>VLOOKUP($A29,[29]HISTOJUIL24!$A$6:$AU$38,20,0)</f>
        <v>0</v>
      </c>
      <c r="X29" s="36">
        <f>VLOOKUP($A29,[29]HISTOJUIL24!$A$6:$AU$38,27,0)</f>
        <v>0</v>
      </c>
      <c r="Y29" s="36">
        <f>VLOOKUP($A29,[29]HISTOJUIL24!$A$6:$BM$38,33,0)</f>
        <v>0</v>
      </c>
      <c r="Z29" s="36">
        <f>VLOOKUP($A29,[29]HISTOJUIL24!$A$6:$BM$38,65,0)</f>
        <v>0</v>
      </c>
      <c r="AA29" s="36"/>
      <c r="AB29" s="36">
        <f>VLOOKUP($A29,[29]HISTOJUIL24!$A$6:$AU$38,43,0)</f>
        <v>0</v>
      </c>
      <c r="AC29" s="36">
        <f>VLOOKUP($A29,[29]HISTOJUIL24!$A$6:$AU$38,44,0)</f>
        <v>0</v>
      </c>
      <c r="AD29" s="36">
        <f>VLOOKUP($A29,[29]HISTOJUIL24!$A$6:$AU$38,47,0)</f>
        <v>0</v>
      </c>
      <c r="AE29" s="36">
        <f>VLOOKUP(A29,[29]HISTOJUIL24!$A$6:$BB$38,54,0)</f>
        <v>0</v>
      </c>
      <c r="AF29" s="36">
        <f>VLOOKUP($A29,[29]HISTOJUIL24!$A$6:$CB$38,60,0)</f>
        <v>0</v>
      </c>
      <c r="AG29" s="36">
        <f>VLOOKUP($A29,[29]HISTOJUIL24!$A$6:$CB$38,61,0)</f>
        <v>0</v>
      </c>
      <c r="AH29" s="36">
        <f>VLOOKUP($A29,[29]HISTOJUIL24!$A$6:$CB$38,62,0)</f>
        <v>0</v>
      </c>
      <c r="AI29" s="36">
        <f>VLOOKUP($A29,[29]HISTOJUIL24!$A$6:$CB$38,63,0)</f>
        <v>0</v>
      </c>
      <c r="AJ29" s="36">
        <f>VLOOKUP($A29,[29]HISTOJUIL24!$A$6:$CB$38,64,0)</f>
        <v>0</v>
      </c>
      <c r="AK29" s="36">
        <f>VLOOKUP($A29,[29]HISTOJUIL24!$A$6:$CB$38,65,0)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MVTJUIN24!I30-E30+L30</f>
        <v>837206.34850783728</v>
      </c>
      <c r="G30" s="5">
        <f>IF(MVTJUIN24!I30+L30&gt;700000,(MVTJUIN24!I30-E30+L30),0)</f>
        <v>837206.34850783728</v>
      </c>
      <c r="H30" s="36">
        <f t="shared" si="0"/>
        <v>3478.7598855181768</v>
      </c>
      <c r="I30" s="6">
        <f t="shared" si="2"/>
        <v>840685.10839335551</v>
      </c>
      <c r="J30" s="36">
        <f>VLOOKUP($A30,[29]HISTOJUIL24!$A$6:$AQ$42,22,0)</f>
        <v>0</v>
      </c>
      <c r="K30" s="36">
        <f>VLOOKUP($A30,[29]HISTOJUIL24!$A$6:$AU$38,45,0)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VLOOKUP($A30,[29]HISTOJUIL24!$A$6:$AU$38,7,0)</f>
        <v>0</v>
      </c>
      <c r="Q30" s="36">
        <f>VLOOKUP($A30,[29]HISTOJUIL24!$A$6:$AU$38,23,0)</f>
        <v>0</v>
      </c>
      <c r="R30" s="36">
        <f>VLOOKUP($A30,[29]HISTOJUIL24!$A$6:$AU$38,46,0)</f>
        <v>0</v>
      </c>
      <c r="S30" s="36">
        <f>VLOOKUP($A30,[29]HISTOJUIL24!$A$6:$AU$38,26,0)</f>
        <v>0</v>
      </c>
      <c r="T30" s="36">
        <f>VLOOKUP($A30,[29]HISTOJUIL24!$A$6:$BG$38,58,0)</f>
        <v>0</v>
      </c>
      <c r="U30" s="36">
        <f>VLOOKUP($A30,[29]HISTOJUIL24!$A$6:$AU$38,28,0)</f>
        <v>0</v>
      </c>
      <c r="V30" s="36">
        <f>VLOOKUP($A30,[29]HISTOJUIL24!$A$6:$AU$38,19,0)</f>
        <v>0</v>
      </c>
      <c r="W30" s="36">
        <f>VLOOKUP($A30,[29]HISTOJUIL24!$A$6:$AU$38,20,0)</f>
        <v>0</v>
      </c>
      <c r="X30" s="36">
        <f>VLOOKUP($A30,[29]HISTOJUIL24!$A$6:$AU$38,27,0)</f>
        <v>0</v>
      </c>
      <c r="Y30" s="36">
        <f>VLOOKUP($A30,[29]HISTOJUIL24!$A$6:$BM$38,33,0)</f>
        <v>0</v>
      </c>
      <c r="Z30" s="36">
        <f>VLOOKUP($A30,[29]HISTOJUIL24!$A$6:$BM$38,65,0)</f>
        <v>0</v>
      </c>
      <c r="AA30" s="36"/>
      <c r="AB30" s="36">
        <f>VLOOKUP($A30,[29]HISTOJUIL24!$A$6:$AU$38,43,0)</f>
        <v>0</v>
      </c>
      <c r="AC30" s="36">
        <f>VLOOKUP($A30,[29]HISTOJUIL24!$A$6:$AU$38,44,0)</f>
        <v>0</v>
      </c>
      <c r="AD30" s="36">
        <f>VLOOKUP($A30,[29]HISTOJUIL24!$A$6:$AU$38,47,0)</f>
        <v>0</v>
      </c>
      <c r="AE30" s="36">
        <f>VLOOKUP(A30,[29]HISTOJUIL24!$A$6:$BB$38,54,0)</f>
        <v>0</v>
      </c>
      <c r="AF30" s="36">
        <f>VLOOKUP($A30,[29]HISTOJUIL24!$A$6:$CB$38,60,0)</f>
        <v>0</v>
      </c>
      <c r="AG30" s="36">
        <f>VLOOKUP($A30,[29]HISTOJUIL24!$A$6:$CB$38,61,0)</f>
        <v>0</v>
      </c>
      <c r="AH30" s="36">
        <f>VLOOKUP($A30,[29]HISTOJUIL24!$A$6:$CB$38,62,0)</f>
        <v>0</v>
      </c>
      <c r="AI30" s="36">
        <f>VLOOKUP($A30,[29]HISTOJUIL24!$A$6:$CB$38,63,0)</f>
        <v>0</v>
      </c>
      <c r="AJ30" s="36">
        <f>VLOOKUP($A30,[29]HISTOJUIL24!$A$6:$CB$38,64,0)</f>
        <v>0</v>
      </c>
      <c r="AK30" s="36">
        <f>VLOOKUP($A30,[29]HISTOJUIL24!$A$6:$CB$38,65,0)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MVTJUIN24!I31-E31+L31</f>
        <v>1000285.1696508881</v>
      </c>
      <c r="G31" s="5">
        <f>IF(MVTJUIN24!I31+L31&gt;700000,(MVTJUIN24!I31-E31+L31),0)</f>
        <v>1000285.1696508881</v>
      </c>
      <c r="H31" s="36">
        <f t="shared" si="0"/>
        <v>4156.385016026522</v>
      </c>
      <c r="I31" s="6">
        <f t="shared" si="2"/>
        <v>1004441.5546669146</v>
      </c>
      <c r="J31" s="36">
        <f>VLOOKUP($A31,[29]HISTOJUIL24!$A$6:$AQ$42,22,0)</f>
        <v>0</v>
      </c>
      <c r="K31" s="36">
        <f>VLOOKUP($A31,[29]HISTOJUIL24!$A$6:$AU$38,45,0)</f>
        <v>28000</v>
      </c>
      <c r="L31" s="36">
        <f t="shared" si="3"/>
        <v>22000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VLOOKUP($A31,[29]HISTOJUIL24!$A$6:$AU$38,7,0)</f>
        <v>0</v>
      </c>
      <c r="Q31" s="36">
        <f>VLOOKUP($A31,[29]HISTOJUIL24!$A$6:$AU$38,23,0)</f>
        <v>0</v>
      </c>
      <c r="R31" s="36">
        <f>VLOOKUP($A31,[29]HISTOJUIL24!$A$6:$AU$38,46,0)</f>
        <v>0</v>
      </c>
      <c r="S31" s="36">
        <f>VLOOKUP($A31,[29]HISTOJUIL24!$A$6:$AU$38,26,0)</f>
        <v>0</v>
      </c>
      <c r="T31" s="36">
        <f>VLOOKUP($A31,[29]HISTOJUIL24!$A$6:$BG$38,58,0)</f>
        <v>0</v>
      </c>
      <c r="U31" s="36">
        <f>VLOOKUP($A31,[29]HISTOJUIL24!$A$6:$AU$38,28,0)</f>
        <v>0</v>
      </c>
      <c r="V31" s="36">
        <f>VLOOKUP($A31,[29]HISTOJUIL24!$A$6:$AU$38,19,0)</f>
        <v>0</v>
      </c>
      <c r="W31" s="36">
        <f>VLOOKUP($A31,[29]HISTOJUIL24!$A$6:$AU$38,20,0)</f>
        <v>0</v>
      </c>
      <c r="X31" s="36">
        <f>VLOOKUP($A31,[29]HISTOJUIL24!$A$6:$AU$38,27,0)</f>
        <v>0</v>
      </c>
      <c r="Y31" s="36">
        <f>VLOOKUP($A31,[29]HISTOJUIL24!$A$6:$BM$38,33,0)</f>
        <v>0</v>
      </c>
      <c r="Z31" s="36">
        <f>VLOOKUP($A31,[29]HISTOJUIL24!$A$6:$BM$38,65,0)</f>
        <v>0</v>
      </c>
      <c r="AA31" s="36"/>
      <c r="AB31" s="36">
        <f>VLOOKUP($A31,[29]HISTOJUIL24!$A$6:$AU$38,43,0)</f>
        <v>0</v>
      </c>
      <c r="AC31" s="36">
        <f>VLOOKUP($A31,[29]HISTOJUIL24!$A$6:$AU$38,44,0)</f>
        <v>0</v>
      </c>
      <c r="AD31" s="36">
        <f>VLOOKUP($A31,[29]HISTOJUIL24!$A$6:$AU$38,47,0)</f>
        <v>0</v>
      </c>
      <c r="AE31" s="36">
        <f>VLOOKUP(A31,[29]HISTOJUIL24!$A$6:$BB$38,54,0)</f>
        <v>0</v>
      </c>
      <c r="AF31" s="36">
        <f>VLOOKUP($A31,[29]HISTOJUIL24!$A$6:$CB$38,60,0)</f>
        <v>0</v>
      </c>
      <c r="AG31" s="36">
        <f>VLOOKUP($A31,[29]HISTOJUIL24!$A$6:$CB$38,61,0)</f>
        <v>0</v>
      </c>
      <c r="AH31" s="36">
        <f>VLOOKUP($A31,[29]HISTOJUIL24!$A$6:$CB$38,62,0)</f>
        <v>0</v>
      </c>
      <c r="AI31" s="36">
        <f>VLOOKUP($A31,[29]HISTOJUIL24!$A$6:$CB$38,63,0)</f>
        <v>0</v>
      </c>
      <c r="AJ31" s="36">
        <f>VLOOKUP($A31,[29]HISTOJUIL24!$A$6:$CB$38,64,0)</f>
        <v>0</v>
      </c>
      <c r="AK31" s="36">
        <f>VLOOKUP($A31,[29]HISTOJUIL24!$A$6:$CB$38,65,0)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MVTJUIN24!I32-E32+L32</f>
        <v>886024.44392809761</v>
      </c>
      <c r="G32" s="5">
        <f>IF(MVTJUIN24!I32+L32&gt;700000,(MVTJUIN24!I32-E32+L32),0)</f>
        <v>886024.44392809761</v>
      </c>
      <c r="H32" s="36">
        <f t="shared" si="0"/>
        <v>3681.6088394685189</v>
      </c>
      <c r="I32" s="6">
        <f t="shared" si="2"/>
        <v>889706.05276756617</v>
      </c>
      <c r="J32" s="36">
        <f>VLOOKUP($A32,[29]HISTOJUIL24!$A$6:$AQ$42,22,0)</f>
        <v>0</v>
      </c>
      <c r="K32" s="36">
        <f>VLOOKUP($A32,[29]HISTOJUIL24!$A$6:$AU$38,45,0)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VLOOKUP($A32,[29]HISTOJUIL24!$A$6:$AU$38,7,0)</f>
        <v>0</v>
      </c>
      <c r="Q32" s="36">
        <f>VLOOKUP($A32,[29]HISTOJUIL24!$A$6:$AU$38,23,0)</f>
        <v>0</v>
      </c>
      <c r="R32" s="36">
        <f>VLOOKUP($A32,[29]HISTOJUIL24!$A$6:$AU$38,46,0)</f>
        <v>0</v>
      </c>
      <c r="S32" s="36">
        <f>VLOOKUP($A32,[29]HISTOJUIL24!$A$6:$AU$38,26,0)</f>
        <v>0</v>
      </c>
      <c r="T32" s="36">
        <f>VLOOKUP($A32,[29]HISTOJUIL24!$A$6:$BG$38,58,0)</f>
        <v>0</v>
      </c>
      <c r="U32" s="36">
        <f>VLOOKUP($A32,[29]HISTOJUIL24!$A$6:$AU$38,28,0)</f>
        <v>0</v>
      </c>
      <c r="V32" s="36">
        <f>VLOOKUP($A32,[29]HISTOJUIL24!$A$6:$AU$38,19,0)</f>
        <v>0</v>
      </c>
      <c r="W32" s="36">
        <f>VLOOKUP($A32,[29]HISTOJUIL24!$A$6:$AU$38,20,0)</f>
        <v>0</v>
      </c>
      <c r="X32" s="36">
        <f>VLOOKUP($A32,[29]HISTOJUIL24!$A$6:$AU$38,27,0)</f>
        <v>0</v>
      </c>
      <c r="Y32" s="36">
        <f>VLOOKUP($A32,[29]HISTOJUIL24!$A$6:$BM$38,33,0)</f>
        <v>0</v>
      </c>
      <c r="Z32" s="36">
        <f>VLOOKUP($A32,[29]HISTOJUIL24!$A$6:$BM$38,65,0)</f>
        <v>0</v>
      </c>
      <c r="AA32" s="36"/>
      <c r="AB32" s="36">
        <f>VLOOKUP($A32,[29]HISTOJUIL24!$A$6:$AU$38,43,0)</f>
        <v>0</v>
      </c>
      <c r="AC32" s="36">
        <f>VLOOKUP($A32,[29]HISTOJUIL24!$A$6:$AU$38,44,0)</f>
        <v>0</v>
      </c>
      <c r="AD32" s="36">
        <f>VLOOKUP($A32,[29]HISTOJUIL24!$A$6:$AU$38,47,0)</f>
        <v>0</v>
      </c>
      <c r="AE32" s="36">
        <f>VLOOKUP(A32,[29]HISTOJUIL24!$A$6:$BB$38,54,0)</f>
        <v>0</v>
      </c>
      <c r="AF32" s="36">
        <f>VLOOKUP($A32,[29]HISTOJUIL24!$A$6:$CB$38,60,0)</f>
        <v>0</v>
      </c>
      <c r="AG32" s="36">
        <f>VLOOKUP($A32,[29]HISTOJUIL24!$A$6:$CB$38,61,0)</f>
        <v>0</v>
      </c>
      <c r="AH32" s="36">
        <f>VLOOKUP($A32,[29]HISTOJUIL24!$A$6:$CB$38,62,0)</f>
        <v>0</v>
      </c>
      <c r="AI32" s="36">
        <f>VLOOKUP($A32,[29]HISTOJUIL24!$A$6:$CB$38,63,0)</f>
        <v>0</v>
      </c>
      <c r="AJ32" s="36">
        <f>VLOOKUP($A32,[29]HISTOJUIL24!$A$6:$CB$38,64,0)</f>
        <v>0</v>
      </c>
      <c r="AK32" s="36">
        <f>VLOOKUP($A32,[29]HISTOJUIL24!$A$6:$CB$38,65,0)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MVTJUIN24!I33-E33+L33</f>
        <v>1886334.7901943955</v>
      </c>
      <c r="G33" s="5">
        <f>IF(MVTJUIN24!I33+L33&gt;700000,(MVTJUIN24!I33-E33+L33),0)</f>
        <v>1886334.7901943955</v>
      </c>
      <c r="H33" s="36">
        <f t="shared" si="0"/>
        <v>7838.0984693693827</v>
      </c>
      <c r="I33" s="6">
        <f t="shared" si="2"/>
        <v>1894172.8886637648</v>
      </c>
      <c r="J33" s="36">
        <f>VLOOKUP($A33,[29]HISTOJUIL24!$A$6:$AQ$42,22,0)</f>
        <v>0</v>
      </c>
      <c r="K33" s="36">
        <f>VLOOKUP($A33,[29]HISTOJUIL24!$A$6:$AU$38,45,0)</f>
        <v>1025000</v>
      </c>
      <c r="L33" s="36">
        <f t="shared" si="3"/>
        <v>1019000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VLOOKUP($A33,[29]HISTOJUIL24!$A$6:$AU$38,7,0)</f>
        <v>0</v>
      </c>
      <c r="Q33" s="36">
        <f>VLOOKUP($A33,[29]HISTOJUIL24!$A$6:$AU$38,23,0)</f>
        <v>0</v>
      </c>
      <c r="R33" s="36">
        <f>VLOOKUP($A33,[29]HISTOJUIL24!$A$6:$AU$38,46,0)</f>
        <v>0</v>
      </c>
      <c r="S33" s="36">
        <f>VLOOKUP($A33,[29]HISTOJUIL24!$A$6:$AU$38,26,0)</f>
        <v>0</v>
      </c>
      <c r="T33" s="36">
        <f>VLOOKUP($A33,[29]HISTOJUIL24!$A$6:$BG$38,58,0)</f>
        <v>0</v>
      </c>
      <c r="U33" s="36">
        <f>VLOOKUP($A33,[29]HISTOJUIL24!$A$6:$AU$38,28,0)</f>
        <v>0</v>
      </c>
      <c r="V33" s="36">
        <f>VLOOKUP($A33,[29]HISTOJUIL24!$A$6:$AU$38,19,0)</f>
        <v>1000000</v>
      </c>
      <c r="W33" s="36" t="str">
        <f>VLOOKUP($A33,[29]HISTOJUIL24!$A$6:$AU$38,20,0)</f>
        <v>BANQUE</v>
      </c>
      <c r="X33" s="36">
        <f>VLOOKUP($A33,[29]HISTOJUIL24!$A$6:$AU$38,27,0)</f>
        <v>0</v>
      </c>
      <c r="Y33" s="36">
        <f>VLOOKUP($A33,[29]HISTOJUIL24!$A$6:$BM$38,33,0)</f>
        <v>0</v>
      </c>
      <c r="Z33" s="36">
        <f>VLOOKUP($A33,[29]HISTOJUIL24!$A$6:$BM$38,65,0)</f>
        <v>0</v>
      </c>
      <c r="AA33" s="36"/>
      <c r="AB33" s="36">
        <f>VLOOKUP($A33,[29]HISTOJUIL24!$A$6:$AU$38,43,0)</f>
        <v>0</v>
      </c>
      <c r="AC33" s="36">
        <f>VLOOKUP($A33,[29]HISTOJUIL24!$A$6:$AU$38,44,0)</f>
        <v>0</v>
      </c>
      <c r="AD33" s="36">
        <f>VLOOKUP($A33,[29]HISTOJUIL24!$A$6:$AU$38,47,0)</f>
        <v>0</v>
      </c>
      <c r="AE33" s="36">
        <f>VLOOKUP(A33,[29]HISTOJUIL24!$A$6:$BB$38,54,0)</f>
        <v>0</v>
      </c>
      <c r="AF33" s="36">
        <f>VLOOKUP($A33,[29]HISTOJUIL24!$A$6:$CB$38,60,0)</f>
        <v>0</v>
      </c>
      <c r="AG33" s="36">
        <f>VLOOKUP($A33,[29]HISTOJUIL24!$A$6:$CB$38,61,0)</f>
        <v>0</v>
      </c>
      <c r="AH33" s="36">
        <f>VLOOKUP($A33,[29]HISTOJUIL24!$A$6:$CB$38,62,0)</f>
        <v>0</v>
      </c>
      <c r="AI33" s="36">
        <f>VLOOKUP($A33,[29]HISTOJUIL24!$A$6:$CB$38,63,0)</f>
        <v>0</v>
      </c>
      <c r="AJ33" s="36">
        <f>VLOOKUP($A33,[29]HISTOJUIL24!$A$6:$CB$38,64,0)</f>
        <v>0</v>
      </c>
      <c r="AK33" s="36">
        <f>VLOOKUP($A33,[29]HISTOJUIL24!$A$6:$CB$38,65,0)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MVTJUIN24!I34-E34+L34</f>
        <v>578000</v>
      </c>
      <c r="G34" s="5">
        <f>IF(MVTJUIN24!I34+L34&gt;700000,(MVTJUIN24!I34-E34+L34),0)</f>
        <v>0</v>
      </c>
      <c r="H34" s="36">
        <f t="shared" si="0"/>
        <v>0</v>
      </c>
      <c r="I34" s="6">
        <f t="shared" si="2"/>
        <v>578000</v>
      </c>
      <c r="J34" s="36">
        <f>VLOOKUP($A34,[29]HISTOJUIL24!$A$6:$AQ$42,22,0)</f>
        <v>0</v>
      </c>
      <c r="K34" s="36">
        <f>VLOOKUP($A34,[29]HISTOJUIL24!$A$6:$AU$38,45,0)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VLOOKUP($A34,[29]HISTOJUIL24!$A$6:$AU$38,7,0)</f>
        <v>0</v>
      </c>
      <c r="Q34" s="36">
        <f>VLOOKUP($A34,[29]HISTOJUIL24!$A$6:$AU$38,23,0)</f>
        <v>0</v>
      </c>
      <c r="R34" s="36">
        <f>VLOOKUP($A34,[29]HISTOJUIL24!$A$6:$AU$38,46,0)</f>
        <v>0</v>
      </c>
      <c r="S34" s="36">
        <f>VLOOKUP($A34,[29]HISTOJUIL24!$A$6:$AU$38,26,0)</f>
        <v>0</v>
      </c>
      <c r="T34" s="36">
        <f>VLOOKUP($A34,[29]HISTOJUIL24!$A$6:$BG$38,58,0)</f>
        <v>0</v>
      </c>
      <c r="U34" s="36">
        <f>VLOOKUP($A34,[29]HISTOJUIL24!$A$6:$AU$38,28,0)</f>
        <v>0</v>
      </c>
      <c r="V34" s="36">
        <f>VLOOKUP($A34,[29]HISTOJUIL24!$A$6:$AU$38,19,0)</f>
        <v>0</v>
      </c>
      <c r="W34" s="36">
        <f>VLOOKUP($A34,[29]HISTOJUIL24!$A$6:$AU$38,20,0)</f>
        <v>0</v>
      </c>
      <c r="X34" s="36">
        <f>VLOOKUP($A34,[29]HISTOJUIL24!$A$6:$AU$38,27,0)</f>
        <v>0</v>
      </c>
      <c r="Y34" s="36">
        <f>VLOOKUP($A34,[29]HISTOJUIL24!$A$6:$BM$38,33,0)</f>
        <v>0</v>
      </c>
      <c r="Z34" s="36">
        <f>VLOOKUP($A34,[29]HISTOJUIL24!$A$6:$BM$38,65,0)</f>
        <v>0</v>
      </c>
      <c r="AA34" s="36"/>
      <c r="AB34" s="36">
        <f>VLOOKUP($A34,[29]HISTOJUIL24!$A$6:$AU$38,43,0)</f>
        <v>0</v>
      </c>
      <c r="AC34" s="36">
        <f>VLOOKUP($A34,[29]HISTOJUIL24!$A$6:$AU$38,44,0)</f>
        <v>0</v>
      </c>
      <c r="AD34" s="36">
        <f>VLOOKUP($A34,[29]HISTOJUIL24!$A$6:$AU$38,47,0)</f>
        <v>0</v>
      </c>
      <c r="AE34" s="36">
        <f>VLOOKUP(A34,[29]HISTOJUIL24!$A$6:$BB$38,54,0)</f>
        <v>0</v>
      </c>
      <c r="AF34" s="36">
        <f>VLOOKUP($A34,[29]HISTOJUIL24!$A$6:$CB$38,60,0)</f>
        <v>0</v>
      </c>
      <c r="AG34" s="36">
        <f>VLOOKUP($A34,[29]HISTOJUIL24!$A$6:$CB$38,61,0)</f>
        <v>0</v>
      </c>
      <c r="AH34" s="36">
        <f>VLOOKUP($A34,[29]HISTOJUIL24!$A$6:$CB$38,62,0)</f>
        <v>0</v>
      </c>
      <c r="AI34" s="36">
        <f>VLOOKUP($A34,[29]HISTOJUIL24!$A$6:$CB$38,63,0)</f>
        <v>0</v>
      </c>
      <c r="AJ34" s="36">
        <f>VLOOKUP($A34,[29]HISTOJUIL24!$A$6:$CB$38,64,0)</f>
        <v>0</v>
      </c>
      <c r="AK34" s="36">
        <f>VLOOKUP($A34,[29]HISTOJUIL24!$A$6:$CB$38,65,0)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MVTJUIN24!I35-E35+L35</f>
        <v>233000</v>
      </c>
      <c r="G35" s="5">
        <f>IF(MVTJUIN24!I35+L35&gt;700000,(MVTJUIN24!I35-E35+L35),0)</f>
        <v>0</v>
      </c>
      <c r="H35" s="36">
        <f t="shared" si="0"/>
        <v>0</v>
      </c>
      <c r="I35" s="6">
        <f t="shared" si="2"/>
        <v>233000</v>
      </c>
      <c r="J35" s="36">
        <f>VLOOKUP($A35,[29]HISTOJUIL24!$A$6:$AQ$42,22,0)</f>
        <v>0</v>
      </c>
      <c r="K35" s="36">
        <f>VLOOKUP($A35,[29]HISTOJUIL24!$A$6:$AU$38,45,0)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VLOOKUP($A35,[29]HISTOJUIL24!$A$6:$AU$38,7,0)</f>
        <v>0</v>
      </c>
      <c r="Q35" s="36">
        <f>VLOOKUP($A35,[29]HISTOJUIL24!$A$6:$AU$38,23,0)</f>
        <v>0</v>
      </c>
      <c r="R35" s="36">
        <f>VLOOKUP($A35,[29]HISTOJUIL24!$A$6:$AU$38,46,0)</f>
        <v>0</v>
      </c>
      <c r="S35" s="36">
        <f>VLOOKUP($A35,[29]HISTOJUIL24!$A$6:$AU$38,26,0)</f>
        <v>0</v>
      </c>
      <c r="T35" s="36">
        <f>VLOOKUP($A35,[29]HISTOJUIL24!$A$6:$BG$38,58,0)</f>
        <v>0</v>
      </c>
      <c r="U35" s="36">
        <f>VLOOKUP($A35,[29]HISTOJUIL24!$A$6:$AU$38,28,0)</f>
        <v>0</v>
      </c>
      <c r="V35" s="36">
        <f>VLOOKUP($A35,[29]HISTOJUIL24!$A$6:$AU$38,19,0)</f>
        <v>0</v>
      </c>
      <c r="W35" s="36">
        <f>VLOOKUP($A35,[29]HISTOJUIL24!$A$6:$AU$38,20,0)</f>
        <v>0</v>
      </c>
      <c r="X35" s="36">
        <f>VLOOKUP($A35,[29]HISTOJUIL24!$A$6:$AU$38,27,0)</f>
        <v>0</v>
      </c>
      <c r="Y35" s="36">
        <f>VLOOKUP($A35,[29]HISTOJUIL24!$A$6:$BM$38,33,0)</f>
        <v>0</v>
      </c>
      <c r="Z35" s="36">
        <f>VLOOKUP($A35,[29]HISTOJUIL24!$A$6:$BM$38,65,0)</f>
        <v>0</v>
      </c>
      <c r="AA35" s="36"/>
      <c r="AB35" s="36">
        <f>VLOOKUP($A35,[29]HISTOJUIL24!$A$6:$AU$38,43,0)</f>
        <v>0</v>
      </c>
      <c r="AC35" s="36">
        <f>VLOOKUP($A35,[29]HISTOJUIL24!$A$6:$AU$38,44,0)</f>
        <v>0</v>
      </c>
      <c r="AD35" s="36">
        <f>VLOOKUP($A35,[29]HISTOJUIL24!$A$6:$AU$38,47,0)</f>
        <v>0</v>
      </c>
      <c r="AE35" s="36">
        <f>VLOOKUP(A35,[29]HISTOJUIL24!$A$6:$BB$38,54,0)</f>
        <v>0</v>
      </c>
      <c r="AF35" s="36">
        <f>VLOOKUP($A35,[29]HISTOJUIL24!$A$6:$CB$38,60,0)</f>
        <v>0</v>
      </c>
      <c r="AG35" s="36">
        <f>VLOOKUP($A35,[29]HISTOJUIL24!$A$6:$CB$38,61,0)</f>
        <v>0</v>
      </c>
      <c r="AH35" s="36">
        <f>VLOOKUP($A35,[29]HISTOJUIL24!$A$6:$CB$38,62,0)</f>
        <v>0</v>
      </c>
      <c r="AI35" s="36">
        <f>VLOOKUP($A35,[29]HISTOJUIL24!$A$6:$CB$38,63,0)</f>
        <v>0</v>
      </c>
      <c r="AJ35" s="36">
        <f>VLOOKUP($A35,[29]HISTOJUIL24!$A$6:$CB$38,64,0)</f>
        <v>0</v>
      </c>
      <c r="AK35" s="36">
        <f>VLOOKUP($A35,[29]HISTOJUIL24!$A$6:$CB$38,65,0)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MVTJUIN24!I36-E36+L36</f>
        <v>953739.80853352544</v>
      </c>
      <c r="G36" s="5">
        <f>IF(MVTJUIN24!I36+L36&gt;700000,(MVTJUIN24!I36-E36+L36),0)</f>
        <v>953739.80853352544</v>
      </c>
      <c r="H36" s="36">
        <f t="shared" si="0"/>
        <v>3962.9797278312876</v>
      </c>
      <c r="I36" s="6">
        <f t="shared" si="2"/>
        <v>957702.78826135676</v>
      </c>
      <c r="J36" s="36">
        <f>VLOOKUP($A36,[29]HISTOJUIL24!$A$6:$AQ$42,22,0)</f>
        <v>0</v>
      </c>
      <c r="K36" s="36">
        <f>VLOOKUP($A36,[29]HISTOJUIL24!$A$6:$AU$38,45,0)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VLOOKUP($A36,[29]HISTOJUIL24!$A$6:$AU$38,7,0)</f>
        <v>0</v>
      </c>
      <c r="Q36" s="36">
        <f>VLOOKUP($A36,[29]HISTOJUIL24!$A$6:$AU$38,23,0)</f>
        <v>0</v>
      </c>
      <c r="R36" s="36">
        <f>VLOOKUP($A36,[29]HISTOJUIL24!$A$6:$AU$38,46,0)</f>
        <v>0</v>
      </c>
      <c r="S36" s="36">
        <f>VLOOKUP($A36,[29]HISTOJUIL24!$A$6:$AU$38,26,0)</f>
        <v>0</v>
      </c>
      <c r="T36" s="36">
        <f>VLOOKUP($A36,[29]HISTOJUIL24!$A$6:$BG$38,58,0)</f>
        <v>0</v>
      </c>
      <c r="U36" s="36">
        <f>VLOOKUP($A36,[29]HISTOJUIL24!$A$6:$AU$38,28,0)</f>
        <v>0</v>
      </c>
      <c r="V36" s="36">
        <f>VLOOKUP($A36,[29]HISTOJUIL24!$A$6:$AU$38,19,0)</f>
        <v>0</v>
      </c>
      <c r="W36" s="36">
        <f>VLOOKUP($A36,[29]HISTOJUIL24!$A$6:$AU$38,20,0)</f>
        <v>0</v>
      </c>
      <c r="X36" s="36">
        <f>VLOOKUP($A36,[29]HISTOJUIL24!$A$6:$AU$38,27,0)</f>
        <v>0</v>
      </c>
      <c r="Y36" s="36">
        <f>VLOOKUP($A36,[29]HISTOJUIL24!$A$6:$BM$38,33,0)</f>
        <v>0</v>
      </c>
      <c r="Z36" s="36">
        <f>VLOOKUP($A36,[29]HISTOJUIL24!$A$6:$BM$38,65,0)</f>
        <v>0</v>
      </c>
      <c r="AA36" s="36"/>
      <c r="AB36" s="36">
        <f>VLOOKUP($A36,[29]HISTOJUIL24!$A$6:$AU$38,43,0)</f>
        <v>0</v>
      </c>
      <c r="AC36" s="36">
        <f>VLOOKUP($A36,[29]HISTOJUIL24!$A$6:$AU$38,44,0)</f>
        <v>0</v>
      </c>
      <c r="AD36" s="36">
        <f>VLOOKUP($A36,[29]HISTOJUIL24!$A$6:$AU$38,47,0)</f>
        <v>0</v>
      </c>
      <c r="AE36" s="36">
        <f>VLOOKUP(A36,[29]HISTOJUIL24!$A$6:$BB$38,54,0)</f>
        <v>0</v>
      </c>
      <c r="AF36" s="36">
        <f>VLOOKUP($A36,[29]HISTOJUIL24!$A$6:$CB$38,60,0)</f>
        <v>0</v>
      </c>
      <c r="AG36" s="36">
        <f>VLOOKUP($A36,[29]HISTOJUIL24!$A$6:$CB$38,61,0)</f>
        <v>0</v>
      </c>
      <c r="AH36" s="36">
        <f>VLOOKUP($A36,[29]HISTOJUIL24!$A$6:$CB$38,62,0)</f>
        <v>0</v>
      </c>
      <c r="AI36" s="36">
        <f>VLOOKUP($A36,[29]HISTOJUIL24!$A$6:$CB$38,63,0)</f>
        <v>0</v>
      </c>
      <c r="AJ36" s="36">
        <f>VLOOKUP($A36,[29]HISTOJUIL24!$A$6:$CB$38,64,0)</f>
        <v>0</v>
      </c>
      <c r="AK36" s="36">
        <f>VLOOKUP($A36,[29]HISTOJUIL24!$A$6:$CB$38,65,0)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MVTJUIN24!I37-E37+L37</f>
        <v>1961999.838406364</v>
      </c>
      <c r="G37" s="5">
        <f>IF(MVTJUIN24!I37+L37&gt;700000,(MVTJUIN24!I37-E37+L37),0)</f>
        <v>1961999.838406364</v>
      </c>
      <c r="H37" s="36">
        <f t="shared" si="0"/>
        <v>8152.5018836826357</v>
      </c>
      <c r="I37" s="6">
        <f t="shared" si="2"/>
        <v>1970152.3402900465</v>
      </c>
      <c r="J37" s="36">
        <f>VLOOKUP($A37,[29]HISTOJUIL24!$A$6:$AQ$42,22,0)</f>
        <v>0</v>
      </c>
      <c r="K37" s="36">
        <f>VLOOKUP($A37,[29]HISTOJUIL24!$A$6:$AU$38,45,0)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VLOOKUP($A37,[29]HISTOJUIL24!$A$6:$AU$38,7,0)</f>
        <v>0</v>
      </c>
      <c r="Q37" s="36">
        <f>VLOOKUP($A37,[29]HISTOJUIL24!$A$6:$AU$38,23,0)</f>
        <v>0</v>
      </c>
      <c r="R37" s="36">
        <f>VLOOKUP($A37,[29]HISTOJUIL24!$A$6:$AU$38,46,0)</f>
        <v>0</v>
      </c>
      <c r="S37" s="36">
        <f>VLOOKUP($A37,[29]HISTOJUIL24!$A$6:$AU$38,26,0)</f>
        <v>0</v>
      </c>
      <c r="T37" s="36">
        <f>VLOOKUP($A37,[29]HISTOJUIL24!$A$6:$BG$38,58,0)</f>
        <v>0</v>
      </c>
      <c r="U37" s="36">
        <f>VLOOKUP($A37,[29]HISTOJUIL24!$A$6:$AU$38,28,0)</f>
        <v>0</v>
      </c>
      <c r="V37" s="36">
        <f>VLOOKUP($A37,[29]HISTOJUIL24!$A$6:$AU$38,19,0)</f>
        <v>0</v>
      </c>
      <c r="W37" s="36">
        <f>VLOOKUP($A37,[29]HISTOJUIL24!$A$6:$AU$38,20,0)</f>
        <v>0</v>
      </c>
      <c r="X37" s="36">
        <f>VLOOKUP($A37,[29]HISTOJUIL24!$A$6:$AU$38,27,0)</f>
        <v>0</v>
      </c>
      <c r="Y37" s="36">
        <f>VLOOKUP($A37,[29]HISTOJUIL24!$A$6:$BM$38,33,0)</f>
        <v>0</v>
      </c>
      <c r="Z37" s="36">
        <f>VLOOKUP($A37,[29]HISTOJUIL24!$A$6:$BM$38,65,0)</f>
        <v>0</v>
      </c>
      <c r="AA37" s="36"/>
      <c r="AB37" s="36">
        <f>VLOOKUP($A37,[29]HISTOJUIL24!$A$6:$AU$38,43,0)</f>
        <v>0</v>
      </c>
      <c r="AC37" s="36">
        <f>VLOOKUP($A37,[29]HISTOJUIL24!$A$6:$AU$38,44,0)</f>
        <v>0</v>
      </c>
      <c r="AD37" s="36">
        <f>VLOOKUP($A37,[29]HISTOJUIL24!$A$6:$AU$38,47,0)</f>
        <v>0</v>
      </c>
      <c r="AE37" s="36">
        <f>VLOOKUP(A37,[29]HISTOJUIL24!$A$6:$BB$38,54,0)</f>
        <v>0</v>
      </c>
      <c r="AF37" s="36">
        <f>VLOOKUP($A37,[29]HISTOJUIL24!$A$6:$CB$38,60,0)</f>
        <v>0</v>
      </c>
      <c r="AG37" s="36">
        <f>VLOOKUP($A37,[29]HISTOJUIL24!$A$6:$CB$38,61,0)</f>
        <v>0</v>
      </c>
      <c r="AH37" s="36">
        <f>VLOOKUP($A37,[29]HISTOJUIL24!$A$6:$CB$38,62,0)</f>
        <v>0</v>
      </c>
      <c r="AI37" s="36">
        <f>VLOOKUP($A37,[29]HISTOJUIL24!$A$6:$CB$38,63,0)</f>
        <v>100000</v>
      </c>
      <c r="AJ37" s="36">
        <f>VLOOKUP($A37,[29]HISTOJUIL24!$A$6:$CB$38,64,0)</f>
        <v>0</v>
      </c>
      <c r="AK37" s="36">
        <f>VLOOKUP($A37,[29]HISTOJUIL24!$A$6:$CB$38,65,0)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MVTJUIN24!I38-E38+L38</f>
        <v>133000</v>
      </c>
      <c r="G38" s="5">
        <f>IF(MVTJUIN24!I38+L38&gt;700000,(MVTJUIN24!I38-E38+L38),0)</f>
        <v>0</v>
      </c>
      <c r="H38" s="36">
        <f t="shared" si="0"/>
        <v>0</v>
      </c>
      <c r="I38" s="6">
        <f t="shared" si="2"/>
        <v>133000</v>
      </c>
      <c r="J38" s="36">
        <f>VLOOKUP($A38,[29]HISTOJUIL24!$A$6:$AQ$42,22,0)</f>
        <v>0</v>
      </c>
      <c r="K38" s="36">
        <f>VLOOKUP($A38,[29]HISTOJUIL24!$A$6:$AU$38,45,0)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VLOOKUP($A38,[29]HISTOJUIL24!$A$6:$AU$38,7,0)</f>
        <v>0</v>
      </c>
      <c r="Q38" s="36">
        <f>VLOOKUP($A38,[29]HISTOJUIL24!$A$6:$AU$38,23,0)</f>
        <v>0</v>
      </c>
      <c r="R38" s="36">
        <f>VLOOKUP($A38,[29]HISTOJUIL24!$A$6:$AU$38,46,0)</f>
        <v>0</v>
      </c>
      <c r="S38" s="36">
        <f>VLOOKUP($A38,[29]HISTOJUIL24!$A$6:$AU$38,26,0)</f>
        <v>0</v>
      </c>
      <c r="T38" s="36">
        <f>VLOOKUP($A38,[29]HISTOJUIL24!$A$6:$BG$38,58,0)</f>
        <v>0</v>
      </c>
      <c r="U38" s="36">
        <f>VLOOKUP($A38,[29]HISTOJUIL24!$A$6:$AU$38,28,0)</f>
        <v>0</v>
      </c>
      <c r="V38" s="36">
        <f>VLOOKUP($A38,[29]HISTOJUIL24!$A$6:$AU$38,19,0)</f>
        <v>0</v>
      </c>
      <c r="W38" s="36">
        <f>VLOOKUP($A38,[29]HISTOJUIL24!$A$6:$AU$38,20,0)</f>
        <v>0</v>
      </c>
      <c r="X38" s="36">
        <f>VLOOKUP($A38,[29]HISTOJUIL24!$A$6:$AU$38,27,0)</f>
        <v>0</v>
      </c>
      <c r="Y38" s="36">
        <f>VLOOKUP($A38,[29]HISTOJUIL24!$A$6:$BM$38,33,0)</f>
        <v>0</v>
      </c>
      <c r="Z38" s="36">
        <f>VLOOKUP($A38,[29]HISTOJUIL24!$A$6:$BM$38,65,0)</f>
        <v>0</v>
      </c>
      <c r="AA38" s="36"/>
      <c r="AB38" s="36">
        <f>VLOOKUP($A38,[29]HISTOJUIL24!$A$6:$AU$38,43,0)</f>
        <v>0</v>
      </c>
      <c r="AC38" s="36">
        <f>VLOOKUP($A38,[29]HISTOJUIL24!$A$6:$AU$38,44,0)</f>
        <v>0</v>
      </c>
      <c r="AD38" s="36">
        <f>VLOOKUP($A38,[29]HISTOJUIL24!$A$6:$AU$38,47,0)</f>
        <v>0</v>
      </c>
      <c r="AE38" s="36">
        <f>VLOOKUP(A38,[29]HISTOJUIL24!$A$6:$BB$38,54,0)</f>
        <v>0</v>
      </c>
      <c r="AF38" s="36">
        <f>VLOOKUP($A38,[29]HISTOJUIL24!$A$6:$CB$38,60,0)</f>
        <v>0</v>
      </c>
      <c r="AG38" s="36">
        <f>VLOOKUP($A38,[29]HISTOJUIL24!$A$6:$CB$38,61,0)</f>
        <v>0</v>
      </c>
      <c r="AH38" s="36">
        <f>VLOOKUP($A38,[29]HISTOJUIL24!$A$6:$CB$38,62,0)</f>
        <v>0</v>
      </c>
      <c r="AI38" s="36">
        <f>VLOOKUP($A38,[29]HISTOJUIL24!$A$6:$CB$38,63,0)</f>
        <v>0</v>
      </c>
      <c r="AJ38" s="36">
        <f>VLOOKUP($A38,[29]HISTOJUIL24!$A$6:$CB$38,64,0)</f>
        <v>0</v>
      </c>
      <c r="AK38" s="36">
        <f>VLOOKUP($A38,[29]HISTOJUIL24!$A$6:$CB$38,65,0)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MVTJUIN24!I39-E39+L39</f>
        <v>2127809.0008350825</v>
      </c>
      <c r="G39" s="5">
        <f>IF(MVTJUIN24!I39+L39&gt;700000,(MVTJUIN24!I39-E39+L39),0)</f>
        <v>2127809.0008350825</v>
      </c>
      <c r="H39" s="36">
        <f t="shared" si="0"/>
        <v>8841.4721285170763</v>
      </c>
      <c r="I39" s="6">
        <f t="shared" si="2"/>
        <v>2136650.4729635995</v>
      </c>
      <c r="J39" s="36">
        <f>VLOOKUP($A39,[29]HISTOJUIL24!$A$6:$AQ$42,22,0)</f>
        <v>0</v>
      </c>
      <c r="K39" s="36">
        <f>VLOOKUP($A39,[29]HISTOJUIL24!$A$6:$AU$38,45,0)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VLOOKUP($A39,[29]HISTOJUIL24!$A$6:$AU$38,7,0)</f>
        <v>0</v>
      </c>
      <c r="Q39" s="36">
        <f>VLOOKUP($A39,[29]HISTOJUIL24!$A$6:$AU$38,23,0)</f>
        <v>0</v>
      </c>
      <c r="R39" s="36">
        <f>VLOOKUP($A39,[29]HISTOJUIL24!$A$6:$AU$38,46,0)</f>
        <v>0</v>
      </c>
      <c r="S39" s="36">
        <f>VLOOKUP($A39,[29]HISTOJUIL24!$A$6:$AU$38,26,0)</f>
        <v>0</v>
      </c>
      <c r="T39" s="36">
        <f>VLOOKUP($A39,[29]HISTOJUIL24!$A$6:$BG$38,58,0)</f>
        <v>0</v>
      </c>
      <c r="U39" s="36">
        <f>VLOOKUP($A39,[29]HISTOJUIL24!$A$6:$AU$38,28,0)</f>
        <v>0</v>
      </c>
      <c r="V39" s="36">
        <f>VLOOKUP($A39,[29]HISTOJUIL24!$A$6:$AU$38,19,0)</f>
        <v>0</v>
      </c>
      <c r="W39" s="36">
        <f>VLOOKUP($A39,[29]HISTOJUIL24!$A$6:$AU$38,20,0)</f>
        <v>0</v>
      </c>
      <c r="X39" s="36">
        <f>VLOOKUP($A39,[29]HISTOJUIL24!$A$6:$AU$38,27,0)</f>
        <v>0</v>
      </c>
      <c r="Y39" s="36">
        <f>VLOOKUP($A39,[29]HISTOJUIL24!$A$6:$BM$38,33,0)</f>
        <v>0</v>
      </c>
      <c r="Z39" s="36">
        <f>VLOOKUP($A39,[29]HISTOJUIL24!$A$6:$BM$38,65,0)</f>
        <v>0</v>
      </c>
      <c r="AA39" s="36"/>
      <c r="AB39" s="36">
        <f>VLOOKUP($A39,[29]HISTOJUIL24!$A$6:$AU$38,43,0)</f>
        <v>0</v>
      </c>
      <c r="AC39" s="36">
        <f>VLOOKUP($A39,[29]HISTOJUIL24!$A$6:$AU$38,44,0)</f>
        <v>0</v>
      </c>
      <c r="AD39" s="36">
        <f>VLOOKUP($A39,[29]HISTOJUIL24!$A$6:$AU$38,47,0)</f>
        <v>0</v>
      </c>
      <c r="AE39" s="36">
        <f>VLOOKUP(A39,[29]HISTOJUIL24!$A$6:$BB$38,54,0)</f>
        <v>0</v>
      </c>
      <c r="AF39" s="36">
        <f>VLOOKUP($A39,[29]HISTOJUIL24!$A$6:$CB$38,60,0)</f>
        <v>0</v>
      </c>
      <c r="AG39" s="36">
        <f>VLOOKUP($A39,[29]HISTOJUIL24!$A$6:$CB$38,61,0)</f>
        <v>0</v>
      </c>
      <c r="AH39" s="36">
        <f>VLOOKUP($A39,[29]HISTOJUIL24!$A$6:$CB$38,62,0)</f>
        <v>0</v>
      </c>
      <c r="AI39" s="36">
        <f>VLOOKUP($A39,[29]HISTOJUIL24!$A$6:$CB$38,63,0)</f>
        <v>0</v>
      </c>
      <c r="AJ39" s="36">
        <f>VLOOKUP($A39,[29]HISTOJUIL24!$A$6:$CB$38,64,0)</f>
        <v>0</v>
      </c>
      <c r="AK39" s="36">
        <f>VLOOKUP($A39,[29]HISTOJUIL24!$A$6:$CB$38,65,0)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32654256.073121917</v>
      </c>
      <c r="G41" s="9">
        <f t="shared" si="10"/>
        <v>30901039.073121917</v>
      </c>
      <c r="H41" s="36">
        <f t="shared" si="10"/>
        <v>128400.00000000001</v>
      </c>
      <c r="I41" s="9">
        <f t="shared" si="10"/>
        <v>32782656.07312192</v>
      </c>
      <c r="J41" s="9">
        <f t="shared" si="10"/>
        <v>0</v>
      </c>
      <c r="K41" s="9">
        <f t="shared" si="10"/>
        <v>1890100</v>
      </c>
      <c r="L41" s="9">
        <f t="shared" si="10"/>
        <v>1698100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9000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128400</v>
      </c>
      <c r="U41" s="9">
        <f t="shared" si="10"/>
        <v>0</v>
      </c>
      <c r="V41" s="9">
        <f t="shared" si="10"/>
        <v>1738500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42000</v>
      </c>
      <c r="AG41" s="9">
        <f t="shared" si="10"/>
        <v>609500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C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M44"/>
  <sheetViews>
    <sheetView workbookViewId="0">
      <pane xSplit="2" ySplit="5" topLeftCell="F36" activePane="bottomRight" state="frozen"/>
      <selection activeCell="B43" sqref="B43"/>
      <selection pane="topRight" activeCell="B43" sqref="B43"/>
      <selection pane="bottomLeft" activeCell="B43" sqref="B43"/>
      <selection pane="bottomRight" activeCell="AJ8" sqref="AJ8:AJ9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2">
        <v>45521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VLOOKUP($A6,[29]HISTOAOUT24!$A$6:$BA$38,48,0)</f>
        <v>0</v>
      </c>
      <c r="F6" s="36">
        <f>MVTJUIL24!I6-E6+L6</f>
        <v>955318.49807059474</v>
      </c>
      <c r="G6" s="5">
        <f>IF(MVTJUIL24!I6+L6&gt;700000,(MVTJUIL24!I6-E6+L6),0)</f>
        <v>955318.49807059474</v>
      </c>
      <c r="H6" s="36">
        <f t="shared" ref="H6:H39" si="0">$T$41/$G$41*G6</f>
        <v>604.23157949956271</v>
      </c>
      <c r="I6" s="6">
        <f>F6+H6</f>
        <v>955922.72965009429</v>
      </c>
      <c r="J6" s="36">
        <f>VLOOKUP($A6,[29]HISTOAOUT24!$A$6:$AQ$42,22,0)</f>
        <v>0</v>
      </c>
      <c r="K6" s="36">
        <f>VLOOKUP($A6,[29]HISTOAOUT24!$A$6:$AU$38,45,0)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VLOOKUP($A6,[29]HISTOAOUT24!$A$6:$AU$38,7,0)</f>
        <v>0</v>
      </c>
      <c r="Q6" s="36">
        <f>VLOOKUP($A6,[29]HISTOAOUT24!$A$6:$AU$38,23,0)</f>
        <v>0</v>
      </c>
      <c r="R6" s="36">
        <f>VLOOKUP($A6,[29]HISTOAOUT24!$A$6:$AU$38,46,0)</f>
        <v>0</v>
      </c>
      <c r="S6" s="36">
        <f>VLOOKUP($A6,[29]HISTOAOUT24!$A$6:$AU$38,26,0)</f>
        <v>0</v>
      </c>
      <c r="T6" s="36">
        <f>VLOOKUP($A6,[29]HISTOAOUT24!$A$6:$BG$38,58,0)</f>
        <v>0</v>
      </c>
      <c r="U6" s="36">
        <f>VLOOKUP($A6,[29]HISTOAOUT24!$A$6:$AU$38,28,0)</f>
        <v>0</v>
      </c>
      <c r="V6" s="36">
        <f>VLOOKUP($A6,[29]HISTOAOUT24!$A$6:$AU$38,19,0)</f>
        <v>0</v>
      </c>
      <c r="W6" s="36">
        <f>VLOOKUP($A6,[29]HISTOAOUT24!$A$6:$AU$38,20,0)</f>
        <v>0</v>
      </c>
      <c r="X6" s="36">
        <f>VLOOKUP($A6,[29]HISTOAOUT24!$A$6:$AU$38,27,0)</f>
        <v>0</v>
      </c>
      <c r="Y6" s="36">
        <f>VLOOKUP($A6,[29]HISTOAOUT24!$A$6:$BM$38,33,0)</f>
        <v>0</v>
      </c>
      <c r="Z6" s="36">
        <f>VLOOKUP($A6,[29]HISTOAOUT24!$A$6:$BM$38,65,0)</f>
        <v>0</v>
      </c>
      <c r="AA6" s="36"/>
      <c r="AB6" s="36">
        <f>VLOOKUP($A6,[29]HISTOAOUT24!$A$6:$AU$38,43,0)</f>
        <v>0</v>
      </c>
      <c r="AC6" s="36">
        <f>VLOOKUP($A6,[29]HISTOAOUT24!$A$6:$AU$38,44,0)</f>
        <v>0</v>
      </c>
      <c r="AD6" s="36">
        <f>VLOOKUP($A6,[29]HISTOAOUT24!$A$6:$AU$38,47,0)</f>
        <v>0</v>
      </c>
      <c r="AE6" s="36">
        <f>VLOOKUP(A6,[29]HISTOAOUT24!$A$6:$BB$38,54,0)</f>
        <v>0</v>
      </c>
      <c r="AF6" s="36">
        <f>VLOOKUP($A6,[29]HISTOAOUT24!$A$6:$CB$38,60,0)</f>
        <v>6000</v>
      </c>
      <c r="AG6" s="36">
        <f>VLOOKUP($A6,[29]HISTOAOUT24!$A$6:$CB$38,61,0)</f>
        <v>0</v>
      </c>
      <c r="AH6" s="36">
        <f>VLOOKUP($A6,[29]HISTOAOUT24!$A$6:$CB$38,62,0)</f>
        <v>0</v>
      </c>
      <c r="AI6" s="36">
        <f>VLOOKUP($A6,[29]HISTOAOUT24!$A$6:$CB$38,63,0)</f>
        <v>0</v>
      </c>
      <c r="AJ6" s="36">
        <f>VLOOKUP($A6,[29]HISTOAOUT24!$A$6:$CB$38,64,0)</f>
        <v>0</v>
      </c>
      <c r="AK6" s="36">
        <f>VLOOKUP($A6,[29]HISTOAOUT24!$A$6:$CB$38,65,0)</f>
        <v>0</v>
      </c>
      <c r="AL6" s="36">
        <f>VLOOKUP($A6,[29]HISTOAOUT24!$A$6:$CB$38,66,0)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VLOOKUP($A7,[29]HISTOAOUT24!$A$6:$BA$38,48,0)</f>
        <v>0</v>
      </c>
      <c r="F7" s="36">
        <f>MVTJUIL24!I7-E7+L7</f>
        <v>851644.72958470404</v>
      </c>
      <c r="G7" s="5">
        <f>IF(MVTJUIL24!I7+L7&gt;700000,(MVTJUIL24!I7-E7+L7),0)</f>
        <v>851644.72958470404</v>
      </c>
      <c r="H7" s="36">
        <f t="shared" si="0"/>
        <v>538.65872080226086</v>
      </c>
      <c r="I7" s="6">
        <f t="shared" ref="I7:I39" si="2">F7+H7</f>
        <v>852183.38830550632</v>
      </c>
      <c r="J7" s="36">
        <f>VLOOKUP($A7,[29]HISTOAOUT24!$A$6:$AQ$42,22,0)</f>
        <v>0</v>
      </c>
      <c r="K7" s="36">
        <f>VLOOKUP($A7,[29]HISTOAOUT24!$A$6:$AU$38,45,0)</f>
        <v>22000</v>
      </c>
      <c r="L7" s="36">
        <f>IF(K7=0,0,K7-(M7+N7+O7))</f>
        <v>16000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VLOOKUP($A7,[29]HISTOAOUT24!$A$6:$AU$38,7,0)</f>
        <v>3000</v>
      </c>
      <c r="Q7" s="36">
        <f>VLOOKUP($A7,[29]HISTOAOUT24!$A$6:$AU$38,23,0)</f>
        <v>0</v>
      </c>
      <c r="R7" s="36">
        <f>VLOOKUP($A7,[29]HISTOAOUT24!$A$6:$AU$38,46,0)</f>
        <v>0</v>
      </c>
      <c r="S7" s="36">
        <f>VLOOKUP($A7,[29]HISTOAOUT24!$A$6:$AU$38,26,0)</f>
        <v>0</v>
      </c>
      <c r="T7" s="36">
        <f>VLOOKUP($A7,[29]HISTOAOUT24!$A$6:$BG$38,58,0)</f>
        <v>0</v>
      </c>
      <c r="U7" s="36">
        <f>VLOOKUP($A7,[29]HISTOAOUT24!$A$6:$AU$38,28,0)</f>
        <v>0</v>
      </c>
      <c r="V7" s="36">
        <f>VLOOKUP($A7,[29]HISTOAOUT24!$A$6:$AU$38,19,0)</f>
        <v>0</v>
      </c>
      <c r="W7" s="36">
        <f>VLOOKUP($A7,[29]HISTOAOUT24!$A$6:$AU$38,20,0)</f>
        <v>0</v>
      </c>
      <c r="X7" s="36">
        <f>VLOOKUP($A7,[29]HISTOAOUT24!$A$6:$AU$38,27,0)</f>
        <v>0</v>
      </c>
      <c r="Y7" s="36">
        <f>VLOOKUP($A7,[29]HISTOAOUT24!$A$6:$BM$38,33,0)</f>
        <v>0</v>
      </c>
      <c r="Z7" s="36">
        <f>VLOOKUP($A7,[29]HISTOAOUT24!$A$6:$BM$38,65,0)</f>
        <v>0</v>
      </c>
      <c r="AA7" s="36"/>
      <c r="AB7" s="36">
        <f>VLOOKUP($A7,[29]HISTOAOUT24!$A$6:$AU$38,43,0)</f>
        <v>0</v>
      </c>
      <c r="AC7" s="36">
        <f>VLOOKUP($A7,[29]HISTOAOUT24!$A$6:$AU$38,44,0)</f>
        <v>0</v>
      </c>
      <c r="AD7" s="36">
        <f>VLOOKUP($A7,[29]HISTOAOUT24!$A$6:$AU$38,47,0)</f>
        <v>0</v>
      </c>
      <c r="AE7" s="36">
        <f>VLOOKUP(A7,[29]HISTOAOUT24!$A$6:$BB$38,54,0)</f>
        <v>0</v>
      </c>
      <c r="AF7" s="36">
        <f>VLOOKUP($A7,[29]HISTOAOUT24!$A$6:$CB$38,60,0)</f>
        <v>0</v>
      </c>
      <c r="AG7" s="36">
        <f>VLOOKUP($A7,[29]HISTOAOUT24!$A$6:$CB$38,61,0)</f>
        <v>0</v>
      </c>
      <c r="AH7" s="36">
        <f>VLOOKUP($A7,[29]HISTOAOUT24!$A$6:$CB$38,62,0)</f>
        <v>0</v>
      </c>
      <c r="AI7" s="36">
        <f>VLOOKUP($A7,[29]HISTOAOUT24!$A$6:$CB$38,63,0)</f>
        <v>0</v>
      </c>
      <c r="AJ7" s="36">
        <f>VLOOKUP($A7,[29]HISTOAOUT24!$A$6:$CB$38,64,0)</f>
        <v>0</v>
      </c>
      <c r="AK7" s="36">
        <f>VLOOKUP($A7,[29]HISTOAOUT24!$A$6:$CB$38,65,0)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VLOOKUP($A8,[29]HISTOAOUT24!$A$6:$BA$38,48,0)</f>
        <v>0</v>
      </c>
      <c r="F8" s="36">
        <f>MVTJUIL24!I8-E8+L8</f>
        <v>904955.77134587232</v>
      </c>
      <c r="G8" s="5">
        <f>IF(MVTJUIL24!I8+L8&gt;700000,(MVTJUIL24!I8-E8+L8),0)</f>
        <v>904955.77134587232</v>
      </c>
      <c r="H8" s="36">
        <f t="shared" si="0"/>
        <v>572.37754340768004</v>
      </c>
      <c r="I8" s="6">
        <f t="shared" si="2"/>
        <v>905528.14888928004</v>
      </c>
      <c r="J8" s="36">
        <f>VLOOKUP($A8,[29]HISTOAOUT24!$A$6:$AQ$42,22,0)</f>
        <v>0</v>
      </c>
      <c r="K8" s="36">
        <f>VLOOKUP($A8,[29]HISTOAOUT24!$A$6:$AU$38,45,0)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VLOOKUP($A8,[29]HISTOAOUT24!$A$6:$AU$38,7,0)</f>
        <v>0</v>
      </c>
      <c r="Q8" s="36">
        <f>VLOOKUP($A8,[29]HISTOAOUT24!$A$6:$AU$38,23,0)</f>
        <v>0</v>
      </c>
      <c r="R8" s="36">
        <f>VLOOKUP($A8,[29]HISTOAOUT24!$A$6:$AU$38,46,0)</f>
        <v>0</v>
      </c>
      <c r="S8" s="36">
        <f>VLOOKUP($A8,[29]HISTOAOUT24!$A$6:$AU$38,26,0)</f>
        <v>0</v>
      </c>
      <c r="T8" s="36">
        <f>VLOOKUP($A8,[29]HISTOAOUT24!$A$6:$BG$38,58,0)</f>
        <v>20000</v>
      </c>
      <c r="U8" s="36">
        <f>VLOOKUP($A8,[29]HISTOAOUT24!$A$6:$AU$38,28,0)</f>
        <v>0</v>
      </c>
      <c r="V8" s="36">
        <f>VLOOKUP($A8,[29]HISTOAOUT24!$A$6:$AU$38,19,0)</f>
        <v>0</v>
      </c>
      <c r="W8" s="36">
        <f>VLOOKUP($A8,[29]HISTOAOUT24!$A$6:$AU$38,20,0)</f>
        <v>0</v>
      </c>
      <c r="X8" s="36">
        <f>VLOOKUP($A8,[29]HISTOAOUT24!$A$6:$AU$38,27,0)</f>
        <v>0</v>
      </c>
      <c r="Y8" s="36">
        <f>VLOOKUP($A8,[29]HISTOAOUT24!$A$6:$BM$38,33,0)</f>
        <v>0</v>
      </c>
      <c r="Z8" s="36">
        <f>VLOOKUP($A8,[29]HISTOAOUT24!$A$6:$BM$38,65,0)</f>
        <v>0</v>
      </c>
      <c r="AA8" s="36"/>
      <c r="AB8" s="36">
        <f>VLOOKUP($A8,[29]HISTOAOUT24!$A$6:$AU$38,43,0)</f>
        <v>0</v>
      </c>
      <c r="AC8" s="36">
        <f>VLOOKUP($A8,[29]HISTOAOUT24!$A$6:$AU$38,44,0)</f>
        <v>0</v>
      </c>
      <c r="AD8" s="36">
        <f>VLOOKUP($A8,[29]HISTOAOUT24!$A$6:$AU$38,47,0)</f>
        <v>0</v>
      </c>
      <c r="AE8" s="36">
        <f>VLOOKUP(A8,[29]HISTOAOUT24!$A$6:$BB$38,54,0)</f>
        <v>0</v>
      </c>
      <c r="AF8" s="36">
        <f>VLOOKUP($A8,[29]HISTOAOUT24!$A$6:$CB$38,60,0)</f>
        <v>0</v>
      </c>
      <c r="AG8" s="36">
        <f>VLOOKUP($A8,[29]HISTOAOUT24!$A$6:$CB$38,61,0)</f>
        <v>0</v>
      </c>
      <c r="AH8" s="36">
        <f>VLOOKUP($A8,[29]HISTOAOUT24!$A$6:$CB$38,62,0)</f>
        <v>0</v>
      </c>
      <c r="AI8" s="36">
        <f>VLOOKUP($A8,[29]HISTOAOUT24!$A$6:$CB$38,63,0)</f>
        <v>0</v>
      </c>
      <c r="AJ8" s="36">
        <f>VLOOKUP($A8,[29]HISTOAOUT24!$A$6:$CB$38,64,0)</f>
        <v>7750</v>
      </c>
      <c r="AK8" s="36">
        <f>VLOOKUP($A8,[29]HISTOAOUT24!$A$6:$CB$38,65,0)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VLOOKUP($A9,[29]HISTOAOUT24!$A$6:$BA$38,48,0)</f>
        <v>0</v>
      </c>
      <c r="F9" s="36">
        <f>MVTJUIL24!I9-E9+L9</f>
        <v>952937.32703236968</v>
      </c>
      <c r="G9" s="5">
        <f>IF(MVTJUIL24!I9+L9&gt;700000,(MVTJUIL24!I9-E9+L9),0)</f>
        <v>952937.32703236968</v>
      </c>
      <c r="H9" s="36">
        <f t="shared" si="0"/>
        <v>602.72550718923776</v>
      </c>
      <c r="I9" s="6">
        <f t="shared" si="2"/>
        <v>953540.05253955896</v>
      </c>
      <c r="J9" s="36">
        <f>VLOOKUP($A9,[29]HISTOAOUT24!$A$6:$AQ$42,22,0)</f>
        <v>0</v>
      </c>
      <c r="K9" s="36">
        <f>VLOOKUP($A9,[29]HISTOAOUT24!$A$6:$AU$38,45,0)</f>
        <v>15000</v>
      </c>
      <c r="L9" s="36">
        <f t="shared" si="3"/>
        <v>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VLOOKUP($A9,[29]HISTOAOUT24!$A$6:$AU$38,7,0)</f>
        <v>0</v>
      </c>
      <c r="Q9" s="36">
        <f>VLOOKUP($A9,[29]HISTOAOUT24!$A$6:$AU$38,23,0)</f>
        <v>0</v>
      </c>
      <c r="R9" s="36">
        <f>VLOOKUP($A9,[29]HISTOAOUT24!$A$6:$AU$38,46,0)</f>
        <v>0</v>
      </c>
      <c r="S9" s="36">
        <f>VLOOKUP($A9,[29]HISTOAOUT24!$A$6:$AU$38,26,0)</f>
        <v>0</v>
      </c>
      <c r="T9" s="36">
        <f>VLOOKUP($A9,[29]HISTOAOUT24!$A$6:$BG$38,58,0)</f>
        <v>0</v>
      </c>
      <c r="U9" s="36">
        <f>VLOOKUP($A9,[29]HISTOAOUT24!$A$6:$AU$38,28,0)</f>
        <v>0</v>
      </c>
      <c r="V9" s="36">
        <f>VLOOKUP($A9,[29]HISTOAOUT24!$A$6:$AU$38,19,0)</f>
        <v>0</v>
      </c>
      <c r="W9" s="36">
        <f>VLOOKUP($A9,[29]HISTOAOUT24!$A$6:$AU$38,20,0)</f>
        <v>0</v>
      </c>
      <c r="X9" s="36">
        <f>VLOOKUP($A9,[29]HISTOAOUT24!$A$6:$AU$38,27,0)</f>
        <v>0</v>
      </c>
      <c r="Y9" s="36">
        <f>VLOOKUP($A9,[29]HISTOAOUT24!$A$6:$BM$38,33,0)</f>
        <v>0</v>
      </c>
      <c r="Z9" s="36">
        <f>VLOOKUP($A9,[29]HISTOAOUT24!$A$6:$BM$38,65,0)</f>
        <v>0</v>
      </c>
      <c r="AA9" s="36"/>
      <c r="AB9" s="36">
        <f>VLOOKUP($A9,[29]HISTOAOUT24!$A$6:$AU$38,43,0)</f>
        <v>0</v>
      </c>
      <c r="AC9" s="36">
        <f>VLOOKUP($A9,[29]HISTOAOUT24!$A$6:$AU$38,44,0)</f>
        <v>0</v>
      </c>
      <c r="AD9" s="36">
        <f>VLOOKUP($A9,[29]HISTOAOUT24!$A$6:$AU$38,47,0)</f>
        <v>0</v>
      </c>
      <c r="AE9" s="36">
        <f>VLOOKUP(A9,[29]HISTOAOUT24!$A$6:$BB$38,54,0)</f>
        <v>0</v>
      </c>
      <c r="AF9" s="36">
        <f>VLOOKUP($A9,[29]HISTOAOUT24!$A$6:$CB$38,60,0)</f>
        <v>0</v>
      </c>
      <c r="AG9" s="36">
        <f>VLOOKUP($A9,[29]HISTOAOUT24!$A$6:$CB$38,61,0)</f>
        <v>0</v>
      </c>
      <c r="AH9" s="36">
        <f>VLOOKUP($A9,[29]HISTOAOUT24!$A$6:$CB$38,62,0)</f>
        <v>0</v>
      </c>
      <c r="AI9" s="36">
        <f>VLOOKUP($A9,[29]HISTOAOUT24!$A$6:$CB$38,63,0)</f>
        <v>0</v>
      </c>
      <c r="AJ9" s="36">
        <f>VLOOKUP($A9,[29]HISTOAOUT24!$A$6:$CB$38,64,0)</f>
        <v>0</v>
      </c>
      <c r="AK9" s="36">
        <f>VLOOKUP($A9,[29]HISTOAOUT24!$A$6:$CB$38,65,0)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VLOOKUP($A10,[29]HISTOAOUT24!$A$6:$BA$38,48,0)</f>
        <v>0</v>
      </c>
      <c r="F10" s="36">
        <f>MVTJUIL24!I10-E10+L10</f>
        <v>903690.2327442721</v>
      </c>
      <c r="G10" s="5">
        <f>IF(MVTJUIL24!I10+L10&gt;700000,(MVTJUIL24!I10-E10+L10),0)</f>
        <v>903690.2327442721</v>
      </c>
      <c r="H10" s="36">
        <f t="shared" si="0"/>
        <v>571.57710000612656</v>
      </c>
      <c r="I10" s="6">
        <f t="shared" si="2"/>
        <v>904261.80984427826</v>
      </c>
      <c r="J10" s="36">
        <f>VLOOKUP($A10,[29]HISTOAOUT24!$A$6:$AQ$42,22,0)</f>
        <v>0</v>
      </c>
      <c r="K10" s="36">
        <f>VLOOKUP($A10,[29]HISTOAOUT24!$A$6:$AU$38,45,0)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VLOOKUP($A10,[29]HISTOAOUT24!$A$6:$AU$38,7,0)</f>
        <v>0</v>
      </c>
      <c r="Q10" s="36">
        <f>VLOOKUP($A10,[29]HISTOAOUT24!$A$6:$AU$38,23,0)</f>
        <v>0</v>
      </c>
      <c r="R10" s="36">
        <f>VLOOKUP($A10,[29]HISTOAOUT24!$A$6:$AU$38,46,0)</f>
        <v>0</v>
      </c>
      <c r="S10" s="36">
        <f>VLOOKUP($A10,[29]HISTOAOUT24!$A$6:$AU$38,26,0)</f>
        <v>0</v>
      </c>
      <c r="T10" s="36">
        <f>VLOOKUP($A10,[29]HISTOAOUT24!$A$6:$BG$38,58,0)</f>
        <v>0</v>
      </c>
      <c r="U10" s="36">
        <f>VLOOKUP($A10,[29]HISTOAOUT24!$A$6:$AU$38,28,0)</f>
        <v>0</v>
      </c>
      <c r="V10" s="36">
        <f>VLOOKUP($A10,[29]HISTOAOUT24!$A$6:$AU$38,19,0)</f>
        <v>0</v>
      </c>
      <c r="W10" s="36">
        <f>VLOOKUP($A10,[29]HISTOAOUT24!$A$6:$AU$38,20,0)</f>
        <v>0</v>
      </c>
      <c r="X10" s="36">
        <f>VLOOKUP($A10,[29]HISTOAOUT24!$A$6:$AU$38,27,0)</f>
        <v>0</v>
      </c>
      <c r="Y10" s="36">
        <f>VLOOKUP($A10,[29]HISTOAOUT24!$A$6:$BM$38,33,0)</f>
        <v>0</v>
      </c>
      <c r="Z10" s="36">
        <f>VLOOKUP($A10,[29]HISTOAOUT24!$A$6:$BM$38,65,0)</f>
        <v>0</v>
      </c>
      <c r="AA10" s="36"/>
      <c r="AB10" s="36">
        <f>VLOOKUP($A10,[29]HISTOAOUT24!$A$6:$AU$38,43,0)</f>
        <v>0</v>
      </c>
      <c r="AC10" s="36">
        <f>VLOOKUP($A10,[29]HISTOAOUT24!$A$6:$AU$38,44,0)</f>
        <v>0</v>
      </c>
      <c r="AD10" s="36">
        <f>VLOOKUP($A10,[29]HISTOAOUT24!$A$6:$AU$38,47,0)</f>
        <v>0</v>
      </c>
      <c r="AE10" s="36">
        <f>VLOOKUP(A10,[29]HISTOAOUT24!$A$6:$BB$38,54,0)</f>
        <v>0</v>
      </c>
      <c r="AF10" s="36">
        <f>VLOOKUP($A10,[29]HISTOAOUT24!$A$6:$CB$38,60,0)</f>
        <v>0</v>
      </c>
      <c r="AG10" s="36">
        <f>VLOOKUP($A10,[29]HISTOAOUT24!$A$6:$CB$38,61,0)</f>
        <v>0</v>
      </c>
      <c r="AH10" s="36">
        <f>VLOOKUP($A10,[29]HISTOAOUT24!$A$6:$CB$38,62,0)</f>
        <v>0</v>
      </c>
      <c r="AI10" s="36">
        <f>VLOOKUP($A10,[29]HISTOAOUT24!$A$6:$CB$38,63,0)</f>
        <v>0</v>
      </c>
      <c r="AJ10" s="36">
        <f>VLOOKUP($A10,[29]HISTOAOUT24!$A$6:$CB$38,64,0)</f>
        <v>0</v>
      </c>
      <c r="AK10" s="36">
        <f>VLOOKUP($A10,[29]HISTOAOUT24!$A$6:$CB$38,65,0)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VLOOKUP($A11,[29]HISTOAOUT24!$A$6:$BA$38,48,0)</f>
        <v>0</v>
      </c>
      <c r="F11" s="36">
        <f>MVTJUIL24!I11-E11+L11</f>
        <v>930536.82659030671</v>
      </c>
      <c r="G11" s="5">
        <f>IF(MVTJUIL24!I11+L11&gt;700000,(MVTJUIL24!I11-E11+L11),0)</f>
        <v>930536.82659030671</v>
      </c>
      <c r="H11" s="36">
        <f t="shared" si="0"/>
        <v>588.55736348530604</v>
      </c>
      <c r="I11" s="6">
        <f t="shared" si="2"/>
        <v>931125.38395379204</v>
      </c>
      <c r="J11" s="36">
        <f>VLOOKUP($A11,[29]HISTOAOUT24!$A$6:$AQ$42,22,0)</f>
        <v>0</v>
      </c>
      <c r="K11" s="36">
        <f>VLOOKUP($A11,[29]HISTOAOUT24!$A$6:$AU$38,45,0)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VLOOKUP($A11,[29]HISTOAOUT24!$A$6:$AU$38,7,0)</f>
        <v>0</v>
      </c>
      <c r="Q11" s="36">
        <f>VLOOKUP($A11,[29]HISTOAOUT24!$A$6:$AU$38,23,0)</f>
        <v>0</v>
      </c>
      <c r="R11" s="36">
        <f>VLOOKUP($A11,[29]HISTOAOUT24!$A$6:$AU$38,46,0)</f>
        <v>0</v>
      </c>
      <c r="S11" s="36">
        <f>VLOOKUP($A11,[29]HISTOAOUT24!$A$6:$AU$38,26,0)</f>
        <v>0</v>
      </c>
      <c r="T11" s="36">
        <f>VLOOKUP($A11,[29]HISTOAOUT24!$A$6:$BG$38,58,0)</f>
        <v>0</v>
      </c>
      <c r="U11" s="36">
        <f>VLOOKUP($A11,[29]HISTOAOUT24!$A$6:$AU$38,28,0)</f>
        <v>0</v>
      </c>
      <c r="V11" s="36">
        <f>VLOOKUP($A11,[29]HISTOAOUT24!$A$6:$AU$38,19,0)</f>
        <v>0</v>
      </c>
      <c r="W11" s="36">
        <f>VLOOKUP($A11,[29]HISTOAOUT24!$A$6:$AU$38,20,0)</f>
        <v>0</v>
      </c>
      <c r="X11" s="36">
        <f>VLOOKUP($A11,[29]HISTOAOUT24!$A$6:$AU$38,27,0)</f>
        <v>0</v>
      </c>
      <c r="Y11" s="36">
        <f>VLOOKUP($A11,[29]HISTOAOUT24!$A$6:$BM$38,33,0)</f>
        <v>0</v>
      </c>
      <c r="Z11" s="36">
        <f>VLOOKUP($A11,[29]HISTOAOUT24!$A$6:$BM$38,65,0)</f>
        <v>0</v>
      </c>
      <c r="AA11" s="36"/>
      <c r="AB11" s="36">
        <f>VLOOKUP($A11,[29]HISTOAOUT24!$A$6:$AU$38,43,0)</f>
        <v>0</v>
      </c>
      <c r="AC11" s="36">
        <f>VLOOKUP($A11,[29]HISTOAOUT24!$A$6:$AU$38,44,0)</f>
        <v>0</v>
      </c>
      <c r="AD11" s="36">
        <f>VLOOKUP($A11,[29]HISTOAOUT24!$A$6:$AU$38,47,0)</f>
        <v>0</v>
      </c>
      <c r="AE11" s="36">
        <f>VLOOKUP(A11,[29]HISTOAOUT24!$A$6:$BB$38,54,0)</f>
        <v>0</v>
      </c>
      <c r="AF11" s="36">
        <f>VLOOKUP($A11,[29]HISTOAOUT24!$A$6:$CB$38,60,0)</f>
        <v>0</v>
      </c>
      <c r="AG11" s="36">
        <f>VLOOKUP($A11,[29]HISTOAOUT24!$A$6:$CB$38,61,0)</f>
        <v>0</v>
      </c>
      <c r="AH11" s="36">
        <f>VLOOKUP($A11,[29]HISTOAOUT24!$A$6:$CB$38,62,0)</f>
        <v>0</v>
      </c>
      <c r="AI11" s="36">
        <f>VLOOKUP($A11,[29]HISTOAOUT24!$A$6:$CB$38,63,0)</f>
        <v>0</v>
      </c>
      <c r="AJ11" s="36">
        <f>VLOOKUP($A11,[29]HISTOAOUT24!$A$6:$CB$38,64,0)</f>
        <v>0</v>
      </c>
      <c r="AK11" s="36">
        <f>VLOOKUP($A11,[29]HISTOAOUT24!$A$6:$CB$38,65,0)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VLOOKUP($A12,[29]HISTOAOUT24!$A$6:$BA$38,48,0)</f>
        <v>0</v>
      </c>
      <c r="F12" s="36">
        <f>MVTJUIL24!I12-E12+L12</f>
        <v>969677.07928367169</v>
      </c>
      <c r="G12" s="5">
        <f>IF(MVTJUIL24!I12+L12&gt;700000,(MVTJUIL24!I12-E12+L12),0)</f>
        <v>969677.07928367169</v>
      </c>
      <c r="H12" s="36">
        <f t="shared" si="0"/>
        <v>613.31327133665422</v>
      </c>
      <c r="I12" s="6">
        <f t="shared" si="2"/>
        <v>970290.39255500829</v>
      </c>
      <c r="J12" s="36">
        <f>VLOOKUP($A12,[29]HISTOAOUT24!$A$6:$AQ$42,22,0)</f>
        <v>0</v>
      </c>
      <c r="K12" s="36">
        <f>VLOOKUP($A12,[29]HISTOAOUT24!$A$6:$AU$38,45,0)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VLOOKUP($A12,[29]HISTOAOUT24!$A$6:$AU$38,7,0)</f>
        <v>0</v>
      </c>
      <c r="Q12" s="36">
        <f>VLOOKUP($A12,[29]HISTOAOUT24!$A$6:$AU$38,23,0)</f>
        <v>0</v>
      </c>
      <c r="R12" s="36">
        <f>VLOOKUP($A12,[29]HISTOAOUT24!$A$6:$AU$38,46,0)</f>
        <v>0</v>
      </c>
      <c r="S12" s="36">
        <f>VLOOKUP($A12,[29]HISTOAOUT24!$A$6:$AU$38,26,0)</f>
        <v>0</v>
      </c>
      <c r="T12" s="36">
        <f>VLOOKUP($A12,[29]HISTOAOUT24!$A$6:$BG$38,58,0)</f>
        <v>0</v>
      </c>
      <c r="U12" s="36">
        <f>VLOOKUP($A12,[29]HISTOAOUT24!$A$6:$AU$38,28,0)</f>
        <v>0</v>
      </c>
      <c r="V12" s="36">
        <f>VLOOKUP($A12,[29]HISTOAOUT24!$A$6:$AU$38,19,0)</f>
        <v>0</v>
      </c>
      <c r="W12" s="36">
        <f>VLOOKUP($A12,[29]HISTOAOUT24!$A$6:$AU$38,20,0)</f>
        <v>0</v>
      </c>
      <c r="X12" s="36">
        <f>VLOOKUP($A12,[29]HISTOAOUT24!$A$6:$AU$38,27,0)</f>
        <v>0</v>
      </c>
      <c r="Y12" s="36">
        <f>VLOOKUP($A12,[29]HISTOAOUT24!$A$6:$BM$38,33,0)</f>
        <v>0</v>
      </c>
      <c r="Z12" s="36">
        <f>VLOOKUP($A12,[29]HISTOAOUT24!$A$6:$BM$38,65,0)</f>
        <v>0</v>
      </c>
      <c r="AA12" s="36"/>
      <c r="AB12" s="36">
        <f>VLOOKUP($A12,[29]HISTOAOUT24!$A$6:$AU$38,43,0)</f>
        <v>0</v>
      </c>
      <c r="AC12" s="36">
        <f>VLOOKUP($A12,[29]HISTOAOUT24!$A$6:$AU$38,44,0)</f>
        <v>0</v>
      </c>
      <c r="AD12" s="36">
        <f>VLOOKUP($A12,[29]HISTOAOUT24!$A$6:$AU$38,47,0)</f>
        <v>0</v>
      </c>
      <c r="AE12" s="36">
        <f>VLOOKUP(A12,[29]HISTOAOUT24!$A$6:$BB$38,54,0)</f>
        <v>0</v>
      </c>
      <c r="AF12" s="36">
        <f>VLOOKUP($A12,[29]HISTOAOUT24!$A$6:$CB$38,60,0)</f>
        <v>0</v>
      </c>
      <c r="AG12" s="36">
        <f>VLOOKUP($A12,[29]HISTOAOUT24!$A$6:$CB$38,61,0)</f>
        <v>0</v>
      </c>
      <c r="AH12" s="36">
        <f>VLOOKUP($A12,[29]HISTOAOUT24!$A$6:$CB$38,62,0)</f>
        <v>0</v>
      </c>
      <c r="AI12" s="36">
        <f>VLOOKUP($A12,[29]HISTOAOUT24!$A$6:$CB$38,63,0)</f>
        <v>0</v>
      </c>
      <c r="AJ12" s="36">
        <f>VLOOKUP($A12,[29]HISTOAOUT24!$A$6:$CB$38,64,0)</f>
        <v>0</v>
      </c>
      <c r="AK12" s="36">
        <f>VLOOKUP($A12,[29]HISTOAOUT24!$A$6:$CB$38,65,0)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VLOOKUP($A13,[29]HISTOAOUT24!$A$6:$BA$38,48,0)</f>
        <v>0</v>
      </c>
      <c r="F13" s="36">
        <f>MVTJUIL24!I13-E13+L13</f>
        <v>908010.59443069028</v>
      </c>
      <c r="G13" s="5">
        <f>IF(MVTJUIL24!I13+L13&gt;700000,(MVTJUIL24!I13-E13+L13),0)</f>
        <v>908010.59443069028</v>
      </c>
      <c r="H13" s="36">
        <f t="shared" si="0"/>
        <v>574.30969544007462</v>
      </c>
      <c r="I13" s="6">
        <f t="shared" si="2"/>
        <v>908584.90412613039</v>
      </c>
      <c r="J13" s="36">
        <f>VLOOKUP($A13,[29]HISTOAOUT24!$A$6:$AQ$42,22,0)</f>
        <v>0</v>
      </c>
      <c r="K13" s="36">
        <f>VLOOKUP($A13,[29]HISTOAOUT24!$A$6:$AU$38,45,0)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VLOOKUP($A13,[29]HISTOAOUT24!$A$6:$AU$38,7,0)</f>
        <v>0</v>
      </c>
      <c r="Q13" s="36">
        <f>VLOOKUP($A13,[29]HISTOAOUT24!$A$6:$AU$38,23,0)</f>
        <v>0</v>
      </c>
      <c r="R13" s="36">
        <f>VLOOKUP($A13,[29]HISTOAOUT24!$A$6:$AU$38,46,0)</f>
        <v>0</v>
      </c>
      <c r="S13" s="36">
        <f>VLOOKUP($A13,[29]HISTOAOUT24!$A$6:$AU$38,26,0)</f>
        <v>0</v>
      </c>
      <c r="T13" s="36">
        <f>VLOOKUP($A13,[29]HISTOAOUT24!$A$6:$BG$38,58,0)</f>
        <v>0</v>
      </c>
      <c r="U13" s="36">
        <f>VLOOKUP($A13,[29]HISTOAOUT24!$A$6:$AU$38,28,0)</f>
        <v>0</v>
      </c>
      <c r="V13" s="36">
        <f>VLOOKUP($A13,[29]HISTOAOUT24!$A$6:$AU$38,19,0)</f>
        <v>0</v>
      </c>
      <c r="W13" s="36">
        <f>VLOOKUP($A13,[29]HISTOAOUT24!$A$6:$AU$38,20,0)</f>
        <v>0</v>
      </c>
      <c r="X13" s="36">
        <f>VLOOKUP($A13,[29]HISTOAOUT24!$A$6:$AU$38,27,0)</f>
        <v>0</v>
      </c>
      <c r="Y13" s="36">
        <f>VLOOKUP($A13,[29]HISTOAOUT24!$A$6:$BM$38,33,0)</f>
        <v>0</v>
      </c>
      <c r="Z13" s="36">
        <f>VLOOKUP($A13,[29]HISTOAOUT24!$A$6:$BM$38,65,0)</f>
        <v>0</v>
      </c>
      <c r="AA13" s="36"/>
      <c r="AB13" s="36">
        <f>VLOOKUP($A13,[29]HISTOAOUT24!$A$6:$AU$38,43,0)</f>
        <v>0</v>
      </c>
      <c r="AC13" s="36">
        <f>VLOOKUP($A13,[29]HISTOAOUT24!$A$6:$AU$38,44,0)</f>
        <v>0</v>
      </c>
      <c r="AD13" s="36">
        <f>VLOOKUP($A13,[29]HISTOAOUT24!$A$6:$AU$38,47,0)</f>
        <v>0</v>
      </c>
      <c r="AE13" s="36">
        <f>VLOOKUP(A13,[29]HISTOAOUT24!$A$6:$BB$38,54,0)</f>
        <v>0</v>
      </c>
      <c r="AF13" s="36">
        <f>VLOOKUP($A13,[29]HISTOAOUT24!$A$6:$CB$38,60,0)</f>
        <v>0</v>
      </c>
      <c r="AG13" s="36">
        <f>VLOOKUP($A13,[29]HISTOAOUT24!$A$6:$CB$38,61,0)</f>
        <v>0</v>
      </c>
      <c r="AH13" s="36">
        <f>VLOOKUP($A13,[29]HISTOAOUT24!$A$6:$CB$38,62,0)</f>
        <v>0</v>
      </c>
      <c r="AI13" s="36">
        <f>VLOOKUP($A13,[29]HISTOAOUT24!$A$6:$CB$38,63,0)</f>
        <v>0</v>
      </c>
      <c r="AJ13" s="36">
        <f>VLOOKUP($A13,[29]HISTOAOUT24!$A$6:$CB$38,64,0)</f>
        <v>0</v>
      </c>
      <c r="AK13" s="36">
        <f>VLOOKUP($A13,[29]HISTOAOUT24!$A$6:$CB$38,65,0)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VLOOKUP($A14,[29]HISTOAOUT24!$A$6:$BA$38,48,0)</f>
        <v>0</v>
      </c>
      <c r="F14" s="36">
        <f>MVTJUIL24!I14-E14+L14</f>
        <v>1466197.2822350764</v>
      </c>
      <c r="G14" s="5">
        <f>IF(MVTJUIL24!I14+L14&gt;700000,(MVTJUIL24!I14-E14+L14),0)</f>
        <v>1466197.2822350764</v>
      </c>
      <c r="H14" s="36">
        <f t="shared" si="0"/>
        <v>927.35846892122015</v>
      </c>
      <c r="I14" s="6">
        <f t="shared" si="2"/>
        <v>1467124.6407039976</v>
      </c>
      <c r="J14" s="36">
        <f>VLOOKUP($A14,[29]HISTOAOUT24!$A$6:$AQ$42,22,0)</f>
        <v>0</v>
      </c>
      <c r="K14" s="36">
        <f>VLOOKUP($A14,[29]HISTOAOUT24!$A$6:$AU$38,45,0)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VLOOKUP($A14,[29]HISTOAOUT24!$A$6:$AU$38,7,0)</f>
        <v>0</v>
      </c>
      <c r="Q14" s="36">
        <f>VLOOKUP($A14,[29]HISTOAOUT24!$A$6:$AU$38,23,0)</f>
        <v>0</v>
      </c>
      <c r="R14" s="36">
        <f>VLOOKUP($A14,[29]HISTOAOUT24!$A$6:$AU$38,46,0)</f>
        <v>0</v>
      </c>
      <c r="S14" s="36">
        <f>VLOOKUP($A14,[29]HISTOAOUT24!$A$6:$AU$38,26,0)</f>
        <v>0</v>
      </c>
      <c r="T14" s="36">
        <f>VLOOKUP($A14,[29]HISTOAOUT24!$A$6:$BG$38,58,0)</f>
        <v>0</v>
      </c>
      <c r="U14" s="36">
        <f>VLOOKUP($A14,[29]HISTOAOUT24!$A$6:$AU$38,28,0)</f>
        <v>0</v>
      </c>
      <c r="V14" s="36">
        <f>VLOOKUP($A14,[29]HISTOAOUT24!$A$6:$AU$38,19,0)</f>
        <v>0</v>
      </c>
      <c r="W14" s="36">
        <f>VLOOKUP($A14,[29]HISTOAOUT24!$A$6:$AU$38,20,0)</f>
        <v>0</v>
      </c>
      <c r="X14" s="36">
        <f>VLOOKUP($A14,[29]HISTOAOUT24!$A$6:$AU$38,27,0)</f>
        <v>0</v>
      </c>
      <c r="Y14" s="36">
        <f>VLOOKUP($A14,[29]HISTOAOUT24!$A$6:$BM$38,33,0)</f>
        <v>0</v>
      </c>
      <c r="Z14" s="36">
        <f>VLOOKUP($A14,[29]HISTOAOUT24!$A$6:$BM$38,65,0)</f>
        <v>0</v>
      </c>
      <c r="AA14" s="36"/>
      <c r="AB14" s="36">
        <f>VLOOKUP($A14,[29]HISTOAOUT24!$A$6:$AU$38,43,0)</f>
        <v>0</v>
      </c>
      <c r="AC14" s="36">
        <f>VLOOKUP($A14,[29]HISTOAOUT24!$A$6:$AU$38,44,0)</f>
        <v>0</v>
      </c>
      <c r="AD14" s="36">
        <f>VLOOKUP($A14,[29]HISTOAOUT24!$A$6:$AU$38,47,0)</f>
        <v>0</v>
      </c>
      <c r="AE14" s="36">
        <f>VLOOKUP(A14,[29]HISTOAOUT24!$A$6:$BB$38,54,0)</f>
        <v>0</v>
      </c>
      <c r="AF14" s="36">
        <f>VLOOKUP($A14,[29]HISTOAOUT24!$A$6:$CB$38,60,0)</f>
        <v>0</v>
      </c>
      <c r="AG14" s="36">
        <f>VLOOKUP($A14,[29]HISTOAOUT24!$A$6:$CB$38,61,0)</f>
        <v>0</v>
      </c>
      <c r="AH14" s="36">
        <f>VLOOKUP($A14,[29]HISTOAOUT24!$A$6:$CB$38,62,0)</f>
        <v>0</v>
      </c>
      <c r="AI14" s="36">
        <f>VLOOKUP($A14,[29]HISTOAOUT24!$A$6:$CB$38,63,0)</f>
        <v>0</v>
      </c>
      <c r="AJ14" s="36">
        <f>VLOOKUP($A14,[29]HISTOAOUT24!$A$6:$CB$38,64,0)</f>
        <v>0</v>
      </c>
      <c r="AK14" s="36">
        <f>VLOOKUP($A14,[29]HISTOAOUT24!$A$6:$CB$38,65,0)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VLOOKUP($A15,[29]HISTOAOUT24!$A$6:$BA$38,48,0)</f>
        <v>0</v>
      </c>
      <c r="F15" s="36">
        <f>MVTJUIL24!I15-E15+L15</f>
        <v>970358.83895888424</v>
      </c>
      <c r="G15" s="5">
        <f>IF(MVTJUIL24!I15+L15&gt;700000,(MVTJUIL24!I15-E15+L15),0)</f>
        <v>970358.83895888424</v>
      </c>
      <c r="H15" s="36">
        <f t="shared" si="0"/>
        <v>613.7444790712733</v>
      </c>
      <c r="I15" s="6">
        <f t="shared" si="2"/>
        <v>970972.58343795547</v>
      </c>
      <c r="J15" s="36">
        <f>VLOOKUP($A15,[29]HISTOAOUT24!$A$6:$AQ$42,22,0)</f>
        <v>0</v>
      </c>
      <c r="K15" s="36">
        <f>VLOOKUP($A15,[29]HISTOAOUT24!$A$6:$AU$38,45,0)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VLOOKUP($A15,[29]HISTOAOUT24!$A$6:$AU$38,7,0)</f>
        <v>0</v>
      </c>
      <c r="Q15" s="36">
        <f>VLOOKUP($A15,[29]HISTOAOUT24!$A$6:$AU$38,23,0)</f>
        <v>0</v>
      </c>
      <c r="R15" s="36">
        <f>VLOOKUP($A15,[29]HISTOAOUT24!$A$6:$AU$38,46,0)</f>
        <v>0</v>
      </c>
      <c r="S15" s="36">
        <f>VLOOKUP($A15,[29]HISTOAOUT24!$A$6:$AU$38,26,0)</f>
        <v>0</v>
      </c>
      <c r="T15" s="36">
        <f>VLOOKUP($A15,[29]HISTOAOUT24!$A$6:$BG$38,58,0)</f>
        <v>0</v>
      </c>
      <c r="U15" s="36">
        <f>VLOOKUP($A15,[29]HISTOAOUT24!$A$6:$AU$38,28,0)</f>
        <v>0</v>
      </c>
      <c r="V15" s="36">
        <f>VLOOKUP($A15,[29]HISTOAOUT24!$A$6:$AU$38,19,0)</f>
        <v>0</v>
      </c>
      <c r="W15" s="36">
        <f>VLOOKUP($A15,[29]HISTOAOUT24!$A$6:$AU$38,20,0)</f>
        <v>0</v>
      </c>
      <c r="X15" s="36">
        <f>VLOOKUP($A15,[29]HISTOAOUT24!$A$6:$AU$38,27,0)</f>
        <v>0</v>
      </c>
      <c r="Y15" s="36">
        <f>VLOOKUP($A15,[29]HISTOAOUT24!$A$6:$BM$38,33,0)</f>
        <v>0</v>
      </c>
      <c r="Z15" s="36">
        <f>VLOOKUP($A15,[29]HISTOAOUT24!$A$6:$BM$38,65,0)</f>
        <v>0</v>
      </c>
      <c r="AA15" s="36"/>
      <c r="AB15" s="36">
        <f>VLOOKUP($A15,[29]HISTOAOUT24!$A$6:$AU$38,43,0)</f>
        <v>0</v>
      </c>
      <c r="AC15" s="36">
        <f>VLOOKUP($A15,[29]HISTOAOUT24!$A$6:$AU$38,44,0)</f>
        <v>0</v>
      </c>
      <c r="AD15" s="36">
        <f>VLOOKUP($A15,[29]HISTOAOUT24!$A$6:$AU$38,47,0)</f>
        <v>0</v>
      </c>
      <c r="AE15" s="36">
        <f>VLOOKUP(A15,[29]HISTOAOUT24!$A$6:$BB$38,54,0)</f>
        <v>0</v>
      </c>
      <c r="AF15" s="36">
        <f>VLOOKUP($A15,[29]HISTOAOUT24!$A$6:$CB$38,60,0)</f>
        <v>0</v>
      </c>
      <c r="AG15" s="36">
        <f>VLOOKUP($A15,[29]HISTOAOUT24!$A$6:$CB$38,61,0)</f>
        <v>0</v>
      </c>
      <c r="AH15" s="36">
        <f>VLOOKUP($A15,[29]HISTOAOUT24!$A$6:$CB$38,62,0)</f>
        <v>0</v>
      </c>
      <c r="AI15" s="36">
        <f>VLOOKUP($A15,[29]HISTOAOUT24!$A$6:$CB$38,63,0)</f>
        <v>0</v>
      </c>
      <c r="AJ15" s="36">
        <f>VLOOKUP($A15,[29]HISTOAOUT24!$A$6:$CB$38,64,0)</f>
        <v>0</v>
      </c>
      <c r="AK15" s="36">
        <f>VLOOKUP($A15,[29]HISTOAOUT24!$A$6:$CB$38,65,0)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VLOOKUP($A16,[29]HISTOAOUT24!$A$6:$BA$38,48,0)</f>
        <v>0</v>
      </c>
      <c r="F16" s="36">
        <f>MVTJUIL24!I16-E16+L16</f>
        <v>1201876.9003433483</v>
      </c>
      <c r="G16" s="5">
        <f>IF(MVTJUIL24!I16+L16&gt;700000,(MVTJUIL24!I16-E16+L16),0)</f>
        <v>1201876.9003433483</v>
      </c>
      <c r="H16" s="36">
        <f t="shared" si="0"/>
        <v>760.1778666750314</v>
      </c>
      <c r="I16" s="6">
        <f t="shared" si="2"/>
        <v>1202637.0782100232</v>
      </c>
      <c r="J16" s="36">
        <f>VLOOKUP($A16,[29]HISTOAOUT24!$A$6:$AQ$42,22,0)</f>
        <v>0</v>
      </c>
      <c r="K16" s="36">
        <f>VLOOKUP($A16,[29]HISTOAOUT24!$A$6:$AU$38,45,0)</f>
        <v>59000</v>
      </c>
      <c r="L16" s="36">
        <f t="shared" si="3"/>
        <v>53000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VLOOKUP($A16,[29]HISTOAOUT24!$A$6:$AU$38,7,0)</f>
        <v>0</v>
      </c>
      <c r="Q16" s="36">
        <f>VLOOKUP($A16,[29]HISTOAOUT24!$A$6:$AU$38,23,0)</f>
        <v>0</v>
      </c>
      <c r="R16" s="36">
        <f>VLOOKUP($A16,[29]HISTOAOUT24!$A$6:$AU$38,46,0)</f>
        <v>0</v>
      </c>
      <c r="S16" s="36">
        <f>VLOOKUP($A16,[29]HISTOAOUT24!$A$6:$AU$38,26,0)</f>
        <v>0</v>
      </c>
      <c r="T16" s="36">
        <f>VLOOKUP($A16,[29]HISTOAOUT24!$A$6:$BG$38,58,0)</f>
        <v>0</v>
      </c>
      <c r="U16" s="36">
        <f>VLOOKUP($A16,[29]HISTOAOUT24!$A$6:$AU$38,28,0)</f>
        <v>0</v>
      </c>
      <c r="V16" s="36">
        <f>VLOOKUP($A16,[29]HISTOAOUT24!$A$6:$AU$38,19,0)</f>
        <v>0</v>
      </c>
      <c r="W16" s="36">
        <f>VLOOKUP($A16,[29]HISTOAOUT24!$A$6:$AU$38,20,0)</f>
        <v>0</v>
      </c>
      <c r="X16" s="36">
        <f>VLOOKUP($A16,[29]HISTOAOUT24!$A$6:$AU$38,27,0)</f>
        <v>0</v>
      </c>
      <c r="Y16" s="36">
        <f>VLOOKUP($A16,[29]HISTOAOUT24!$A$6:$BM$38,33,0)</f>
        <v>0</v>
      </c>
      <c r="Z16" s="36">
        <f>VLOOKUP($A16,[29]HISTOAOUT24!$A$6:$BM$38,65,0)</f>
        <v>0</v>
      </c>
      <c r="AA16" s="36"/>
      <c r="AB16" s="36">
        <f>VLOOKUP($A16,[29]HISTOAOUT24!$A$6:$AU$38,43,0)</f>
        <v>0</v>
      </c>
      <c r="AC16" s="36">
        <f>VLOOKUP($A16,[29]HISTOAOUT24!$A$6:$AU$38,44,0)</f>
        <v>0</v>
      </c>
      <c r="AD16" s="36">
        <f>VLOOKUP($A16,[29]HISTOAOUT24!$A$6:$AU$38,47,0)</f>
        <v>0</v>
      </c>
      <c r="AE16" s="36">
        <f>VLOOKUP(A16,[29]HISTOAOUT24!$A$6:$BB$38,54,0)</f>
        <v>0</v>
      </c>
      <c r="AF16" s="36">
        <f>VLOOKUP($A16,[29]HISTOAOUT24!$A$6:$CB$38,60,0)</f>
        <v>0</v>
      </c>
      <c r="AG16" s="36">
        <f>VLOOKUP($A16,[29]HISTOAOUT24!$A$6:$CB$38,61,0)</f>
        <v>0</v>
      </c>
      <c r="AH16" s="36">
        <f>VLOOKUP($A16,[29]HISTOAOUT24!$A$6:$CB$38,62,0)</f>
        <v>0</v>
      </c>
      <c r="AI16" s="36">
        <f>VLOOKUP($A16,[29]HISTOAOUT24!$A$6:$CB$38,63,0)</f>
        <v>0</v>
      </c>
      <c r="AJ16" s="36">
        <f>VLOOKUP($A16,[29]HISTOAOUT24!$A$6:$CB$38,64,0)</f>
        <v>0</v>
      </c>
      <c r="AK16" s="36">
        <f>VLOOKUP($A16,[29]HISTOAOUT24!$A$6:$CB$38,65,0)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VLOOKUP($A17,[29]HISTOAOUT24!$A$6:$BA$38,48,0)</f>
        <v>0</v>
      </c>
      <c r="F17" s="36">
        <f>MVTJUIL24!I17-E17+L17</f>
        <v>913456.80339617981</v>
      </c>
      <c r="G17" s="5">
        <f>IF(MVTJUIL24!I17+L17&gt;700000,(MVTJUIL24!I17-E17+L17),0)</f>
        <v>913456.80339617981</v>
      </c>
      <c r="H17" s="36">
        <f t="shared" si="0"/>
        <v>577.75438059183148</v>
      </c>
      <c r="I17" s="6">
        <f t="shared" si="2"/>
        <v>914034.5577767716</v>
      </c>
      <c r="J17" s="36">
        <f>VLOOKUP($A17,[29]HISTOAOUT24!$A$6:$AQ$42,22,0)</f>
        <v>0</v>
      </c>
      <c r="K17" s="36">
        <f>VLOOKUP($A17,[29]HISTOAOUT24!$A$6:$AU$38,45,0)</f>
        <v>20000</v>
      </c>
      <c r="L17" s="36">
        <f t="shared" si="3"/>
        <v>14000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VLOOKUP($A17,[29]HISTOAOUT24!$A$6:$AU$38,7,0)</f>
        <v>0</v>
      </c>
      <c r="Q17" s="36">
        <f>VLOOKUP($A17,[29]HISTOAOUT24!$A$6:$AU$38,23,0)</f>
        <v>0</v>
      </c>
      <c r="R17" s="36">
        <f>VLOOKUP($A17,[29]HISTOAOUT24!$A$6:$AU$38,46,0)</f>
        <v>0</v>
      </c>
      <c r="S17" s="36">
        <f>VLOOKUP($A17,[29]HISTOAOUT24!$A$6:$AU$38,26,0)</f>
        <v>0</v>
      </c>
      <c r="T17" s="36">
        <f>VLOOKUP($A17,[29]HISTOAOUT24!$A$6:$BG$38,58,0)</f>
        <v>0</v>
      </c>
      <c r="U17" s="36">
        <f>VLOOKUP($A17,[29]HISTOAOUT24!$A$6:$AU$38,28,0)</f>
        <v>0</v>
      </c>
      <c r="V17" s="36">
        <f>VLOOKUP($A17,[29]HISTOAOUT24!$A$6:$AU$38,19,0)</f>
        <v>0</v>
      </c>
      <c r="W17" s="36">
        <f>VLOOKUP($A17,[29]HISTOAOUT24!$A$6:$AU$38,20,0)</f>
        <v>0</v>
      </c>
      <c r="X17" s="36">
        <f>VLOOKUP($A17,[29]HISTOAOUT24!$A$6:$AU$38,27,0)</f>
        <v>0</v>
      </c>
      <c r="Y17" s="36">
        <f>VLOOKUP($A17,[29]HISTOAOUT24!$A$6:$BM$38,33,0)</f>
        <v>0</v>
      </c>
      <c r="Z17" s="36">
        <f>VLOOKUP($A17,[29]HISTOAOUT24!$A$6:$BM$38,65,0)</f>
        <v>0</v>
      </c>
      <c r="AA17" s="36"/>
      <c r="AB17" s="36">
        <f>VLOOKUP($A17,[29]HISTOAOUT24!$A$6:$AU$38,43,0)</f>
        <v>0</v>
      </c>
      <c r="AC17" s="36">
        <f>VLOOKUP($A17,[29]HISTOAOUT24!$A$6:$AU$38,44,0)</f>
        <v>0</v>
      </c>
      <c r="AD17" s="36">
        <f>VLOOKUP($A17,[29]HISTOAOUT24!$A$6:$AU$38,47,0)</f>
        <v>0</v>
      </c>
      <c r="AE17" s="36">
        <f>VLOOKUP(A17,[29]HISTOAOUT24!$A$6:$BB$38,54,0)</f>
        <v>0</v>
      </c>
      <c r="AF17" s="36">
        <f>VLOOKUP($A17,[29]HISTOAOUT24!$A$6:$CB$38,60,0)</f>
        <v>0</v>
      </c>
      <c r="AG17" s="36">
        <f>VLOOKUP($A17,[29]HISTOAOUT24!$A$6:$CB$38,61,0)</f>
        <v>0</v>
      </c>
      <c r="AH17" s="36">
        <f>VLOOKUP($A17,[29]HISTOAOUT24!$A$6:$CB$38,62,0)</f>
        <v>0</v>
      </c>
      <c r="AI17" s="36">
        <f>VLOOKUP($A17,[29]HISTOAOUT24!$A$6:$CB$38,63,0)</f>
        <v>0</v>
      </c>
      <c r="AJ17" s="36">
        <f>VLOOKUP($A17,[29]HISTOAOUT24!$A$6:$CB$38,64,0)</f>
        <v>0</v>
      </c>
      <c r="AK17" s="36">
        <f>VLOOKUP($A17,[29]HISTOAOUT24!$A$6:$CB$38,65,0)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VLOOKUP($A18,[29]HISTOAOUT24!$A$6:$BA$38,48,0)</f>
        <v>0</v>
      </c>
      <c r="F18" s="36">
        <f>MVTJUIL24!I18-E18+L18</f>
        <v>1002926.9928012574</v>
      </c>
      <c r="G18" s="5">
        <f>IF(MVTJUIL24!I18+L18&gt;700000,(MVTJUIL24!I18-E18+L18),0)</f>
        <v>1002926.9928012574</v>
      </c>
      <c r="H18" s="36">
        <f t="shared" si="0"/>
        <v>634.34358510481707</v>
      </c>
      <c r="I18" s="6">
        <f t="shared" si="2"/>
        <v>1003561.3363863622</v>
      </c>
      <c r="J18" s="36">
        <f>VLOOKUP($A18,[29]HISTOAOUT24!$A$6:$AQ$42,22,0)</f>
        <v>0</v>
      </c>
      <c r="K18" s="36">
        <f>VLOOKUP($A18,[29]HISTOAOUT24!$A$6:$AU$38,45,0)</f>
        <v>33000</v>
      </c>
      <c r="L18" s="36">
        <f t="shared" si="3"/>
        <v>27000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VLOOKUP($A18,[29]HISTOAOUT24!$A$6:$AU$38,7,0)</f>
        <v>0</v>
      </c>
      <c r="Q18" s="36">
        <f>VLOOKUP($A18,[29]HISTOAOUT24!$A$6:$AU$38,23,0)</f>
        <v>0</v>
      </c>
      <c r="R18" s="36">
        <f>VLOOKUP($A18,[29]HISTOAOUT24!$A$6:$AU$38,46,0)</f>
        <v>0</v>
      </c>
      <c r="S18" s="36">
        <f>VLOOKUP($A18,[29]HISTOAOUT24!$A$6:$AU$38,26,0)</f>
        <v>0</v>
      </c>
      <c r="T18" s="36">
        <f>VLOOKUP($A18,[29]HISTOAOUT24!$A$6:$BG$38,58,0)</f>
        <v>0</v>
      </c>
      <c r="U18" s="36">
        <f>VLOOKUP($A18,[29]HISTOAOUT24!$A$6:$AU$38,28,0)</f>
        <v>0</v>
      </c>
      <c r="V18" s="36">
        <f>VLOOKUP($A18,[29]HISTOAOUT24!$A$6:$AU$38,19,0)</f>
        <v>0</v>
      </c>
      <c r="W18" s="36">
        <f>VLOOKUP($A18,[29]HISTOAOUT24!$A$6:$AU$38,20,0)</f>
        <v>0</v>
      </c>
      <c r="X18" s="36">
        <f>VLOOKUP($A18,[29]HISTOAOUT24!$A$6:$AU$38,27,0)</f>
        <v>0</v>
      </c>
      <c r="Y18" s="36">
        <f>VLOOKUP($A18,[29]HISTOAOUT24!$A$6:$BM$38,33,0)</f>
        <v>0</v>
      </c>
      <c r="Z18" s="36">
        <f>VLOOKUP($A18,[29]HISTOAOUT24!$A$6:$BM$38,65,0)</f>
        <v>0</v>
      </c>
      <c r="AA18" s="36"/>
      <c r="AB18" s="36">
        <f>VLOOKUP($A18,[29]HISTOAOUT24!$A$6:$AU$38,43,0)</f>
        <v>0</v>
      </c>
      <c r="AC18" s="36">
        <f>VLOOKUP($A18,[29]HISTOAOUT24!$A$6:$AU$38,44,0)</f>
        <v>0</v>
      </c>
      <c r="AD18" s="36">
        <f>VLOOKUP($A18,[29]HISTOAOUT24!$A$6:$AU$38,47,0)</f>
        <v>0</v>
      </c>
      <c r="AE18" s="36">
        <f>VLOOKUP(A18,[29]HISTOAOUT24!$A$6:$BB$38,54,0)</f>
        <v>0</v>
      </c>
      <c r="AF18" s="36">
        <f>VLOOKUP($A18,[29]HISTOAOUT24!$A$6:$CB$38,60,0)</f>
        <v>0</v>
      </c>
      <c r="AG18" s="36">
        <f>VLOOKUP($A18,[29]HISTOAOUT24!$A$6:$CB$38,61,0)</f>
        <v>0</v>
      </c>
      <c r="AH18" s="36">
        <f>VLOOKUP($A18,[29]HISTOAOUT24!$A$6:$CB$38,62,0)</f>
        <v>0</v>
      </c>
      <c r="AI18" s="36">
        <f>VLOOKUP($A18,[29]HISTOAOUT24!$A$6:$CB$38,63,0)</f>
        <v>0</v>
      </c>
      <c r="AJ18" s="36">
        <f>VLOOKUP($A18,[29]HISTOAOUT24!$A$6:$CB$38,64,0)</f>
        <v>0</v>
      </c>
      <c r="AK18" s="36">
        <f>VLOOKUP($A18,[29]HISTOAOUT24!$A$6:$CB$38,65,0)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MVTJUIL24!I19-E19+L19</f>
        <v>676217</v>
      </c>
      <c r="G19" s="5">
        <f>IF(MVTJUIL24!I19+L19&gt;700000,(MVTJUIL24!I19-E19+L19),0)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MVTJUIL24!I20-E20+L20</f>
        <v>152000</v>
      </c>
      <c r="G20" s="5">
        <f>IF(MVTJUIL24!I20+L20&gt;700000,(MVTJUIL24!I20-E20+L20),0)</f>
        <v>0</v>
      </c>
      <c r="H20" s="36">
        <f t="shared" si="0"/>
        <v>0</v>
      </c>
      <c r="I20" s="6">
        <f t="shared" si="2"/>
        <v>152000</v>
      </c>
      <c r="J20" s="36">
        <f>VLOOKUP($A20,[29]HISTOAOUT24!$A$6:$AQ$42,22,0)</f>
        <v>0</v>
      </c>
      <c r="K20" s="36">
        <f>VLOOKUP($A20,[29]HISTOAOUT24!$A$6:$AU$38,45,0)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VLOOKUP($A20,[29]HISTOAOUT24!$A$6:$AU$38,7,0)</f>
        <v>0</v>
      </c>
      <c r="Q20" s="36">
        <f>VLOOKUP($A20,[29]HISTOAOUT24!$A$6:$AU$38,23,0)</f>
        <v>0</v>
      </c>
      <c r="R20" s="36">
        <f>VLOOKUP($A20,[29]HISTOAOUT24!$A$6:$AU$38,46,0)</f>
        <v>0</v>
      </c>
      <c r="S20" s="36">
        <f>VLOOKUP($A20,[29]HISTOAOUT24!$A$6:$AU$38,26,0)</f>
        <v>0</v>
      </c>
      <c r="T20" s="36">
        <f>VLOOKUP($A20,[29]HISTOAOUT24!$A$6:$BG$38,58,0)</f>
        <v>0</v>
      </c>
      <c r="U20" s="36">
        <f>VLOOKUP($A20,[29]HISTOAOUT24!$A$6:$AU$38,28,0)</f>
        <v>0</v>
      </c>
      <c r="V20" s="36">
        <f>VLOOKUP($A20,[29]HISTOAOUT24!$A$6:$AU$38,19,0)</f>
        <v>0</v>
      </c>
      <c r="W20" s="36">
        <f>VLOOKUP($A20,[29]HISTOAOUT24!$A$6:$AU$38,20,0)</f>
        <v>0</v>
      </c>
      <c r="X20" s="36">
        <f>VLOOKUP($A20,[29]HISTOAOUT24!$A$6:$AU$38,27,0)</f>
        <v>0</v>
      </c>
      <c r="Y20" s="36">
        <f>VLOOKUP($A20,[29]HISTOAOUT24!$A$6:$BM$38,33,0)</f>
        <v>0</v>
      </c>
      <c r="Z20" s="36">
        <f>VLOOKUP($A20,[29]HISTOAOUT24!$A$6:$BM$38,65,0)</f>
        <v>0</v>
      </c>
      <c r="AA20" s="36"/>
      <c r="AB20" s="36">
        <f>VLOOKUP($A20,[29]HISTOAOUT24!$A$6:$AU$38,43,0)</f>
        <v>0</v>
      </c>
      <c r="AC20" s="36">
        <f>VLOOKUP($A20,[29]HISTOAOUT24!$A$6:$AU$38,44,0)</f>
        <v>0</v>
      </c>
      <c r="AD20" s="36">
        <f>VLOOKUP($A20,[29]HISTOAOUT24!$A$6:$AU$38,47,0)</f>
        <v>0</v>
      </c>
      <c r="AE20" s="36">
        <f>VLOOKUP(A20,[29]HISTOAOUT24!$A$6:$BB$38,54,0)</f>
        <v>0</v>
      </c>
      <c r="AF20" s="36">
        <f>VLOOKUP($A20,[29]HISTOAOUT24!$A$6:$CB$38,60,0)</f>
        <v>0</v>
      </c>
      <c r="AG20" s="36">
        <f>VLOOKUP($A20,[29]HISTOAOUT24!$A$6:$CB$38,61,0)</f>
        <v>0</v>
      </c>
      <c r="AH20" s="36">
        <f>VLOOKUP($A20,[29]HISTOAOUT24!$A$6:$CB$38,62,0)</f>
        <v>0</v>
      </c>
      <c r="AI20" s="36">
        <f>VLOOKUP($A20,[29]HISTOAOUT24!$A$6:$CB$38,63,0)</f>
        <v>0</v>
      </c>
      <c r="AJ20" s="36">
        <f>VLOOKUP($A20,[29]HISTOAOUT24!$A$6:$CB$38,64,0)</f>
        <v>0</v>
      </c>
      <c r="AK20" s="36">
        <f>VLOOKUP($A20,[29]HISTOAOUT24!$A$6:$CB$38,65,0)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MVTJUIL24!I21-E21+L21</f>
        <v>940619.86966589955</v>
      </c>
      <c r="G21" s="5">
        <f>IF(MVTJUIL24!I21+L21&gt;700000,(MVTJUIL24!I21-E21+L21),0)</f>
        <v>940619.86966589955</v>
      </c>
      <c r="H21" s="36">
        <f t="shared" si="0"/>
        <v>594.93481043732493</v>
      </c>
      <c r="I21" s="6">
        <f t="shared" si="2"/>
        <v>941214.80447633693</v>
      </c>
      <c r="J21" s="36">
        <f>VLOOKUP($A21,[29]HISTOAOUT24!$A$6:$AQ$42,22,0)</f>
        <v>0</v>
      </c>
      <c r="K21" s="36">
        <f>VLOOKUP($A21,[29]HISTOAOUT24!$A$6:$AU$38,45,0)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VLOOKUP($A21,[29]HISTOAOUT24!$A$6:$AU$38,7,0)</f>
        <v>0</v>
      </c>
      <c r="Q21" s="36">
        <f>VLOOKUP($A21,[29]HISTOAOUT24!$A$6:$AU$38,23,0)</f>
        <v>0</v>
      </c>
      <c r="R21" s="36">
        <f>VLOOKUP($A21,[29]HISTOAOUT24!$A$6:$AU$38,46,0)</f>
        <v>0</v>
      </c>
      <c r="S21" s="36">
        <f>VLOOKUP($A21,[29]HISTOAOUT24!$A$6:$AU$38,26,0)</f>
        <v>0</v>
      </c>
      <c r="T21" s="36">
        <f>VLOOKUP($A21,[29]HISTOAOUT24!$A$6:$BG$38,58,0)</f>
        <v>0</v>
      </c>
      <c r="U21" s="36">
        <f>VLOOKUP($A21,[29]HISTOAOUT24!$A$6:$AU$38,28,0)</f>
        <v>0</v>
      </c>
      <c r="V21" s="36">
        <f>VLOOKUP($A21,[29]HISTOAOUT24!$A$6:$AU$38,19,0)</f>
        <v>0</v>
      </c>
      <c r="W21" s="36">
        <f>VLOOKUP($A21,[29]HISTOAOUT24!$A$6:$AU$38,20,0)</f>
        <v>0</v>
      </c>
      <c r="X21" s="36">
        <f>VLOOKUP($A21,[29]HISTOAOUT24!$A$6:$AU$38,27,0)</f>
        <v>0</v>
      </c>
      <c r="Y21" s="36">
        <f>VLOOKUP($A21,[29]HISTOAOUT24!$A$6:$BM$38,33,0)</f>
        <v>0</v>
      </c>
      <c r="Z21" s="36">
        <f>VLOOKUP($A21,[29]HISTOAOUT24!$A$6:$BM$38,65,0)</f>
        <v>0</v>
      </c>
      <c r="AA21" s="36"/>
      <c r="AB21" s="36">
        <f>VLOOKUP($A21,[29]HISTOAOUT24!$A$6:$AU$38,43,0)</f>
        <v>0</v>
      </c>
      <c r="AC21" s="36">
        <f>VLOOKUP($A21,[29]HISTOAOUT24!$A$6:$AU$38,44,0)</f>
        <v>0</v>
      </c>
      <c r="AD21" s="36">
        <f>VLOOKUP($A21,[29]HISTOAOUT24!$A$6:$AU$38,47,0)</f>
        <v>0</v>
      </c>
      <c r="AE21" s="36">
        <f>VLOOKUP(A21,[29]HISTOAOUT24!$A$6:$BB$38,54,0)</f>
        <v>0</v>
      </c>
      <c r="AF21" s="36">
        <f>VLOOKUP($A21,[29]HISTOAOUT24!$A$6:$CB$38,60,0)</f>
        <v>0</v>
      </c>
      <c r="AG21" s="36">
        <f>VLOOKUP($A21,[29]HISTOAOUT24!$A$6:$CB$38,61,0)</f>
        <v>0</v>
      </c>
      <c r="AH21" s="36">
        <f>VLOOKUP($A21,[29]HISTOAOUT24!$A$6:$CB$38,62,0)</f>
        <v>0</v>
      </c>
      <c r="AI21" s="36">
        <f>VLOOKUP($A21,[29]HISTOAOUT24!$A$6:$CB$38,63,0)</f>
        <v>0</v>
      </c>
      <c r="AJ21" s="36">
        <f>VLOOKUP($A21,[29]HISTOAOUT24!$A$6:$CB$38,64,0)</f>
        <v>0</v>
      </c>
      <c r="AK21" s="36">
        <f>VLOOKUP($A21,[29]HISTOAOUT24!$A$6:$CB$38,65,0)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MVTJUIL24!I22-E22+L22</f>
        <v>909205.79019855428</v>
      </c>
      <c r="G22" s="5">
        <f>IF(MVTJUIL24!I22+L22&gt;700000,(MVTJUIL24!I22-E22+L22),0)</f>
        <v>909205.79019855428</v>
      </c>
      <c r="H22" s="36">
        <f t="shared" si="0"/>
        <v>575.06564754200315</v>
      </c>
      <c r="I22" s="6">
        <f t="shared" si="2"/>
        <v>909780.8558460963</v>
      </c>
      <c r="J22" s="36">
        <f>VLOOKUP($A22,[29]HISTOAOUT24!$A$6:$AQ$42,22,0)</f>
        <v>0</v>
      </c>
      <c r="K22" s="36">
        <f>VLOOKUP($A22,[29]HISTOAOUT24!$A$6:$AU$38,45,0)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VLOOKUP($A22,[29]HISTOAOUT24!$A$6:$AU$38,7,0)</f>
        <v>0</v>
      </c>
      <c r="Q22" s="36">
        <f>VLOOKUP($A22,[29]HISTOAOUT24!$A$6:$AU$38,23,0)</f>
        <v>0</v>
      </c>
      <c r="R22" s="36">
        <f>VLOOKUP($A22,[29]HISTOAOUT24!$A$6:$AU$38,46,0)</f>
        <v>0</v>
      </c>
      <c r="S22" s="36">
        <f>VLOOKUP($A22,[29]HISTOAOUT24!$A$6:$AU$38,26,0)</f>
        <v>0</v>
      </c>
      <c r="T22" s="36">
        <f>VLOOKUP($A22,[29]HISTOAOUT24!$A$6:$BG$38,58,0)</f>
        <v>0</v>
      </c>
      <c r="U22" s="36">
        <f>VLOOKUP($A22,[29]HISTOAOUT24!$A$6:$AU$38,28,0)</f>
        <v>0</v>
      </c>
      <c r="V22" s="36">
        <f>VLOOKUP($A22,[29]HISTOAOUT24!$A$6:$AU$38,19,0)</f>
        <v>0</v>
      </c>
      <c r="W22" s="36">
        <f>VLOOKUP($A22,[29]HISTOAOUT24!$A$6:$AU$38,20,0)</f>
        <v>0</v>
      </c>
      <c r="X22" s="36">
        <f>VLOOKUP($A22,[29]HISTOAOUT24!$A$6:$AU$38,27,0)</f>
        <v>0</v>
      </c>
      <c r="Y22" s="36">
        <f>VLOOKUP($A22,[29]HISTOAOUT24!$A$6:$BM$38,33,0)</f>
        <v>0</v>
      </c>
      <c r="Z22" s="36">
        <f>VLOOKUP($A22,[29]HISTOAOUT24!$A$6:$BM$38,65,0)</f>
        <v>0</v>
      </c>
      <c r="AA22" s="36"/>
      <c r="AB22" s="36">
        <f>VLOOKUP($A22,[29]HISTOAOUT24!$A$6:$AU$38,43,0)</f>
        <v>0</v>
      </c>
      <c r="AC22" s="36">
        <f>VLOOKUP($A22,[29]HISTOAOUT24!$A$6:$AU$38,44,0)</f>
        <v>0</v>
      </c>
      <c r="AD22" s="36">
        <f>VLOOKUP($A22,[29]HISTOAOUT24!$A$6:$AU$38,47,0)</f>
        <v>0</v>
      </c>
      <c r="AE22" s="36">
        <f>VLOOKUP(A22,[29]HISTOAOUT24!$A$6:$BB$38,54,0)</f>
        <v>0</v>
      </c>
      <c r="AF22" s="36">
        <f>VLOOKUP($A22,[29]HISTOAOUT24!$A$6:$CB$38,60,0)</f>
        <v>0</v>
      </c>
      <c r="AG22" s="36">
        <f>VLOOKUP($A22,[29]HISTOAOUT24!$A$6:$CB$38,61,0)</f>
        <v>0</v>
      </c>
      <c r="AH22" s="36">
        <f>VLOOKUP($A22,[29]HISTOAOUT24!$A$6:$CB$38,62,0)</f>
        <v>0</v>
      </c>
      <c r="AI22" s="36">
        <f>VLOOKUP($A22,[29]HISTOAOUT24!$A$6:$CB$38,63,0)</f>
        <v>0</v>
      </c>
      <c r="AJ22" s="36">
        <f>VLOOKUP($A22,[29]HISTOAOUT24!$A$6:$CB$38,64,0)</f>
        <v>0</v>
      </c>
      <c r="AK22" s="36">
        <f>VLOOKUP($A22,[29]HISTOAOUT24!$A$6:$CB$38,65,0)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MVTJUIL24!I23-E23+L23</f>
        <v>1016159.7235905459</v>
      </c>
      <c r="G23" s="5">
        <f>IF(MVTJUIL24!I23+L23&gt;700000,(MVTJUIL24!I23-E23+L23),0)</f>
        <v>1016159.7235905459</v>
      </c>
      <c r="H23" s="36">
        <f t="shared" si="0"/>
        <v>642.71318523509046</v>
      </c>
      <c r="I23" s="6">
        <f t="shared" si="2"/>
        <v>1016802.436775781</v>
      </c>
      <c r="J23" s="36">
        <f>VLOOKUP($A23,[29]HISTOAOUT24!$A$6:$AQ$42,22,0)</f>
        <v>0</v>
      </c>
      <c r="K23" s="36">
        <f>VLOOKUP($A23,[29]HISTOAOUT24!$A$6:$AU$38,45,0)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VLOOKUP($A23,[29]HISTOAOUT24!$A$6:$AU$38,7,0)</f>
        <v>0</v>
      </c>
      <c r="Q23" s="36">
        <f>VLOOKUP($A23,[29]HISTOAOUT24!$A$6:$AU$38,23,0)</f>
        <v>0</v>
      </c>
      <c r="R23" s="36">
        <f>VLOOKUP($A23,[29]HISTOAOUT24!$A$6:$AU$38,46,0)</f>
        <v>0</v>
      </c>
      <c r="S23" s="36">
        <f>VLOOKUP($A23,[29]HISTOAOUT24!$A$6:$AU$38,26,0)</f>
        <v>0</v>
      </c>
      <c r="T23" s="36">
        <f>VLOOKUP($A23,[29]HISTOAOUT24!$A$6:$BG$38,58,0)</f>
        <v>0</v>
      </c>
      <c r="U23" s="36">
        <f>VLOOKUP($A23,[29]HISTOAOUT24!$A$6:$AU$38,28,0)</f>
        <v>0</v>
      </c>
      <c r="V23" s="36">
        <f>VLOOKUP($A23,[29]HISTOAOUT24!$A$6:$AU$38,19,0)</f>
        <v>0</v>
      </c>
      <c r="W23" s="36">
        <f>VLOOKUP($A23,[29]HISTOAOUT24!$A$6:$AU$38,20,0)</f>
        <v>0</v>
      </c>
      <c r="X23" s="36">
        <f>VLOOKUP($A23,[29]HISTOAOUT24!$A$6:$AU$38,27,0)</f>
        <v>0</v>
      </c>
      <c r="Y23" s="36">
        <f>VLOOKUP($A23,[29]HISTOAOUT24!$A$6:$BM$38,33,0)</f>
        <v>0</v>
      </c>
      <c r="Z23" s="36">
        <f>VLOOKUP($A23,[29]HISTOAOUT24!$A$6:$BM$38,65,0)</f>
        <v>0</v>
      </c>
      <c r="AA23" s="36"/>
      <c r="AB23" s="36">
        <f>VLOOKUP($A23,[29]HISTOAOUT24!$A$6:$AU$38,43,0)</f>
        <v>0</v>
      </c>
      <c r="AC23" s="36">
        <f>VLOOKUP($A23,[29]HISTOAOUT24!$A$6:$AU$38,44,0)</f>
        <v>0</v>
      </c>
      <c r="AD23" s="36">
        <f>VLOOKUP($A23,[29]HISTOAOUT24!$A$6:$AU$38,47,0)</f>
        <v>0</v>
      </c>
      <c r="AE23" s="36">
        <f>VLOOKUP(A23,[29]HISTOAOUT24!$A$6:$BB$38,54,0)</f>
        <v>0</v>
      </c>
      <c r="AF23" s="36">
        <f>VLOOKUP($A23,[29]HISTOAOUT24!$A$6:$CB$38,60,0)</f>
        <v>0</v>
      </c>
      <c r="AG23" s="36">
        <f>VLOOKUP($A23,[29]HISTOAOUT24!$A$6:$CB$38,61,0)</f>
        <v>0</v>
      </c>
      <c r="AH23" s="36">
        <f>VLOOKUP($A23,[29]HISTOAOUT24!$A$6:$CB$38,62,0)</f>
        <v>0</v>
      </c>
      <c r="AI23" s="36">
        <f>VLOOKUP($A23,[29]HISTOAOUT24!$A$6:$CB$38,63,0)</f>
        <v>0</v>
      </c>
      <c r="AJ23" s="36">
        <f>VLOOKUP($A23,[29]HISTOAOUT24!$A$6:$CB$38,64,0)</f>
        <v>0</v>
      </c>
      <c r="AK23" s="36">
        <f>VLOOKUP($A23,[29]HISTOAOUT24!$A$6:$CB$38,65,0)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MVTJUIL24!I24-E24+L24</f>
        <v>1251411.430201133</v>
      </c>
      <c r="G24" s="5">
        <f>IF(MVTJUIL24!I24+L24&gt;700000,(MVTJUIL24!I24-E24+L24),0)</f>
        <v>1251411.430201133</v>
      </c>
      <c r="H24" s="36">
        <f t="shared" si="0"/>
        <v>791.50807463832973</v>
      </c>
      <c r="I24" s="6">
        <f t="shared" si="2"/>
        <v>1252202.9382757714</v>
      </c>
      <c r="J24" s="36">
        <f>VLOOKUP($A24,[29]HISTOAOUT24!$A$6:$AQ$42,22,0)</f>
        <v>0</v>
      </c>
      <c r="K24" s="36">
        <f>VLOOKUP($A24,[29]HISTOAOUT24!$A$6:$AU$38,45,0)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VLOOKUP($A24,[29]HISTOAOUT24!$A$6:$AU$38,7,0)</f>
        <v>0</v>
      </c>
      <c r="Q24" s="36">
        <f>VLOOKUP($A24,[29]HISTOAOUT24!$A$6:$AU$38,23,0)</f>
        <v>0</v>
      </c>
      <c r="R24" s="36">
        <f>VLOOKUP($A24,[29]HISTOAOUT24!$A$6:$AU$38,46,0)</f>
        <v>0</v>
      </c>
      <c r="S24" s="36">
        <f>VLOOKUP($A24,[29]HISTOAOUT24!$A$6:$AU$38,26,0)</f>
        <v>0</v>
      </c>
      <c r="T24" s="36">
        <f>VLOOKUP($A24,[29]HISTOAOUT24!$A$6:$BG$38,58,0)</f>
        <v>0</v>
      </c>
      <c r="U24" s="36">
        <f>VLOOKUP($A24,[29]HISTOAOUT24!$A$6:$AU$38,28,0)</f>
        <v>0</v>
      </c>
      <c r="V24" s="36">
        <f>VLOOKUP($A24,[29]HISTOAOUT24!$A$6:$AU$38,19,0)</f>
        <v>0</v>
      </c>
      <c r="W24" s="36">
        <f>VLOOKUP($A24,[29]HISTOAOUT24!$A$6:$AU$38,20,0)</f>
        <v>0</v>
      </c>
      <c r="X24" s="36">
        <f>VLOOKUP($A24,[29]HISTOAOUT24!$A$6:$AU$38,27,0)</f>
        <v>0</v>
      </c>
      <c r="Y24" s="36">
        <f>VLOOKUP($A24,[29]HISTOAOUT24!$A$6:$BM$38,33,0)</f>
        <v>0</v>
      </c>
      <c r="Z24" s="36">
        <f>VLOOKUP($A24,[29]HISTOAOUT24!$A$6:$BM$38,65,0)</f>
        <v>0</v>
      </c>
      <c r="AA24" s="36"/>
      <c r="AB24" s="36">
        <f>VLOOKUP($A24,[29]HISTOAOUT24!$A$6:$AU$38,43,0)</f>
        <v>0</v>
      </c>
      <c r="AC24" s="36">
        <f>VLOOKUP($A24,[29]HISTOAOUT24!$A$6:$AU$38,44,0)</f>
        <v>0</v>
      </c>
      <c r="AD24" s="36">
        <f>VLOOKUP($A24,[29]HISTOAOUT24!$A$6:$AU$38,47,0)</f>
        <v>0</v>
      </c>
      <c r="AE24" s="36">
        <f>VLOOKUP(A24,[29]HISTOAOUT24!$A$6:$BB$38,54,0)</f>
        <v>0</v>
      </c>
      <c r="AF24" s="36">
        <f>VLOOKUP($A24,[29]HISTOAOUT24!$A$6:$CB$38,60,0)</f>
        <v>0</v>
      </c>
      <c r="AG24" s="36">
        <f>VLOOKUP($A24,[29]HISTOAOUT24!$A$6:$CB$38,61,0)</f>
        <v>0</v>
      </c>
      <c r="AH24" s="36">
        <f>VLOOKUP($A24,[29]HISTOAOUT24!$A$6:$CB$38,62,0)</f>
        <v>0</v>
      </c>
      <c r="AI24" s="36">
        <f>VLOOKUP($A24,[29]HISTOAOUT24!$A$6:$CB$38,63,0)</f>
        <v>0</v>
      </c>
      <c r="AJ24" s="36">
        <f>VLOOKUP($A24,[29]HISTOAOUT24!$A$6:$CB$38,64,0)</f>
        <v>0</v>
      </c>
      <c r="AK24" s="36">
        <f>VLOOKUP($A24,[29]HISTOAOUT24!$A$6:$CB$38,65,0)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MVTJUIL24!I25-E25+L25</f>
        <v>1093211.5869336976</v>
      </c>
      <c r="G25" s="5">
        <f>IF(MVTJUIL24!I25+L25&gt;700000,(MVTJUIL24!I25-E25+L25),0)</f>
        <v>1093211.5869336976</v>
      </c>
      <c r="H25" s="36">
        <f t="shared" si="0"/>
        <v>691.44789432451557</v>
      </c>
      <c r="I25" s="6">
        <f t="shared" si="2"/>
        <v>1093903.0348280221</v>
      </c>
      <c r="J25" s="36">
        <f>VLOOKUP($A25,[29]HISTOAOUT24!$A$6:$AQ$42,22,0)</f>
        <v>0</v>
      </c>
      <c r="K25" s="36">
        <f>VLOOKUP($A25,[29]HISTOAOUT24!$A$6:$AU$38,45,0)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VLOOKUP($A25,[29]HISTOAOUT24!$A$6:$AU$38,7,0)</f>
        <v>0</v>
      </c>
      <c r="Q25" s="36">
        <f>VLOOKUP($A25,[29]HISTOAOUT24!$A$6:$AU$38,23,0)</f>
        <v>0</v>
      </c>
      <c r="R25" s="36">
        <f>VLOOKUP($A25,[29]HISTOAOUT24!$A$6:$AU$38,46,0)</f>
        <v>0</v>
      </c>
      <c r="S25" s="36">
        <f>VLOOKUP($A25,[29]HISTOAOUT24!$A$6:$AU$38,26,0)</f>
        <v>0</v>
      </c>
      <c r="T25" s="36">
        <f>VLOOKUP($A25,[29]HISTOAOUT24!$A$6:$BG$38,58,0)</f>
        <v>0</v>
      </c>
      <c r="U25" s="36">
        <f>VLOOKUP($A25,[29]HISTOAOUT24!$A$6:$AU$38,28,0)</f>
        <v>0</v>
      </c>
      <c r="V25" s="36">
        <f>VLOOKUP($A25,[29]HISTOAOUT24!$A$6:$AU$38,19,0)</f>
        <v>0</v>
      </c>
      <c r="W25" s="36">
        <f>VLOOKUP($A25,[29]HISTOAOUT24!$A$6:$AU$38,20,0)</f>
        <v>0</v>
      </c>
      <c r="X25" s="36">
        <f>VLOOKUP($A25,[29]HISTOAOUT24!$A$6:$AU$38,27,0)</f>
        <v>0</v>
      </c>
      <c r="Y25" s="36">
        <f>VLOOKUP($A25,[29]HISTOAOUT24!$A$6:$BM$38,33,0)</f>
        <v>0</v>
      </c>
      <c r="Z25" s="36">
        <f>VLOOKUP($A25,[29]HISTOAOUT24!$A$6:$BM$38,65,0)</f>
        <v>0</v>
      </c>
      <c r="AA25" s="36"/>
      <c r="AB25" s="36">
        <f>VLOOKUP($A25,[29]HISTOAOUT24!$A$6:$AU$38,43,0)</f>
        <v>0</v>
      </c>
      <c r="AC25" s="36">
        <f>VLOOKUP($A25,[29]HISTOAOUT24!$A$6:$AU$38,44,0)</f>
        <v>0</v>
      </c>
      <c r="AD25" s="36">
        <f>VLOOKUP($A25,[29]HISTOAOUT24!$A$6:$AU$38,47,0)</f>
        <v>0</v>
      </c>
      <c r="AE25" s="36">
        <f>VLOOKUP(A25,[29]HISTOAOUT24!$A$6:$BB$38,54,0)</f>
        <v>0</v>
      </c>
      <c r="AF25" s="36">
        <f>VLOOKUP($A25,[29]HISTOAOUT24!$A$6:$CB$38,60,0)</f>
        <v>0</v>
      </c>
      <c r="AG25" s="36">
        <f>VLOOKUP($A25,[29]HISTOAOUT24!$A$6:$CB$38,61,0)</f>
        <v>0</v>
      </c>
      <c r="AH25" s="36">
        <f>VLOOKUP($A25,[29]HISTOAOUT24!$A$6:$CB$38,62,0)</f>
        <v>0</v>
      </c>
      <c r="AI25" s="36">
        <f>VLOOKUP($A25,[29]HISTOAOUT24!$A$6:$CB$38,63,0)</f>
        <v>0</v>
      </c>
      <c r="AJ25" s="36">
        <f>VLOOKUP($A25,[29]HISTOAOUT24!$A$6:$CB$38,64,0)</f>
        <v>0</v>
      </c>
      <c r="AK25" s="36">
        <f>VLOOKUP($A25,[29]HISTOAOUT24!$A$6:$CB$38,65,0)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MVTJUIL24!I26-E26+L26</f>
        <v>929447.05717875506</v>
      </c>
      <c r="G26" s="5">
        <f>IF(MVTJUIL24!I26+L26&gt;700000,(MVTJUIL24!I26-E26+L26),0)</f>
        <v>929447.05717875506</v>
      </c>
      <c r="H26" s="36">
        <f t="shared" si="0"/>
        <v>587.8680927403534</v>
      </c>
      <c r="I26" s="6">
        <f t="shared" si="2"/>
        <v>930034.92527149536</v>
      </c>
      <c r="J26" s="36">
        <f>VLOOKUP($A26,[29]HISTOAOUT24!$A$6:$AQ$42,22,0)</f>
        <v>0</v>
      </c>
      <c r="K26" s="36">
        <f>VLOOKUP($A26,[29]HISTOAOUT24!$A$6:$AU$38,45,0)</f>
        <v>21500</v>
      </c>
      <c r="L26" s="36">
        <f t="shared" si="3"/>
        <v>15500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VLOOKUP($A26,[29]HISTOAOUT24!$A$6:$AU$38,7,0)</f>
        <v>0</v>
      </c>
      <c r="Q26" s="36">
        <f>VLOOKUP($A26,[29]HISTOAOUT24!$A$6:$AU$38,23,0)</f>
        <v>0</v>
      </c>
      <c r="R26" s="36">
        <f>VLOOKUP($A26,[29]HISTOAOUT24!$A$6:$AU$38,46,0)</f>
        <v>0</v>
      </c>
      <c r="S26" s="36">
        <f>VLOOKUP($A26,[29]HISTOAOUT24!$A$6:$AU$38,26,0)</f>
        <v>0</v>
      </c>
      <c r="T26" s="36">
        <f>VLOOKUP($A26,[29]HISTOAOUT24!$A$6:$BG$38,58,0)</f>
        <v>0</v>
      </c>
      <c r="U26" s="36">
        <f>VLOOKUP($A26,[29]HISTOAOUT24!$A$6:$AU$38,28,0)</f>
        <v>0</v>
      </c>
      <c r="V26" s="36">
        <f>VLOOKUP($A26,[29]HISTOAOUT24!$A$6:$AU$38,19,0)</f>
        <v>0</v>
      </c>
      <c r="W26" s="36">
        <f>VLOOKUP($A26,[29]HISTOAOUT24!$A$6:$AU$38,20,0)</f>
        <v>0</v>
      </c>
      <c r="X26" s="36">
        <f>VLOOKUP($A26,[29]HISTOAOUT24!$A$6:$AU$38,27,0)</f>
        <v>0</v>
      </c>
      <c r="Y26" s="36">
        <f>VLOOKUP($A26,[29]HISTOAOUT24!$A$6:$BM$38,33,0)</f>
        <v>0</v>
      </c>
      <c r="Z26" s="36">
        <f>VLOOKUP($A26,[29]HISTOAOUT24!$A$6:$BM$38,65,0)</f>
        <v>0</v>
      </c>
      <c r="AA26" s="36"/>
      <c r="AB26" s="36">
        <f>VLOOKUP($A26,[29]HISTOAOUT24!$A$6:$AU$38,43,0)</f>
        <v>0</v>
      </c>
      <c r="AC26" s="36">
        <f>VLOOKUP($A26,[29]HISTOAOUT24!$A$6:$AU$38,44,0)</f>
        <v>0</v>
      </c>
      <c r="AD26" s="36">
        <f>VLOOKUP($A26,[29]HISTOAOUT24!$A$6:$AU$38,47,0)</f>
        <v>0</v>
      </c>
      <c r="AE26" s="36">
        <f>VLOOKUP(A26,[29]HISTOAOUT24!$A$6:$BB$38,54,0)</f>
        <v>0</v>
      </c>
      <c r="AF26" s="36">
        <f>VLOOKUP($A26,[29]HISTOAOUT24!$A$6:$CB$38,60,0)</f>
        <v>0</v>
      </c>
      <c r="AG26" s="36">
        <f>VLOOKUP($A26,[29]HISTOAOUT24!$A$6:$CB$38,61,0)</f>
        <v>0</v>
      </c>
      <c r="AH26" s="36">
        <f>VLOOKUP($A26,[29]HISTOAOUT24!$A$6:$CB$38,62,0)</f>
        <v>0</v>
      </c>
      <c r="AI26" s="36">
        <f>VLOOKUP($A26,[29]HISTOAOUT24!$A$6:$CB$38,63,0)</f>
        <v>0</v>
      </c>
      <c r="AJ26" s="36">
        <f>VLOOKUP($A26,[29]HISTOAOUT24!$A$6:$CB$38,64,0)</f>
        <v>0</v>
      </c>
      <c r="AK26" s="36">
        <f>VLOOKUP($A26,[29]HISTOAOUT24!$A$6:$CB$38,65,0)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MVTJUIL24!I27-E27+L27</f>
        <v>928978.47902197193</v>
      </c>
      <c r="G27" s="5">
        <f>IF(MVTJUIL24!I27+L27&gt;700000,(MVTJUIL24!I27-E27+L27),0)</f>
        <v>928978.47902197193</v>
      </c>
      <c r="H27" s="36">
        <f t="shared" si="0"/>
        <v>587.57172067139015</v>
      </c>
      <c r="I27" s="6">
        <f t="shared" si="2"/>
        <v>929566.0507426433</v>
      </c>
      <c r="J27" s="36">
        <f>VLOOKUP($A27,[29]HISTOAOUT24!$A$6:$AQ$42,22,0)</f>
        <v>0</v>
      </c>
      <c r="K27" s="36">
        <f>VLOOKUP($A27,[29]HISTOAOUT24!$A$6:$AU$38,45,0)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VLOOKUP($A27,[29]HISTOAOUT24!$A$6:$AU$38,7,0)</f>
        <v>0</v>
      </c>
      <c r="Q27" s="36">
        <f>VLOOKUP($A27,[29]HISTOAOUT24!$A$6:$AU$38,23,0)</f>
        <v>0</v>
      </c>
      <c r="R27" s="36">
        <f>VLOOKUP($A27,[29]HISTOAOUT24!$A$6:$AU$38,46,0)</f>
        <v>0</v>
      </c>
      <c r="S27" s="36">
        <f>VLOOKUP($A27,[29]HISTOAOUT24!$A$6:$AU$38,26,0)</f>
        <v>0</v>
      </c>
      <c r="T27" s="36">
        <f>VLOOKUP($A27,[29]HISTOAOUT24!$A$6:$BG$38,58,0)</f>
        <v>0</v>
      </c>
      <c r="U27" s="36">
        <f>VLOOKUP($A27,[29]HISTOAOUT24!$A$6:$AU$38,28,0)</f>
        <v>0</v>
      </c>
      <c r="V27" s="36">
        <f>VLOOKUP($A27,[29]HISTOAOUT24!$A$6:$AU$38,19,0)</f>
        <v>0</v>
      </c>
      <c r="W27" s="36">
        <f>VLOOKUP($A27,[29]HISTOAOUT24!$A$6:$AU$38,20,0)</f>
        <v>0</v>
      </c>
      <c r="X27" s="36">
        <f>VLOOKUP($A27,[29]HISTOAOUT24!$A$6:$AU$38,27,0)</f>
        <v>0</v>
      </c>
      <c r="Y27" s="36">
        <f>VLOOKUP($A27,[29]HISTOAOUT24!$A$6:$BM$38,33,0)</f>
        <v>0</v>
      </c>
      <c r="Z27" s="36">
        <f>VLOOKUP($A27,[29]HISTOAOUT24!$A$6:$BM$38,65,0)</f>
        <v>0</v>
      </c>
      <c r="AA27" s="36"/>
      <c r="AB27" s="36">
        <f>VLOOKUP($A27,[29]HISTOAOUT24!$A$6:$AU$38,43,0)</f>
        <v>0</v>
      </c>
      <c r="AC27" s="36">
        <f>VLOOKUP($A27,[29]HISTOAOUT24!$A$6:$AU$38,44,0)</f>
        <v>0</v>
      </c>
      <c r="AD27" s="36">
        <f>VLOOKUP($A27,[29]HISTOAOUT24!$A$6:$AU$38,47,0)</f>
        <v>0</v>
      </c>
      <c r="AE27" s="36">
        <f>VLOOKUP(A27,[29]HISTOAOUT24!$A$6:$BB$38,54,0)</f>
        <v>0</v>
      </c>
      <c r="AF27" s="36">
        <f>VLOOKUP($A27,[29]HISTOAOUT24!$A$6:$CB$38,60,0)</f>
        <v>0</v>
      </c>
      <c r="AG27" s="36">
        <f>VLOOKUP($A27,[29]HISTOAOUT24!$A$6:$CB$38,61,0)</f>
        <v>0</v>
      </c>
      <c r="AH27" s="36">
        <f>VLOOKUP($A27,[29]HISTOAOUT24!$A$6:$CB$38,62,0)</f>
        <v>0</v>
      </c>
      <c r="AI27" s="36">
        <f>VLOOKUP($A27,[29]HISTOAOUT24!$A$6:$CB$38,63,0)</f>
        <v>0</v>
      </c>
      <c r="AJ27" s="36">
        <f>VLOOKUP($A27,[29]HISTOAOUT24!$A$6:$CB$38,64,0)</f>
        <v>0</v>
      </c>
      <c r="AK27" s="36">
        <f>VLOOKUP($A27,[29]HISTOAOUT24!$A$6:$CB$38,65,0)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MVTJUIL24!I28-E28+L28</f>
        <v>829751.23864412936</v>
      </c>
      <c r="G28" s="5">
        <f>IF(MVTJUIL24!I28+L28&gt;700000,(MVTJUIL24!I28-E28+L28),0)</f>
        <v>829751.23864412936</v>
      </c>
      <c r="H28" s="36">
        <f t="shared" si="0"/>
        <v>524.81125669631069</v>
      </c>
      <c r="I28" s="6">
        <f t="shared" si="2"/>
        <v>830276.04990082572</v>
      </c>
      <c r="J28" s="36">
        <f>VLOOKUP($A28,[29]HISTOAOUT24!$A$6:$AQ$42,22,0)</f>
        <v>0</v>
      </c>
      <c r="K28" s="36">
        <f>VLOOKUP($A28,[29]HISTOAOUT24!$A$6:$AU$38,45,0)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VLOOKUP($A28,[29]HISTOAOUT24!$A$6:$AU$38,7,0)</f>
        <v>0</v>
      </c>
      <c r="Q28" s="36">
        <f>VLOOKUP($A28,[29]HISTOAOUT24!$A$6:$AU$38,23,0)</f>
        <v>0</v>
      </c>
      <c r="R28" s="36">
        <f>VLOOKUP($A28,[29]HISTOAOUT24!$A$6:$AU$38,46,0)</f>
        <v>0</v>
      </c>
      <c r="S28" s="36">
        <f>VLOOKUP($A28,[29]HISTOAOUT24!$A$6:$AU$38,26,0)</f>
        <v>0</v>
      </c>
      <c r="T28" s="36">
        <f>VLOOKUP($A28,[29]HISTOAOUT24!$A$6:$BG$38,58,0)</f>
        <v>0</v>
      </c>
      <c r="U28" s="36">
        <f>VLOOKUP($A28,[29]HISTOAOUT24!$A$6:$AU$38,28,0)</f>
        <v>0</v>
      </c>
      <c r="V28" s="36">
        <f>VLOOKUP($A28,[29]HISTOAOUT24!$A$6:$AU$38,19,0)</f>
        <v>0</v>
      </c>
      <c r="W28" s="36">
        <f>VLOOKUP($A28,[29]HISTOAOUT24!$A$6:$AU$38,20,0)</f>
        <v>0</v>
      </c>
      <c r="X28" s="36">
        <f>VLOOKUP($A28,[29]HISTOAOUT24!$A$6:$AU$38,27,0)</f>
        <v>0</v>
      </c>
      <c r="Y28" s="36">
        <f>VLOOKUP($A28,[29]HISTOAOUT24!$A$6:$BM$38,33,0)</f>
        <v>0</v>
      </c>
      <c r="Z28" s="36">
        <f>VLOOKUP($A28,[29]HISTOAOUT24!$A$6:$BM$38,65,0)</f>
        <v>0</v>
      </c>
      <c r="AA28" s="36"/>
      <c r="AB28" s="36">
        <f>VLOOKUP($A28,[29]HISTOAOUT24!$A$6:$AU$38,43,0)</f>
        <v>0</v>
      </c>
      <c r="AC28" s="36">
        <f>VLOOKUP($A28,[29]HISTOAOUT24!$A$6:$AU$38,44,0)</f>
        <v>0</v>
      </c>
      <c r="AD28" s="36">
        <f>VLOOKUP($A28,[29]HISTOAOUT24!$A$6:$AU$38,47,0)</f>
        <v>0</v>
      </c>
      <c r="AE28" s="36">
        <f>VLOOKUP(A28,[29]HISTOAOUT24!$A$6:$BB$38,54,0)</f>
        <v>0</v>
      </c>
      <c r="AF28" s="36">
        <f>VLOOKUP($A28,[29]HISTOAOUT24!$A$6:$CB$38,60,0)</f>
        <v>0</v>
      </c>
      <c r="AG28" s="36">
        <f>VLOOKUP($A28,[29]HISTOAOUT24!$A$6:$CB$38,61,0)</f>
        <v>0</v>
      </c>
      <c r="AH28" s="36">
        <f>VLOOKUP($A28,[29]HISTOAOUT24!$A$6:$CB$38,62,0)</f>
        <v>0</v>
      </c>
      <c r="AI28" s="36">
        <f>VLOOKUP($A28,[29]HISTOAOUT24!$A$6:$CB$38,63,0)</f>
        <v>100000</v>
      </c>
      <c r="AJ28" s="36">
        <f>VLOOKUP($A28,[29]HISTOAOUT24!$A$6:$CB$38,64,0)</f>
        <v>0</v>
      </c>
      <c r="AK28" s="36">
        <f>VLOOKUP($A28,[29]HISTOAOUT24!$A$6:$CB$38,65,0)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MVTJUIL24!I29-E29+L29</f>
        <v>955054.81486339995</v>
      </c>
      <c r="G29" s="5">
        <f>IF(MVTJUIL24!I29+L29&gt;700000,(MVTJUIL24!I29-E29+L29),0)</f>
        <v>955054.81486339995</v>
      </c>
      <c r="H29" s="36">
        <f t="shared" si="0"/>
        <v>604.06480190539639</v>
      </c>
      <c r="I29" s="6">
        <f t="shared" si="2"/>
        <v>955658.87966530537</v>
      </c>
      <c r="J29" s="36">
        <f>VLOOKUP($A29,[29]HISTOAOUT24!$A$6:$AQ$42,22,0)</f>
        <v>0</v>
      </c>
      <c r="K29" s="36">
        <f>VLOOKUP($A29,[29]HISTOAOUT24!$A$6:$AU$38,45,0)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VLOOKUP($A29,[29]HISTOAOUT24!$A$6:$AU$38,7,0)</f>
        <v>0</v>
      </c>
      <c r="Q29" s="36">
        <f>VLOOKUP($A29,[29]HISTOAOUT24!$A$6:$AU$38,23,0)</f>
        <v>0</v>
      </c>
      <c r="R29" s="36">
        <f>VLOOKUP($A29,[29]HISTOAOUT24!$A$6:$AU$38,46,0)</f>
        <v>0</v>
      </c>
      <c r="S29" s="36">
        <f>VLOOKUP($A29,[29]HISTOAOUT24!$A$6:$AU$38,26,0)</f>
        <v>0</v>
      </c>
      <c r="T29" s="36">
        <f>VLOOKUP($A29,[29]HISTOAOUT24!$A$6:$BG$38,58,0)</f>
        <v>0</v>
      </c>
      <c r="U29" s="36">
        <f>VLOOKUP($A29,[29]HISTOAOUT24!$A$6:$AU$38,28,0)</f>
        <v>0</v>
      </c>
      <c r="V29" s="36">
        <f>VLOOKUP($A29,[29]HISTOAOUT24!$A$6:$AU$38,19,0)</f>
        <v>0</v>
      </c>
      <c r="W29" s="36">
        <f>VLOOKUP($A29,[29]HISTOAOUT24!$A$6:$AU$38,20,0)</f>
        <v>0</v>
      </c>
      <c r="X29" s="36">
        <f>VLOOKUP($A29,[29]HISTOAOUT24!$A$6:$AU$38,27,0)</f>
        <v>0</v>
      </c>
      <c r="Y29" s="36">
        <f>VLOOKUP($A29,[29]HISTOAOUT24!$A$6:$BM$38,33,0)</f>
        <v>0</v>
      </c>
      <c r="Z29" s="36">
        <f>VLOOKUP($A29,[29]HISTOAOUT24!$A$6:$BM$38,65,0)</f>
        <v>0</v>
      </c>
      <c r="AA29" s="36"/>
      <c r="AB29" s="36">
        <f>VLOOKUP($A29,[29]HISTOAOUT24!$A$6:$AU$38,43,0)</f>
        <v>0</v>
      </c>
      <c r="AC29" s="36">
        <f>VLOOKUP($A29,[29]HISTOAOUT24!$A$6:$AU$38,44,0)</f>
        <v>0</v>
      </c>
      <c r="AD29" s="36">
        <f>VLOOKUP($A29,[29]HISTOAOUT24!$A$6:$AU$38,47,0)</f>
        <v>0</v>
      </c>
      <c r="AE29" s="36">
        <f>VLOOKUP(A29,[29]HISTOAOUT24!$A$6:$BB$38,54,0)</f>
        <v>0</v>
      </c>
      <c r="AF29" s="36">
        <f>VLOOKUP($A29,[29]HISTOAOUT24!$A$6:$CB$38,60,0)</f>
        <v>0</v>
      </c>
      <c r="AG29" s="36">
        <f>VLOOKUP($A29,[29]HISTOAOUT24!$A$6:$CB$38,61,0)</f>
        <v>0</v>
      </c>
      <c r="AH29" s="36">
        <f>VLOOKUP($A29,[29]HISTOAOUT24!$A$6:$CB$38,62,0)</f>
        <v>0</v>
      </c>
      <c r="AI29" s="36">
        <f>VLOOKUP($A29,[29]HISTOAOUT24!$A$6:$CB$38,63,0)</f>
        <v>0</v>
      </c>
      <c r="AJ29" s="36">
        <f>VLOOKUP($A29,[29]HISTOAOUT24!$A$6:$CB$38,64,0)</f>
        <v>0</v>
      </c>
      <c r="AK29" s="36">
        <f>VLOOKUP($A29,[29]HISTOAOUT24!$A$6:$CB$38,65,0)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MVTJUIL24!I30-E30+L30</f>
        <v>858685.10839335551</v>
      </c>
      <c r="G30" s="5">
        <f>IF(MVTJUIL24!I30+L30&gt;700000,(MVTJUIL24!I30-E30+L30),0)</f>
        <v>858685.10839335551</v>
      </c>
      <c r="H30" s="36">
        <f t="shared" si="0"/>
        <v>543.11170608038367</v>
      </c>
      <c r="I30" s="6">
        <f t="shared" si="2"/>
        <v>859228.22009943589</v>
      </c>
      <c r="J30" s="36">
        <f>VLOOKUP($A30,[29]HISTOAOUT24!$A$6:$AQ$42,22,0)</f>
        <v>0</v>
      </c>
      <c r="K30" s="36">
        <f>VLOOKUP($A30,[29]HISTOAOUT24!$A$6:$AU$38,45,0)</f>
        <v>24000</v>
      </c>
      <c r="L30" s="36">
        <f t="shared" si="3"/>
        <v>18000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VLOOKUP($A30,[29]HISTOAOUT24!$A$6:$AU$38,7,0)</f>
        <v>0</v>
      </c>
      <c r="Q30" s="36">
        <f>VLOOKUP($A30,[29]HISTOAOUT24!$A$6:$AU$38,23,0)</f>
        <v>0</v>
      </c>
      <c r="R30" s="36">
        <f>VLOOKUP($A30,[29]HISTOAOUT24!$A$6:$AU$38,46,0)</f>
        <v>0</v>
      </c>
      <c r="S30" s="36">
        <f>VLOOKUP($A30,[29]HISTOAOUT24!$A$6:$AU$38,26,0)</f>
        <v>0</v>
      </c>
      <c r="T30" s="36">
        <f>VLOOKUP($A30,[29]HISTOAOUT24!$A$6:$BG$38,58,0)</f>
        <v>0</v>
      </c>
      <c r="U30" s="36">
        <f>VLOOKUP($A30,[29]HISTOAOUT24!$A$6:$AU$38,28,0)</f>
        <v>0</v>
      </c>
      <c r="V30" s="36">
        <f>VLOOKUP($A30,[29]HISTOAOUT24!$A$6:$AU$38,19,0)</f>
        <v>0</v>
      </c>
      <c r="W30" s="36">
        <f>VLOOKUP($A30,[29]HISTOAOUT24!$A$6:$AU$38,20,0)</f>
        <v>0</v>
      </c>
      <c r="X30" s="36">
        <f>VLOOKUP($A30,[29]HISTOAOUT24!$A$6:$AU$38,27,0)</f>
        <v>0</v>
      </c>
      <c r="Y30" s="36">
        <f>VLOOKUP($A30,[29]HISTOAOUT24!$A$6:$BM$38,33,0)</f>
        <v>0</v>
      </c>
      <c r="Z30" s="36">
        <f>VLOOKUP($A30,[29]HISTOAOUT24!$A$6:$BM$38,65,0)</f>
        <v>0</v>
      </c>
      <c r="AA30" s="36"/>
      <c r="AB30" s="36">
        <f>VLOOKUP($A30,[29]HISTOAOUT24!$A$6:$AU$38,43,0)</f>
        <v>0</v>
      </c>
      <c r="AC30" s="36">
        <f>VLOOKUP($A30,[29]HISTOAOUT24!$A$6:$AU$38,44,0)</f>
        <v>0</v>
      </c>
      <c r="AD30" s="36">
        <f>VLOOKUP($A30,[29]HISTOAOUT24!$A$6:$AU$38,47,0)</f>
        <v>0</v>
      </c>
      <c r="AE30" s="36">
        <f>VLOOKUP(A30,[29]HISTOAOUT24!$A$6:$BB$38,54,0)</f>
        <v>0</v>
      </c>
      <c r="AF30" s="36">
        <f>VLOOKUP($A30,[29]HISTOAOUT24!$A$6:$CB$38,60,0)</f>
        <v>0</v>
      </c>
      <c r="AG30" s="36">
        <f>VLOOKUP($A30,[29]HISTOAOUT24!$A$6:$CB$38,61,0)</f>
        <v>0</v>
      </c>
      <c r="AH30" s="36">
        <f>VLOOKUP($A30,[29]HISTOAOUT24!$A$6:$CB$38,62,0)</f>
        <v>0</v>
      </c>
      <c r="AI30" s="36">
        <f>VLOOKUP($A30,[29]HISTOAOUT24!$A$6:$CB$38,63,0)</f>
        <v>0</v>
      </c>
      <c r="AJ30" s="36">
        <f>VLOOKUP($A30,[29]HISTOAOUT24!$A$6:$CB$38,64,0)</f>
        <v>0</v>
      </c>
      <c r="AK30" s="36">
        <f>VLOOKUP($A30,[29]HISTOAOUT24!$A$6:$CB$38,65,0)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MVTJUIL24!I31-E31+L31</f>
        <v>1023441.5546669146</v>
      </c>
      <c r="G31" s="5">
        <f>IF(MVTJUIL24!I31+L31&gt;700000,(MVTJUIL24!I31-E31+L31),0)</f>
        <v>1023441.5546669146</v>
      </c>
      <c r="H31" s="36">
        <f t="shared" si="0"/>
        <v>647.31888720967754</v>
      </c>
      <c r="I31" s="6">
        <f t="shared" si="2"/>
        <v>1024088.8735541243</v>
      </c>
      <c r="J31" s="36">
        <f>VLOOKUP($A31,[29]HISTOAOUT24!$A$6:$AQ$42,22,0)</f>
        <v>0</v>
      </c>
      <c r="K31" s="36">
        <f>VLOOKUP($A31,[29]HISTOAOUT24!$A$6:$AU$38,45,0)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VLOOKUP($A31,[29]HISTOAOUT24!$A$6:$AU$38,7,0)</f>
        <v>0</v>
      </c>
      <c r="Q31" s="36">
        <f>VLOOKUP($A31,[29]HISTOAOUT24!$A$6:$AU$38,23,0)</f>
        <v>0</v>
      </c>
      <c r="R31" s="36">
        <f>VLOOKUP($A31,[29]HISTOAOUT24!$A$6:$AU$38,46,0)</f>
        <v>0</v>
      </c>
      <c r="S31" s="36">
        <f>VLOOKUP($A31,[29]HISTOAOUT24!$A$6:$AU$38,26,0)</f>
        <v>0</v>
      </c>
      <c r="T31" s="36">
        <f>VLOOKUP($A31,[29]HISTOAOUT24!$A$6:$BG$38,58,0)</f>
        <v>0</v>
      </c>
      <c r="U31" s="36">
        <f>VLOOKUP($A31,[29]HISTOAOUT24!$A$6:$AU$38,28,0)</f>
        <v>0</v>
      </c>
      <c r="V31" s="36">
        <f>VLOOKUP($A31,[29]HISTOAOUT24!$A$6:$AU$38,19,0)</f>
        <v>0</v>
      </c>
      <c r="W31" s="36">
        <f>VLOOKUP($A31,[29]HISTOAOUT24!$A$6:$AU$38,20,0)</f>
        <v>0</v>
      </c>
      <c r="X31" s="36">
        <f>VLOOKUP($A31,[29]HISTOAOUT24!$A$6:$AU$38,27,0)</f>
        <v>0</v>
      </c>
      <c r="Y31" s="36">
        <f>VLOOKUP($A31,[29]HISTOAOUT24!$A$6:$BM$38,33,0)</f>
        <v>0</v>
      </c>
      <c r="Z31" s="36">
        <f>VLOOKUP($A31,[29]HISTOAOUT24!$A$6:$BM$38,65,0)</f>
        <v>0</v>
      </c>
      <c r="AA31" s="36"/>
      <c r="AB31" s="36">
        <f>VLOOKUP($A31,[29]HISTOAOUT24!$A$6:$AU$38,43,0)</f>
        <v>0</v>
      </c>
      <c r="AC31" s="36">
        <f>VLOOKUP($A31,[29]HISTOAOUT24!$A$6:$AU$38,44,0)</f>
        <v>0</v>
      </c>
      <c r="AD31" s="36">
        <f>VLOOKUP($A31,[29]HISTOAOUT24!$A$6:$AU$38,47,0)</f>
        <v>0</v>
      </c>
      <c r="AE31" s="36">
        <f>VLOOKUP(A31,[29]HISTOAOUT24!$A$6:$BB$38,54,0)</f>
        <v>0</v>
      </c>
      <c r="AF31" s="36">
        <f>VLOOKUP($A31,[29]HISTOAOUT24!$A$6:$CB$38,60,0)</f>
        <v>0</v>
      </c>
      <c r="AG31" s="36">
        <f>VLOOKUP($A31,[29]HISTOAOUT24!$A$6:$CB$38,61,0)</f>
        <v>0</v>
      </c>
      <c r="AH31" s="36">
        <f>VLOOKUP($A31,[29]HISTOAOUT24!$A$6:$CB$38,62,0)</f>
        <v>0</v>
      </c>
      <c r="AI31" s="36">
        <f>VLOOKUP($A31,[29]HISTOAOUT24!$A$6:$CB$38,63,0)</f>
        <v>0</v>
      </c>
      <c r="AJ31" s="36">
        <f>VLOOKUP($A31,[29]HISTOAOUT24!$A$6:$CB$38,64,0)</f>
        <v>0</v>
      </c>
      <c r="AK31" s="36">
        <f>VLOOKUP($A31,[29]HISTOAOUT24!$A$6:$CB$38,65,0)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MVTJUIL24!I32-E32+L32</f>
        <v>908706.05276756617</v>
      </c>
      <c r="G32" s="5">
        <f>IF(MVTJUIL24!I32+L32&gt;700000,(MVTJUIL24!I32-E32+L32),0)</f>
        <v>908706.05276756617</v>
      </c>
      <c r="H32" s="36">
        <f t="shared" si="0"/>
        <v>574.74956747250712</v>
      </c>
      <c r="I32" s="6">
        <f t="shared" si="2"/>
        <v>909280.80233503866</v>
      </c>
      <c r="J32" s="36">
        <f>VLOOKUP($A32,[29]HISTOAOUT24!$A$6:$AQ$42,22,0)</f>
        <v>0</v>
      </c>
      <c r="K32" s="36">
        <f>VLOOKUP($A32,[29]HISTOAOUT24!$A$6:$AU$38,45,0)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VLOOKUP($A32,[29]HISTOAOUT24!$A$6:$AU$38,7,0)</f>
        <v>0</v>
      </c>
      <c r="Q32" s="36">
        <f>VLOOKUP($A32,[29]HISTOAOUT24!$A$6:$AU$38,23,0)</f>
        <v>0</v>
      </c>
      <c r="R32" s="36">
        <f>VLOOKUP($A32,[29]HISTOAOUT24!$A$6:$AU$38,46,0)</f>
        <v>0</v>
      </c>
      <c r="S32" s="36">
        <f>VLOOKUP($A32,[29]HISTOAOUT24!$A$6:$AU$38,26,0)</f>
        <v>0</v>
      </c>
      <c r="T32" s="36">
        <f>VLOOKUP($A32,[29]HISTOAOUT24!$A$6:$BG$38,58,0)</f>
        <v>0</v>
      </c>
      <c r="U32" s="36">
        <f>VLOOKUP($A32,[29]HISTOAOUT24!$A$6:$AU$38,28,0)</f>
        <v>0</v>
      </c>
      <c r="V32" s="36">
        <f>VLOOKUP($A32,[29]HISTOAOUT24!$A$6:$AU$38,19,0)</f>
        <v>0</v>
      </c>
      <c r="W32" s="36">
        <f>VLOOKUP($A32,[29]HISTOAOUT24!$A$6:$AU$38,20,0)</f>
        <v>0</v>
      </c>
      <c r="X32" s="36">
        <f>VLOOKUP($A32,[29]HISTOAOUT24!$A$6:$AU$38,27,0)</f>
        <v>0</v>
      </c>
      <c r="Y32" s="36">
        <f>VLOOKUP($A32,[29]HISTOAOUT24!$A$6:$BM$38,33,0)</f>
        <v>0</v>
      </c>
      <c r="Z32" s="36">
        <f>VLOOKUP($A32,[29]HISTOAOUT24!$A$6:$BM$38,65,0)</f>
        <v>0</v>
      </c>
      <c r="AA32" s="36"/>
      <c r="AB32" s="36">
        <f>VLOOKUP($A32,[29]HISTOAOUT24!$A$6:$AU$38,43,0)</f>
        <v>0</v>
      </c>
      <c r="AC32" s="36">
        <f>VLOOKUP($A32,[29]HISTOAOUT24!$A$6:$AU$38,44,0)</f>
        <v>0</v>
      </c>
      <c r="AD32" s="36">
        <f>VLOOKUP($A32,[29]HISTOAOUT24!$A$6:$AU$38,47,0)</f>
        <v>0</v>
      </c>
      <c r="AE32" s="36">
        <f>VLOOKUP(A32,[29]HISTOAOUT24!$A$6:$BB$38,54,0)</f>
        <v>0</v>
      </c>
      <c r="AF32" s="36">
        <f>VLOOKUP($A32,[29]HISTOAOUT24!$A$6:$CB$38,60,0)</f>
        <v>0</v>
      </c>
      <c r="AG32" s="36">
        <f>VLOOKUP($A32,[29]HISTOAOUT24!$A$6:$CB$38,61,0)</f>
        <v>0</v>
      </c>
      <c r="AH32" s="36">
        <f>VLOOKUP($A32,[29]HISTOAOUT24!$A$6:$CB$38,62,0)</f>
        <v>0</v>
      </c>
      <c r="AI32" s="36">
        <f>VLOOKUP($A32,[29]HISTOAOUT24!$A$6:$CB$38,63,0)</f>
        <v>0</v>
      </c>
      <c r="AJ32" s="36">
        <f>VLOOKUP($A32,[29]HISTOAOUT24!$A$6:$CB$38,64,0)</f>
        <v>0</v>
      </c>
      <c r="AK32" s="36">
        <f>VLOOKUP($A32,[29]HISTOAOUT24!$A$6:$CB$38,65,0)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MVTJUIL24!I33-E33+L33</f>
        <v>1913172.8886637648</v>
      </c>
      <c r="G33" s="5">
        <f>IF(MVTJUIL24!I33+L33&gt;700000,(MVTJUIL24!I33-E33+L33),0)</f>
        <v>1913172.8886637648</v>
      </c>
      <c r="H33" s="36">
        <f t="shared" si="0"/>
        <v>1210.0670914545856</v>
      </c>
      <c r="I33" s="6">
        <f t="shared" si="2"/>
        <v>1914382.9557552193</v>
      </c>
      <c r="J33" s="36">
        <f>VLOOKUP($A33,[29]HISTOAOUT24!$A$6:$AQ$42,22,0)</f>
        <v>0</v>
      </c>
      <c r="K33" s="36">
        <f>VLOOKUP($A33,[29]HISTOAOUT24!$A$6:$AU$38,45,0)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VLOOKUP($A33,[29]HISTOAOUT24!$A$6:$AU$38,7,0)</f>
        <v>0</v>
      </c>
      <c r="Q33" s="36">
        <f>VLOOKUP($A33,[29]HISTOAOUT24!$A$6:$AU$38,23,0)</f>
        <v>0</v>
      </c>
      <c r="R33" s="36">
        <f>VLOOKUP($A33,[29]HISTOAOUT24!$A$6:$AU$38,46,0)</f>
        <v>0</v>
      </c>
      <c r="S33" s="36">
        <f>VLOOKUP($A33,[29]HISTOAOUT24!$A$6:$AU$38,26,0)</f>
        <v>0</v>
      </c>
      <c r="T33" s="36">
        <f>VLOOKUP($A33,[29]HISTOAOUT24!$A$6:$BG$38,58,0)</f>
        <v>0</v>
      </c>
      <c r="U33" s="36">
        <f>VLOOKUP($A33,[29]HISTOAOUT24!$A$6:$AU$38,28,0)</f>
        <v>0</v>
      </c>
      <c r="V33" s="36">
        <f>VLOOKUP($A33,[29]HISTOAOUT24!$A$6:$AU$38,19,0)</f>
        <v>0</v>
      </c>
      <c r="W33" s="36">
        <f>VLOOKUP($A33,[29]HISTOAOUT24!$A$6:$AU$38,20,0)</f>
        <v>0</v>
      </c>
      <c r="X33" s="36">
        <f>VLOOKUP($A33,[29]HISTOAOUT24!$A$6:$AU$38,27,0)</f>
        <v>0</v>
      </c>
      <c r="Y33" s="36">
        <f>VLOOKUP($A33,[29]HISTOAOUT24!$A$6:$BM$38,33,0)</f>
        <v>0</v>
      </c>
      <c r="Z33" s="36">
        <f>VLOOKUP($A33,[29]HISTOAOUT24!$A$6:$BM$38,65,0)</f>
        <v>0</v>
      </c>
      <c r="AA33" s="36"/>
      <c r="AB33" s="36">
        <f>VLOOKUP($A33,[29]HISTOAOUT24!$A$6:$AU$38,43,0)</f>
        <v>0</v>
      </c>
      <c r="AC33" s="36">
        <f>VLOOKUP($A33,[29]HISTOAOUT24!$A$6:$AU$38,44,0)</f>
        <v>0</v>
      </c>
      <c r="AD33" s="36">
        <f>VLOOKUP($A33,[29]HISTOAOUT24!$A$6:$AU$38,47,0)</f>
        <v>0</v>
      </c>
      <c r="AE33" s="36">
        <f>VLOOKUP(A33,[29]HISTOAOUT24!$A$6:$BB$38,54,0)</f>
        <v>0</v>
      </c>
      <c r="AF33" s="36">
        <f>VLOOKUP($A33,[29]HISTOAOUT24!$A$6:$CB$38,60,0)</f>
        <v>0</v>
      </c>
      <c r="AG33" s="36">
        <f>VLOOKUP($A33,[29]HISTOAOUT24!$A$6:$CB$38,61,0)</f>
        <v>0</v>
      </c>
      <c r="AH33" s="36">
        <f>VLOOKUP($A33,[29]HISTOAOUT24!$A$6:$CB$38,62,0)</f>
        <v>0</v>
      </c>
      <c r="AI33" s="36">
        <f>VLOOKUP($A33,[29]HISTOAOUT24!$A$6:$CB$38,63,0)</f>
        <v>0</v>
      </c>
      <c r="AJ33" s="36">
        <f>VLOOKUP($A33,[29]HISTOAOUT24!$A$6:$CB$38,64,0)</f>
        <v>0</v>
      </c>
      <c r="AK33" s="36">
        <f>VLOOKUP($A33,[29]HISTOAOUT24!$A$6:$CB$38,65,0)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MVTJUIL24!I34-E34+L34</f>
        <v>607000</v>
      </c>
      <c r="G34" s="5">
        <f>IF(MVTJUIL24!I34+L34&gt;700000,(MVTJUIL24!I34-E34+L34),0)</f>
        <v>0</v>
      </c>
      <c r="H34" s="36">
        <f t="shared" si="0"/>
        <v>0</v>
      </c>
      <c r="I34" s="6">
        <f t="shared" si="2"/>
        <v>607000</v>
      </c>
      <c r="J34" s="36">
        <f>VLOOKUP($A34,[29]HISTOAOUT24!$A$6:$AQ$42,22,0)</f>
        <v>0</v>
      </c>
      <c r="K34" s="36">
        <f>VLOOKUP($A34,[29]HISTOAOUT24!$A$6:$AU$38,45,0)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VLOOKUP($A34,[29]HISTOAOUT24!$A$6:$AU$38,7,0)</f>
        <v>0</v>
      </c>
      <c r="Q34" s="36">
        <f>VLOOKUP($A34,[29]HISTOAOUT24!$A$6:$AU$38,23,0)</f>
        <v>0</v>
      </c>
      <c r="R34" s="36">
        <f>VLOOKUP($A34,[29]HISTOAOUT24!$A$6:$AU$38,46,0)</f>
        <v>0</v>
      </c>
      <c r="S34" s="36">
        <f>VLOOKUP($A34,[29]HISTOAOUT24!$A$6:$AU$38,26,0)</f>
        <v>0</v>
      </c>
      <c r="T34" s="36">
        <f>VLOOKUP($A34,[29]HISTOAOUT24!$A$6:$BG$38,58,0)</f>
        <v>0</v>
      </c>
      <c r="U34" s="36">
        <f>VLOOKUP($A34,[29]HISTOAOUT24!$A$6:$AU$38,28,0)</f>
        <v>0</v>
      </c>
      <c r="V34" s="36">
        <f>VLOOKUP($A34,[29]HISTOAOUT24!$A$6:$AU$38,19,0)</f>
        <v>0</v>
      </c>
      <c r="W34" s="36">
        <f>VLOOKUP($A34,[29]HISTOAOUT24!$A$6:$AU$38,20,0)</f>
        <v>0</v>
      </c>
      <c r="X34" s="36">
        <f>VLOOKUP($A34,[29]HISTOAOUT24!$A$6:$AU$38,27,0)</f>
        <v>0</v>
      </c>
      <c r="Y34" s="36">
        <f>VLOOKUP($A34,[29]HISTOAOUT24!$A$6:$BM$38,33,0)</f>
        <v>0</v>
      </c>
      <c r="Z34" s="36">
        <f>VLOOKUP($A34,[29]HISTOAOUT24!$A$6:$BM$38,65,0)</f>
        <v>0</v>
      </c>
      <c r="AA34" s="36"/>
      <c r="AB34" s="36">
        <f>VLOOKUP($A34,[29]HISTOAOUT24!$A$6:$AU$38,43,0)</f>
        <v>0</v>
      </c>
      <c r="AC34" s="36">
        <f>VLOOKUP($A34,[29]HISTOAOUT24!$A$6:$AU$38,44,0)</f>
        <v>0</v>
      </c>
      <c r="AD34" s="36">
        <f>VLOOKUP($A34,[29]HISTOAOUT24!$A$6:$AU$38,47,0)</f>
        <v>0</v>
      </c>
      <c r="AE34" s="36">
        <f>VLOOKUP(A34,[29]HISTOAOUT24!$A$6:$BB$38,54,0)</f>
        <v>0</v>
      </c>
      <c r="AF34" s="36">
        <f>VLOOKUP($A34,[29]HISTOAOUT24!$A$6:$CB$38,60,0)</f>
        <v>0</v>
      </c>
      <c r="AG34" s="36">
        <f>VLOOKUP($A34,[29]HISTOAOUT24!$A$6:$CB$38,61,0)</f>
        <v>0</v>
      </c>
      <c r="AH34" s="36">
        <f>VLOOKUP($A34,[29]HISTOAOUT24!$A$6:$CB$38,62,0)</f>
        <v>0</v>
      </c>
      <c r="AI34" s="36">
        <f>VLOOKUP($A34,[29]HISTOAOUT24!$A$6:$CB$38,63,0)</f>
        <v>0</v>
      </c>
      <c r="AJ34" s="36">
        <f>VLOOKUP($A34,[29]HISTOAOUT24!$A$6:$CB$38,64,0)</f>
        <v>0</v>
      </c>
      <c r="AK34" s="36">
        <f>VLOOKUP($A34,[29]HISTOAOUT24!$A$6:$CB$38,65,0)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MVTJUIL24!I35-E35+L35</f>
        <v>233000</v>
      </c>
      <c r="G35" s="5">
        <f>IF(MVTJUIL24!I35+L35&gt;700000,(MVTJUIL24!I35-E35+L35),0)</f>
        <v>0</v>
      </c>
      <c r="H35" s="36">
        <f t="shared" si="0"/>
        <v>0</v>
      </c>
      <c r="I35" s="6">
        <f t="shared" si="2"/>
        <v>233000</v>
      </c>
      <c r="J35" s="36">
        <f>VLOOKUP($A35,[29]HISTOAOUT24!$A$6:$AQ$42,22,0)</f>
        <v>0</v>
      </c>
      <c r="K35" s="36">
        <f>VLOOKUP($A35,[29]HISTOAOUT24!$A$6:$AU$38,45,0)</f>
        <v>0</v>
      </c>
      <c r="L35" s="36">
        <f t="shared" si="3"/>
        <v>0</v>
      </c>
      <c r="M35" s="36">
        <f t="shared" si="4"/>
        <v>0</v>
      </c>
      <c r="N35" s="36">
        <f t="shared" si="1"/>
        <v>0</v>
      </c>
      <c r="O35" s="36">
        <f t="shared" si="5"/>
        <v>0</v>
      </c>
      <c r="P35" s="36">
        <f>VLOOKUP($A35,[29]HISTOAOUT24!$A$6:$AU$38,7,0)</f>
        <v>0</v>
      </c>
      <c r="Q35" s="36">
        <f>VLOOKUP($A35,[29]HISTOAOUT24!$A$6:$AU$38,23,0)</f>
        <v>0</v>
      </c>
      <c r="R35" s="36">
        <f>VLOOKUP($A35,[29]HISTOAOUT24!$A$6:$AU$38,46,0)</f>
        <v>0</v>
      </c>
      <c r="S35" s="36">
        <f>VLOOKUP($A35,[29]HISTOAOUT24!$A$6:$AU$38,26,0)</f>
        <v>0</v>
      </c>
      <c r="T35" s="36">
        <f>VLOOKUP($A35,[29]HISTOAOUT24!$A$6:$BG$38,58,0)</f>
        <v>0</v>
      </c>
      <c r="U35" s="36">
        <f>VLOOKUP($A35,[29]HISTOAOUT24!$A$6:$AU$38,28,0)</f>
        <v>0</v>
      </c>
      <c r="V35" s="36">
        <f>VLOOKUP($A35,[29]HISTOAOUT24!$A$6:$AU$38,19,0)</f>
        <v>0</v>
      </c>
      <c r="W35" s="36">
        <f>VLOOKUP($A35,[29]HISTOAOUT24!$A$6:$AU$38,20,0)</f>
        <v>0</v>
      </c>
      <c r="X35" s="36">
        <f>VLOOKUP($A35,[29]HISTOAOUT24!$A$6:$AU$38,27,0)</f>
        <v>0</v>
      </c>
      <c r="Y35" s="36">
        <f>VLOOKUP($A35,[29]HISTOAOUT24!$A$6:$BM$38,33,0)</f>
        <v>0</v>
      </c>
      <c r="Z35" s="36">
        <f>VLOOKUP($A35,[29]HISTOAOUT24!$A$6:$BM$38,65,0)</f>
        <v>0</v>
      </c>
      <c r="AA35" s="36"/>
      <c r="AB35" s="36">
        <f>VLOOKUP($A35,[29]HISTOAOUT24!$A$6:$AU$38,43,0)</f>
        <v>0</v>
      </c>
      <c r="AC35" s="36">
        <f>VLOOKUP($A35,[29]HISTOAOUT24!$A$6:$AU$38,44,0)</f>
        <v>0</v>
      </c>
      <c r="AD35" s="36">
        <f>VLOOKUP($A35,[29]HISTOAOUT24!$A$6:$AU$38,47,0)</f>
        <v>0</v>
      </c>
      <c r="AE35" s="36">
        <f>VLOOKUP(A35,[29]HISTOAOUT24!$A$6:$BB$38,54,0)</f>
        <v>0</v>
      </c>
      <c r="AF35" s="36">
        <f>VLOOKUP($A35,[29]HISTOAOUT24!$A$6:$CB$38,60,0)</f>
        <v>0</v>
      </c>
      <c r="AG35" s="36">
        <f>VLOOKUP($A35,[29]HISTOAOUT24!$A$6:$CB$38,61,0)</f>
        <v>0</v>
      </c>
      <c r="AH35" s="36">
        <f>VLOOKUP($A35,[29]HISTOAOUT24!$A$6:$CB$38,62,0)</f>
        <v>0</v>
      </c>
      <c r="AI35" s="36">
        <f>VLOOKUP($A35,[29]HISTOAOUT24!$A$6:$CB$38,63,0)</f>
        <v>0</v>
      </c>
      <c r="AJ35" s="36">
        <f>VLOOKUP($A35,[29]HISTOAOUT24!$A$6:$CB$38,64,0)</f>
        <v>0</v>
      </c>
      <c r="AK35" s="36">
        <f>VLOOKUP($A35,[29]HISTOAOUT24!$A$6:$CB$38,65,0)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MVTJUIL24!I36-E36+L36</f>
        <v>986702.78826135676</v>
      </c>
      <c r="G36" s="5">
        <f>IF(MVTJUIL24!I36+L36&gt;700000,(MVTJUIL24!I36-E36+L36),0)</f>
        <v>986702.78826135676</v>
      </c>
      <c r="H36" s="36">
        <f t="shared" si="0"/>
        <v>624.0819009072776</v>
      </c>
      <c r="I36" s="6">
        <f t="shared" si="2"/>
        <v>987326.87016226409</v>
      </c>
      <c r="J36" s="36">
        <f>VLOOKUP($A36,[29]HISTOAOUT24!$A$6:$AQ$42,22,0)</f>
        <v>0</v>
      </c>
      <c r="K36" s="36">
        <f>VLOOKUP($A36,[29]HISTOAOUT24!$A$6:$AU$38,45,0)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VLOOKUP($A36,[29]HISTOAOUT24!$A$6:$AU$38,7,0)</f>
        <v>0</v>
      </c>
      <c r="Q36" s="36">
        <f>VLOOKUP($A36,[29]HISTOAOUT24!$A$6:$AU$38,23,0)</f>
        <v>0</v>
      </c>
      <c r="R36" s="36">
        <f>VLOOKUP($A36,[29]HISTOAOUT24!$A$6:$AU$38,46,0)</f>
        <v>0</v>
      </c>
      <c r="S36" s="36">
        <f>VLOOKUP($A36,[29]HISTOAOUT24!$A$6:$AU$38,26,0)</f>
        <v>0</v>
      </c>
      <c r="T36" s="36">
        <f>VLOOKUP($A36,[29]HISTOAOUT24!$A$6:$BG$38,58,0)</f>
        <v>0</v>
      </c>
      <c r="U36" s="36">
        <f>VLOOKUP($A36,[29]HISTOAOUT24!$A$6:$AU$38,28,0)</f>
        <v>0</v>
      </c>
      <c r="V36" s="36">
        <f>VLOOKUP($A36,[29]HISTOAOUT24!$A$6:$AU$38,19,0)</f>
        <v>0</v>
      </c>
      <c r="W36" s="36">
        <f>VLOOKUP($A36,[29]HISTOAOUT24!$A$6:$AU$38,20,0)</f>
        <v>0</v>
      </c>
      <c r="X36" s="36">
        <f>VLOOKUP($A36,[29]HISTOAOUT24!$A$6:$AU$38,27,0)</f>
        <v>0</v>
      </c>
      <c r="Y36" s="36">
        <f>VLOOKUP($A36,[29]HISTOAOUT24!$A$6:$BM$38,33,0)</f>
        <v>0</v>
      </c>
      <c r="Z36" s="36">
        <f>VLOOKUP($A36,[29]HISTOAOUT24!$A$6:$BM$38,65,0)</f>
        <v>0</v>
      </c>
      <c r="AA36" s="36"/>
      <c r="AB36" s="36">
        <f>VLOOKUP($A36,[29]HISTOAOUT24!$A$6:$AU$38,43,0)</f>
        <v>0</v>
      </c>
      <c r="AC36" s="36">
        <f>VLOOKUP($A36,[29]HISTOAOUT24!$A$6:$AU$38,44,0)</f>
        <v>0</v>
      </c>
      <c r="AD36" s="36">
        <f>VLOOKUP($A36,[29]HISTOAOUT24!$A$6:$AU$38,47,0)</f>
        <v>0</v>
      </c>
      <c r="AE36" s="36">
        <f>VLOOKUP(A36,[29]HISTOAOUT24!$A$6:$BB$38,54,0)</f>
        <v>0</v>
      </c>
      <c r="AF36" s="36">
        <f>VLOOKUP($A36,[29]HISTOAOUT24!$A$6:$CB$38,60,0)</f>
        <v>0</v>
      </c>
      <c r="AG36" s="36">
        <f>VLOOKUP($A36,[29]HISTOAOUT24!$A$6:$CB$38,61,0)</f>
        <v>0</v>
      </c>
      <c r="AH36" s="36">
        <f>VLOOKUP($A36,[29]HISTOAOUT24!$A$6:$CB$38,62,0)</f>
        <v>0</v>
      </c>
      <c r="AI36" s="36">
        <f>VLOOKUP($A36,[29]HISTOAOUT24!$A$6:$CB$38,63,0)</f>
        <v>0</v>
      </c>
      <c r="AJ36" s="36">
        <f>VLOOKUP($A36,[29]HISTOAOUT24!$A$6:$CB$38,64,0)</f>
        <v>0</v>
      </c>
      <c r="AK36" s="36">
        <f>VLOOKUP($A36,[29]HISTOAOUT24!$A$6:$CB$38,65,0)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MVTJUIL24!I37-E37+L37</f>
        <v>1989152.3402900465</v>
      </c>
      <c r="G37" s="5">
        <f>IF(MVTJUIL24!I37+L37&gt;700000,(MVTJUIL24!I37-E37+L37),0)</f>
        <v>1989152.3402900465</v>
      </c>
      <c r="H37" s="36">
        <f t="shared" si="0"/>
        <v>1258.1235084070249</v>
      </c>
      <c r="I37" s="6">
        <f t="shared" si="2"/>
        <v>1990410.4637984536</v>
      </c>
      <c r="J37" s="36">
        <f>VLOOKUP($A37,[29]HISTOAOUT24!$A$6:$AQ$42,22,0)</f>
        <v>0</v>
      </c>
      <c r="K37" s="36">
        <f>VLOOKUP($A37,[29]HISTOAOUT24!$A$6:$AU$38,45,0)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VLOOKUP($A37,[29]HISTOAOUT24!$A$6:$AU$38,7,0)</f>
        <v>0</v>
      </c>
      <c r="Q37" s="36">
        <f>VLOOKUP($A37,[29]HISTOAOUT24!$A$6:$AU$38,23,0)</f>
        <v>0</v>
      </c>
      <c r="R37" s="36">
        <f>VLOOKUP($A37,[29]HISTOAOUT24!$A$6:$AU$38,46,0)</f>
        <v>0</v>
      </c>
      <c r="S37" s="36">
        <f>VLOOKUP($A37,[29]HISTOAOUT24!$A$6:$AU$38,26,0)</f>
        <v>0</v>
      </c>
      <c r="T37" s="36">
        <f>VLOOKUP($A37,[29]HISTOAOUT24!$A$6:$BG$38,58,0)</f>
        <v>0</v>
      </c>
      <c r="U37" s="36">
        <f>VLOOKUP($A37,[29]HISTOAOUT24!$A$6:$AU$38,28,0)</f>
        <v>0</v>
      </c>
      <c r="V37" s="36">
        <f>VLOOKUP($A37,[29]HISTOAOUT24!$A$6:$AU$38,19,0)</f>
        <v>0</v>
      </c>
      <c r="W37" s="36">
        <f>VLOOKUP($A37,[29]HISTOAOUT24!$A$6:$AU$38,20,0)</f>
        <v>0</v>
      </c>
      <c r="X37" s="36">
        <f>VLOOKUP($A37,[29]HISTOAOUT24!$A$6:$AU$38,27,0)</f>
        <v>0</v>
      </c>
      <c r="Y37" s="36">
        <f>VLOOKUP($A37,[29]HISTOAOUT24!$A$6:$BM$38,33,0)</f>
        <v>0</v>
      </c>
      <c r="Z37" s="36">
        <f>VLOOKUP($A37,[29]HISTOAOUT24!$A$6:$BM$38,65,0)</f>
        <v>0</v>
      </c>
      <c r="AA37" s="36"/>
      <c r="AB37" s="36">
        <f>VLOOKUP($A37,[29]HISTOAOUT24!$A$6:$AU$38,43,0)</f>
        <v>0</v>
      </c>
      <c r="AC37" s="36">
        <f>VLOOKUP($A37,[29]HISTOAOUT24!$A$6:$AU$38,44,0)</f>
        <v>0</v>
      </c>
      <c r="AD37" s="36">
        <f>VLOOKUP($A37,[29]HISTOAOUT24!$A$6:$AU$38,47,0)</f>
        <v>0</v>
      </c>
      <c r="AE37" s="36">
        <f>VLOOKUP(A37,[29]HISTOAOUT24!$A$6:$BB$38,54,0)</f>
        <v>0</v>
      </c>
      <c r="AF37" s="36">
        <f>VLOOKUP($A37,[29]HISTOAOUT24!$A$6:$CB$38,60,0)</f>
        <v>0</v>
      </c>
      <c r="AG37" s="36">
        <f>VLOOKUP($A37,[29]HISTOAOUT24!$A$6:$CB$38,61,0)</f>
        <v>0</v>
      </c>
      <c r="AH37" s="36">
        <f>VLOOKUP($A37,[29]HISTOAOUT24!$A$6:$CB$38,62,0)</f>
        <v>0</v>
      </c>
      <c r="AI37" s="36">
        <f>VLOOKUP($A37,[29]HISTOAOUT24!$A$6:$CB$38,63,0)</f>
        <v>0</v>
      </c>
      <c r="AJ37" s="36">
        <f>VLOOKUP($A37,[29]HISTOAOUT24!$A$6:$CB$38,64,0)</f>
        <v>0</v>
      </c>
      <c r="AK37" s="36">
        <f>VLOOKUP($A37,[29]HISTOAOUT24!$A$6:$CB$38,65,0)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MVTJUIL24!I38-E38+L38</f>
        <v>152000</v>
      </c>
      <c r="G38" s="5">
        <f>IF(MVTJUIL24!I38+L38&gt;700000,(MVTJUIL24!I38-E38+L38),0)</f>
        <v>0</v>
      </c>
      <c r="H38" s="36">
        <f t="shared" si="0"/>
        <v>0</v>
      </c>
      <c r="I38" s="6">
        <f t="shared" si="2"/>
        <v>152000</v>
      </c>
      <c r="J38" s="36">
        <f>VLOOKUP($A38,[29]HISTOAOUT24!$A$6:$AQ$42,22,0)</f>
        <v>0</v>
      </c>
      <c r="K38" s="36">
        <f>VLOOKUP($A38,[29]HISTOAOUT24!$A$6:$AU$38,45,0)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VLOOKUP($A38,[29]HISTOAOUT24!$A$6:$AU$38,7,0)</f>
        <v>0</v>
      </c>
      <c r="Q38" s="36">
        <f>VLOOKUP($A38,[29]HISTOAOUT24!$A$6:$AU$38,23,0)</f>
        <v>0</v>
      </c>
      <c r="R38" s="36">
        <f>VLOOKUP($A38,[29]HISTOAOUT24!$A$6:$AU$38,46,0)</f>
        <v>0</v>
      </c>
      <c r="S38" s="36">
        <f>VLOOKUP($A38,[29]HISTOAOUT24!$A$6:$AU$38,26,0)</f>
        <v>0</v>
      </c>
      <c r="T38" s="36">
        <f>VLOOKUP($A38,[29]HISTOAOUT24!$A$6:$BG$38,58,0)</f>
        <v>0</v>
      </c>
      <c r="U38" s="36">
        <f>VLOOKUP($A38,[29]HISTOAOUT24!$A$6:$AU$38,28,0)</f>
        <v>0</v>
      </c>
      <c r="V38" s="36">
        <f>VLOOKUP($A38,[29]HISTOAOUT24!$A$6:$AU$38,19,0)</f>
        <v>0</v>
      </c>
      <c r="W38" s="36">
        <f>VLOOKUP($A38,[29]HISTOAOUT24!$A$6:$AU$38,20,0)</f>
        <v>0</v>
      </c>
      <c r="X38" s="36">
        <f>VLOOKUP($A38,[29]HISTOAOUT24!$A$6:$AU$38,27,0)</f>
        <v>0</v>
      </c>
      <c r="Y38" s="36">
        <f>VLOOKUP($A38,[29]HISTOAOUT24!$A$6:$BM$38,33,0)</f>
        <v>0</v>
      </c>
      <c r="Z38" s="36">
        <f>VLOOKUP($A38,[29]HISTOAOUT24!$A$6:$BM$38,65,0)</f>
        <v>0</v>
      </c>
      <c r="AA38" s="36"/>
      <c r="AB38" s="36">
        <f>VLOOKUP($A38,[29]HISTOAOUT24!$A$6:$AU$38,43,0)</f>
        <v>0</v>
      </c>
      <c r="AC38" s="36">
        <f>VLOOKUP($A38,[29]HISTOAOUT24!$A$6:$AU$38,44,0)</f>
        <v>0</v>
      </c>
      <c r="AD38" s="36">
        <f>VLOOKUP($A38,[29]HISTOAOUT24!$A$6:$AU$38,47,0)</f>
        <v>0</v>
      </c>
      <c r="AE38" s="36">
        <f>VLOOKUP(A38,[29]HISTOAOUT24!$A$6:$BB$38,54,0)</f>
        <v>0</v>
      </c>
      <c r="AF38" s="36">
        <f>VLOOKUP($A38,[29]HISTOAOUT24!$A$6:$CB$38,60,0)</f>
        <v>0</v>
      </c>
      <c r="AG38" s="36">
        <f>VLOOKUP($A38,[29]HISTOAOUT24!$A$6:$CB$38,61,0)</f>
        <v>0</v>
      </c>
      <c r="AH38" s="36">
        <f>VLOOKUP($A38,[29]HISTOAOUT24!$A$6:$CB$38,62,0)</f>
        <v>0</v>
      </c>
      <c r="AI38" s="36">
        <f>VLOOKUP($A38,[29]HISTOAOUT24!$A$6:$CB$38,63,0)</f>
        <v>0</v>
      </c>
      <c r="AJ38" s="36">
        <f>VLOOKUP($A38,[29]HISTOAOUT24!$A$6:$CB$38,64,0)</f>
        <v>0</v>
      </c>
      <c r="AK38" s="36">
        <f>VLOOKUP($A38,[29]HISTOAOUT24!$A$6:$CB$38,65,0)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MVTJUIL24!I39-E39+L39</f>
        <v>2155650.4729635995</v>
      </c>
      <c r="G39" s="5">
        <f>IF(MVTJUIL24!I39+L39&gt;700000,(MVTJUIL24!I39-E39+L39),0)</f>
        <v>2155650.4729635995</v>
      </c>
      <c r="H39" s="36">
        <f t="shared" si="0"/>
        <v>1363.4322927467526</v>
      </c>
      <c r="I39" s="6">
        <f t="shared" si="2"/>
        <v>2157013.9052563463</v>
      </c>
      <c r="J39" s="36">
        <f>VLOOKUP($A39,[29]HISTOAOUT24!$A$6:$AQ$42,22,0)</f>
        <v>0</v>
      </c>
      <c r="K39" s="36">
        <f>VLOOKUP($A39,[29]HISTOAOUT24!$A$6:$AU$38,45,0)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VLOOKUP($A39,[29]HISTOAOUT24!$A$6:$AU$38,7,0)</f>
        <v>0</v>
      </c>
      <c r="Q39" s="36">
        <f>VLOOKUP($A39,[29]HISTOAOUT24!$A$6:$AU$38,23,0)</f>
        <v>0</v>
      </c>
      <c r="R39" s="36">
        <f>VLOOKUP($A39,[29]HISTOAOUT24!$A$6:$AU$38,46,0)</f>
        <v>0</v>
      </c>
      <c r="S39" s="36">
        <f>VLOOKUP($A39,[29]HISTOAOUT24!$A$6:$AU$38,26,0)</f>
        <v>0</v>
      </c>
      <c r="T39" s="36">
        <f>VLOOKUP($A39,[29]HISTOAOUT24!$A$6:$BG$38,58,0)</f>
        <v>0</v>
      </c>
      <c r="U39" s="36">
        <f>VLOOKUP($A39,[29]HISTOAOUT24!$A$6:$AU$38,28,0)</f>
        <v>0</v>
      </c>
      <c r="V39" s="36">
        <f>VLOOKUP($A39,[29]HISTOAOUT24!$A$6:$AU$38,19,0)</f>
        <v>0</v>
      </c>
      <c r="W39" s="36">
        <f>VLOOKUP($A39,[29]HISTOAOUT24!$A$6:$AU$38,20,0)</f>
        <v>0</v>
      </c>
      <c r="X39" s="36">
        <f>VLOOKUP($A39,[29]HISTOAOUT24!$A$6:$AU$38,27,0)</f>
        <v>0</v>
      </c>
      <c r="Y39" s="36">
        <f>VLOOKUP($A39,[29]HISTOAOUT24!$A$6:$BM$38,33,0)</f>
        <v>0</v>
      </c>
      <c r="Z39" s="36">
        <f>VLOOKUP($A39,[29]HISTOAOUT24!$A$6:$BM$38,65,0)</f>
        <v>0</v>
      </c>
      <c r="AA39" s="36"/>
      <c r="AB39" s="36">
        <f>VLOOKUP($A39,[29]HISTOAOUT24!$A$6:$AU$38,43,0)</f>
        <v>0</v>
      </c>
      <c r="AC39" s="36">
        <f>VLOOKUP($A39,[29]HISTOAOUT24!$A$6:$AU$38,44,0)</f>
        <v>0</v>
      </c>
      <c r="AD39" s="36">
        <f>VLOOKUP($A39,[29]HISTOAOUT24!$A$6:$AU$38,47,0)</f>
        <v>0</v>
      </c>
      <c r="AE39" s="36">
        <f>VLOOKUP(A39,[29]HISTOAOUT24!$A$6:$BB$38,54,0)</f>
        <v>0</v>
      </c>
      <c r="AF39" s="36">
        <f>VLOOKUP($A39,[29]HISTOAOUT24!$A$6:$CB$38,60,0)</f>
        <v>0</v>
      </c>
      <c r="AG39" s="36">
        <f>VLOOKUP($A39,[29]HISTOAOUT24!$A$6:$CB$38,61,0)</f>
        <v>0</v>
      </c>
      <c r="AH39" s="36">
        <f>VLOOKUP($A39,[29]HISTOAOUT24!$A$6:$CB$38,62,0)</f>
        <v>0</v>
      </c>
      <c r="AI39" s="36">
        <f>VLOOKUP($A39,[29]HISTOAOUT24!$A$6:$CB$38,63,0)</f>
        <v>0</v>
      </c>
      <c r="AJ39" s="36">
        <f>VLOOKUP($A39,[29]HISTOAOUT24!$A$6:$CB$38,64,0)</f>
        <v>0</v>
      </c>
      <c r="AK39" s="36">
        <f>VLOOKUP($A39,[29]HISTOAOUT24!$A$6:$CB$38,65,0)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33441156.07312192</v>
      </c>
      <c r="G41" s="9">
        <f t="shared" si="10"/>
        <v>31620939.07312192</v>
      </c>
      <c r="H41" s="36">
        <f t="shared" si="10"/>
        <v>20000</v>
      </c>
      <c r="I41" s="9">
        <f t="shared" si="10"/>
        <v>33461156.07312192</v>
      </c>
      <c r="J41" s="9">
        <f t="shared" si="10"/>
        <v>0</v>
      </c>
      <c r="K41" s="9">
        <f t="shared" si="10"/>
        <v>844500</v>
      </c>
      <c r="L41" s="9">
        <f t="shared" si="10"/>
        <v>658500</v>
      </c>
      <c r="M41" s="9">
        <f t="shared" si="10"/>
        <v>31000</v>
      </c>
      <c r="N41" s="9">
        <f t="shared" si="10"/>
        <v>31000</v>
      </c>
      <c r="O41" s="9">
        <f t="shared" si="10"/>
        <v>124000</v>
      </c>
      <c r="P41" s="9">
        <f t="shared" si="10"/>
        <v>3000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20000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7750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D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M44"/>
  <sheetViews>
    <sheetView workbookViewId="0">
      <pane xSplit="2" ySplit="5" topLeftCell="N12" activePane="bottomRight" state="frozen"/>
      <selection activeCell="B43" sqref="B43"/>
      <selection pane="topRight" activeCell="B43" sqref="B43"/>
      <selection pane="bottomLeft" activeCell="B43" sqref="B43"/>
      <selection pane="bottomRight" activeCell="A34" sqref="A34:XFD34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2">
        <v>45552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VLOOKUP($A6,[29]HISTOSEPT24!$A$6:$BA$38,48,0)</f>
        <v>0</v>
      </c>
      <c r="F6" s="36">
        <f>MVTAOUT24!I6-E6+L6</f>
        <v>955922.72965009429</v>
      </c>
      <c r="G6" s="5">
        <f>IF(MVTAOUT24!I6+L6&gt;700000,(MVTAOUT24!I6-E6+L6),0)</f>
        <v>955922.72965009429</v>
      </c>
      <c r="H6" s="36">
        <f t="shared" ref="H6:H39" si="0">$T$41/$G$41*G6</f>
        <v>563.60146605387934</v>
      </c>
      <c r="I6" s="6">
        <f>F6+H6</f>
        <v>956486.33111614815</v>
      </c>
      <c r="J6" s="36">
        <f>VLOOKUP($A6,[29]HISTOSEPT24!$A$6:$AQ$42,22,0)</f>
        <v>0</v>
      </c>
      <c r="K6" s="36">
        <f>VLOOKUP($A6,[29]HISTOSEPT24!$A$6:$AU$38,45,0)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VLOOKUP($A6,[29]HISTOSEPT24!$A$6:$AU$38,7,0)</f>
        <v>0</v>
      </c>
      <c r="Q6" s="36">
        <f>VLOOKUP($A6,[29]HISTOSEPT24!$A$6:$AU$38,23,0)</f>
        <v>0</v>
      </c>
      <c r="R6" s="36">
        <f>VLOOKUP($A6,[29]HISTOSEPT24!$A$6:$AU$38,46,0)</f>
        <v>0</v>
      </c>
      <c r="S6" s="36">
        <f>VLOOKUP($A6,[29]HISTOSEPT24!$A$6:$AU$38,26,0)</f>
        <v>0</v>
      </c>
      <c r="T6" s="36">
        <f>VLOOKUP($A6,[29]HISTOSEPT24!$A$6:$BG$38,58,0)</f>
        <v>0</v>
      </c>
      <c r="U6" s="36">
        <f>VLOOKUP($A6,[29]HISTOSEPT24!$A$6:$AU$38,28,0)</f>
        <v>0</v>
      </c>
      <c r="V6" s="36">
        <f>VLOOKUP($A6,[29]HISTOSEPT24!$A$6:$AU$38,19,0)</f>
        <v>0</v>
      </c>
      <c r="W6" s="36">
        <f>VLOOKUP($A6,[29]HISTOSEPT24!$A$6:$AU$38,20,0)</f>
        <v>0</v>
      </c>
      <c r="X6" s="36">
        <f>VLOOKUP($A6,[29]HISTOSEPT24!$A$6:$AU$38,27,0)</f>
        <v>0</v>
      </c>
      <c r="Y6" s="36">
        <f>VLOOKUP($A6,[29]HISTOSEPT24!$A$6:$BM$38,33,0)</f>
        <v>0</v>
      </c>
      <c r="Z6" s="36">
        <f>VLOOKUP($A6,[29]HISTOSEPT24!$A$6:$BM$38,65,0)</f>
        <v>0</v>
      </c>
      <c r="AA6" s="36"/>
      <c r="AB6" s="36">
        <f>VLOOKUP($A6,[29]HISTOSEPT24!$A$6:$AU$38,43,0)</f>
        <v>0</v>
      </c>
      <c r="AC6" s="36">
        <f>VLOOKUP($A6,[29]HISTOSEPT24!$A$6:$AU$38,44,0)</f>
        <v>0</v>
      </c>
      <c r="AD6" s="36">
        <f>VLOOKUP($A6,[29]HISTOSEPT24!$A$6:$AU$38,47,0)</f>
        <v>0</v>
      </c>
      <c r="AE6" s="36">
        <f>VLOOKUP(A6,[29]HISTOSEPT24!$A$6:$BB$38,54,0)</f>
        <v>0</v>
      </c>
      <c r="AF6" s="36">
        <f>VLOOKUP($A6,[29]HISTOSEPT24!$A$6:$CB$38,60,0)</f>
        <v>6000</v>
      </c>
      <c r="AG6" s="36">
        <f>VLOOKUP($A6,[29]HISTOSEPT24!$A$6:$CB$38,61,0)</f>
        <v>0</v>
      </c>
      <c r="AH6" s="36">
        <f>VLOOKUP($A6,[29]HISTOSEPT24!$A$6:$CB$38,62,0)</f>
        <v>0</v>
      </c>
      <c r="AI6" s="36">
        <f>VLOOKUP($A6,[29]HISTOSEPT24!$A$6:$CB$38,63,0)</f>
        <v>0</v>
      </c>
      <c r="AJ6" s="36">
        <f>VLOOKUP($A6,[29]HISTOSEPT24!$A$6:$CB$38,64,0)</f>
        <v>0</v>
      </c>
      <c r="AK6" s="36">
        <f>VLOOKUP($A6,[29]HISTOSEPT24!$A$6:$CB$38,65,0)</f>
        <v>0</v>
      </c>
      <c r="AL6" s="36">
        <f>VLOOKUP($A6,[29]HISTOSEPT24!$A$6:$CB$38,66,0)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VLOOKUP($A7,[29]HISTOSEPT24!$A$6:$BA$38,48,0)</f>
        <v>0</v>
      </c>
      <c r="F7" s="36">
        <f>MVTAOUT24!I7-E7+L7</f>
        <v>870183.38830550632</v>
      </c>
      <c r="G7" s="5">
        <f>IF(MVTAOUT24!I7+L7&gt;700000,(MVTAOUT24!I7-E7+L7),0)</f>
        <v>870183.38830550632</v>
      </c>
      <c r="H7" s="36">
        <f t="shared" si="0"/>
        <v>513.05049892917054</v>
      </c>
      <c r="I7" s="6">
        <f t="shared" ref="I7:I39" si="2">F7+H7</f>
        <v>870696.43880443554</v>
      </c>
      <c r="J7" s="36">
        <f>VLOOKUP($A7,[29]HISTOSEPT24!$A$6:$AQ$42,22,0)</f>
        <v>0</v>
      </c>
      <c r="K7" s="36">
        <f>VLOOKUP($A7,[29]HISTOSEPT24!$A$6:$AU$38,45,0)</f>
        <v>24000</v>
      </c>
      <c r="L7" s="36">
        <f>IF(K7=0,0,K7-(M7+N7+O7))</f>
        <v>18000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VLOOKUP($A7,[29]HISTOSEPT24!$A$6:$AU$38,7,0)</f>
        <v>3000</v>
      </c>
      <c r="Q7" s="36">
        <f>VLOOKUP($A7,[29]HISTOSEPT24!$A$6:$AU$38,23,0)</f>
        <v>0</v>
      </c>
      <c r="R7" s="36">
        <f>VLOOKUP($A7,[29]HISTOSEPT24!$A$6:$AU$38,46,0)</f>
        <v>0</v>
      </c>
      <c r="S7" s="36">
        <f>VLOOKUP($A7,[29]HISTOSEPT24!$A$6:$AU$38,26,0)</f>
        <v>0</v>
      </c>
      <c r="T7" s="36">
        <f>VLOOKUP($A7,[29]HISTOSEPT24!$A$6:$BG$38,58,0)</f>
        <v>0</v>
      </c>
      <c r="U7" s="36">
        <f>VLOOKUP($A7,[29]HISTOSEPT24!$A$6:$AU$38,28,0)</f>
        <v>0</v>
      </c>
      <c r="V7" s="36">
        <f>VLOOKUP($A7,[29]HISTOSEPT24!$A$6:$AU$38,19,0)</f>
        <v>0</v>
      </c>
      <c r="W7" s="36">
        <f>VLOOKUP($A7,[29]HISTOSEPT24!$A$6:$AU$38,20,0)</f>
        <v>0</v>
      </c>
      <c r="X7" s="36">
        <f>VLOOKUP($A7,[29]HISTOSEPT24!$A$6:$AU$38,27,0)</f>
        <v>0</v>
      </c>
      <c r="Y7" s="36">
        <f>VLOOKUP($A7,[29]HISTOSEPT24!$A$6:$BM$38,33,0)</f>
        <v>0</v>
      </c>
      <c r="Z7" s="36">
        <f>VLOOKUP($A7,[29]HISTOSEPT24!$A$6:$BM$38,65,0)</f>
        <v>0</v>
      </c>
      <c r="AA7" s="36"/>
      <c r="AB7" s="36">
        <f>VLOOKUP($A7,[29]HISTOSEPT24!$A$6:$AU$38,43,0)</f>
        <v>0</v>
      </c>
      <c r="AC7" s="36">
        <f>VLOOKUP($A7,[29]HISTOSEPT24!$A$6:$AU$38,44,0)</f>
        <v>0</v>
      </c>
      <c r="AD7" s="36">
        <f>VLOOKUP($A7,[29]HISTOSEPT24!$A$6:$AU$38,47,0)</f>
        <v>0</v>
      </c>
      <c r="AE7" s="36">
        <f>VLOOKUP(A7,[29]HISTOSEPT24!$A$6:$BB$38,54,0)</f>
        <v>0</v>
      </c>
      <c r="AF7" s="36">
        <f>VLOOKUP($A7,[29]HISTOSEPT24!$A$6:$CB$38,60,0)</f>
        <v>0</v>
      </c>
      <c r="AG7" s="36">
        <f>VLOOKUP($A7,[29]HISTOSEPT24!$A$6:$CB$38,61,0)</f>
        <v>0</v>
      </c>
      <c r="AH7" s="36">
        <f>VLOOKUP($A7,[29]HISTOSEPT24!$A$6:$CB$38,62,0)</f>
        <v>0</v>
      </c>
      <c r="AI7" s="36">
        <f>VLOOKUP($A7,[29]HISTOSEPT24!$A$6:$CB$38,63,0)</f>
        <v>0</v>
      </c>
      <c r="AJ7" s="36">
        <f>VLOOKUP($A7,[29]HISTOSEPT24!$A$6:$CB$38,64,0)</f>
        <v>0</v>
      </c>
      <c r="AK7" s="36">
        <f>VLOOKUP($A7,[29]HISTOSEPT24!$A$6:$CB$38,65,0)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VLOOKUP($A8,[29]HISTOSEPT24!$A$6:$BA$38,48,0)</f>
        <v>0</v>
      </c>
      <c r="F8" s="36">
        <f>MVTAOUT24!I8-E8+L8</f>
        <v>924528.14888928004</v>
      </c>
      <c r="G8" s="5">
        <f>IF(MVTAOUT24!I8+L8&gt;700000,(MVTAOUT24!I8-E8+L8),0)</f>
        <v>924528.14888928004</v>
      </c>
      <c r="H8" s="36">
        <f t="shared" si="0"/>
        <v>545.09156855471792</v>
      </c>
      <c r="I8" s="6">
        <f t="shared" si="2"/>
        <v>925073.24045783479</v>
      </c>
      <c r="J8" s="36">
        <f>VLOOKUP($A8,[29]HISTOSEPT24!$A$6:$AQ$42,22,0)</f>
        <v>0</v>
      </c>
      <c r="K8" s="36">
        <f>VLOOKUP($A8,[29]HISTOSEPT24!$A$6:$AU$38,45,0)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VLOOKUP($A8,[29]HISTOSEPT24!$A$6:$AU$38,7,0)</f>
        <v>3000</v>
      </c>
      <c r="Q8" s="36">
        <f>VLOOKUP($A8,[29]HISTOSEPT24!$A$6:$AU$38,23,0)</f>
        <v>0</v>
      </c>
      <c r="R8" s="36">
        <f>VLOOKUP($A8,[29]HISTOSEPT24!$A$6:$AU$38,46,0)</f>
        <v>0</v>
      </c>
      <c r="S8" s="36">
        <f>VLOOKUP($A8,[29]HISTOSEPT24!$A$6:$AU$38,26,0)</f>
        <v>0</v>
      </c>
      <c r="T8" s="36">
        <f>VLOOKUP($A8,[29]HISTOSEPT24!$A$6:$BG$38,58,0)</f>
        <v>0</v>
      </c>
      <c r="U8" s="36">
        <f>VLOOKUP($A8,[29]HISTOSEPT24!$A$6:$AU$38,28,0)</f>
        <v>0</v>
      </c>
      <c r="V8" s="36">
        <f>VLOOKUP($A8,[29]HISTOSEPT24!$A$6:$AU$38,19,0)</f>
        <v>0</v>
      </c>
      <c r="W8" s="36">
        <f>VLOOKUP($A8,[29]HISTOSEPT24!$A$6:$AU$38,20,0)</f>
        <v>0</v>
      </c>
      <c r="X8" s="36">
        <f>VLOOKUP($A8,[29]HISTOSEPT24!$A$6:$AU$38,27,0)</f>
        <v>0</v>
      </c>
      <c r="Y8" s="36">
        <f>VLOOKUP($A8,[29]HISTOSEPT24!$A$6:$BM$38,33,0)</f>
        <v>0</v>
      </c>
      <c r="Z8" s="36">
        <f>VLOOKUP($A8,[29]HISTOSEPT24!$A$6:$BM$38,65,0)</f>
        <v>0</v>
      </c>
      <c r="AA8" s="36"/>
      <c r="AB8" s="36">
        <f>VLOOKUP($A8,[29]HISTOSEPT24!$A$6:$AU$38,43,0)</f>
        <v>0</v>
      </c>
      <c r="AC8" s="36">
        <f>VLOOKUP($A8,[29]HISTOSEPT24!$A$6:$AU$38,44,0)</f>
        <v>0</v>
      </c>
      <c r="AD8" s="36">
        <f>VLOOKUP($A8,[29]HISTOSEPT24!$A$6:$AU$38,47,0)</f>
        <v>0</v>
      </c>
      <c r="AE8" s="36">
        <f>VLOOKUP(A8,[29]HISTOSEPT24!$A$6:$BB$38,54,0)</f>
        <v>0</v>
      </c>
      <c r="AF8" s="36">
        <f>VLOOKUP($A8,[29]HISTOSEPT24!$A$6:$CB$38,60,0)</f>
        <v>0</v>
      </c>
      <c r="AG8" s="36">
        <f>VLOOKUP($A8,[29]HISTOSEPT24!$A$6:$CB$38,61,0)</f>
        <v>0</v>
      </c>
      <c r="AH8" s="36">
        <f>VLOOKUP($A8,[29]HISTOSEPT24!$A$6:$CB$38,62,0)</f>
        <v>0</v>
      </c>
      <c r="AI8" s="36">
        <f>VLOOKUP($A8,[29]HISTOSEPT24!$A$6:$CB$38,63,0)</f>
        <v>0</v>
      </c>
      <c r="AJ8" s="36">
        <f>VLOOKUP($A8,[29]HISTOSEPT24!$A$6:$CB$38,64,0)</f>
        <v>0</v>
      </c>
      <c r="AK8" s="36">
        <f>VLOOKUP($A8,[29]HISTOSEPT24!$A$6:$CB$38,65,0)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VLOOKUP($A9,[29]HISTOSEPT24!$A$6:$BA$38,48,0)</f>
        <v>0</v>
      </c>
      <c r="F9" s="36">
        <f>MVTAOUT24!I9-E9+L9</f>
        <v>977540.05253955896</v>
      </c>
      <c r="G9" s="5">
        <f>IF(MVTAOUT24!I9+L9&gt;700000,(MVTAOUT24!I9-E9+L9),0)</f>
        <v>977540.05253955896</v>
      </c>
      <c r="H9" s="36">
        <f t="shared" si="0"/>
        <v>576.34680047763766</v>
      </c>
      <c r="I9" s="6">
        <f t="shared" si="2"/>
        <v>978116.39934003656</v>
      </c>
      <c r="J9" s="36">
        <f>VLOOKUP($A9,[29]HISTOSEPT24!$A$6:$AQ$42,22,0)</f>
        <v>0</v>
      </c>
      <c r="K9" s="36">
        <f>VLOOKUP($A9,[29]HISTOSEPT24!$A$6:$AU$38,45,0)</f>
        <v>30000</v>
      </c>
      <c r="L9" s="36">
        <f t="shared" si="3"/>
        <v>24000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VLOOKUP($A9,[29]HISTOSEPT24!$A$6:$AU$38,7,0)</f>
        <v>0</v>
      </c>
      <c r="Q9" s="36">
        <f>VLOOKUP($A9,[29]HISTOSEPT24!$A$6:$AU$38,23,0)</f>
        <v>0</v>
      </c>
      <c r="R9" s="36">
        <f>VLOOKUP($A9,[29]HISTOSEPT24!$A$6:$AU$38,46,0)</f>
        <v>0</v>
      </c>
      <c r="S9" s="36">
        <f>VLOOKUP($A9,[29]HISTOSEPT24!$A$6:$AU$38,26,0)</f>
        <v>0</v>
      </c>
      <c r="T9" s="36">
        <f>VLOOKUP($A9,[29]HISTOSEPT24!$A$6:$BG$38,58,0)</f>
        <v>0</v>
      </c>
      <c r="U9" s="36">
        <f>VLOOKUP($A9,[29]HISTOSEPT24!$A$6:$AU$38,28,0)</f>
        <v>0</v>
      </c>
      <c r="V9" s="36">
        <f>VLOOKUP($A9,[29]HISTOSEPT24!$A$6:$AU$38,19,0)</f>
        <v>0</v>
      </c>
      <c r="W9" s="36">
        <f>VLOOKUP($A9,[29]HISTOSEPT24!$A$6:$AU$38,20,0)</f>
        <v>0</v>
      </c>
      <c r="X9" s="36">
        <f>VLOOKUP($A9,[29]HISTOSEPT24!$A$6:$AU$38,27,0)</f>
        <v>0</v>
      </c>
      <c r="Y9" s="36">
        <f>VLOOKUP($A9,[29]HISTOSEPT24!$A$6:$BM$38,33,0)</f>
        <v>0</v>
      </c>
      <c r="Z9" s="36">
        <f>VLOOKUP($A9,[29]HISTOSEPT24!$A$6:$BM$38,65,0)</f>
        <v>0</v>
      </c>
      <c r="AA9" s="36"/>
      <c r="AB9" s="36">
        <f>VLOOKUP($A9,[29]HISTOSEPT24!$A$6:$AU$38,43,0)</f>
        <v>0</v>
      </c>
      <c r="AC9" s="36">
        <f>VLOOKUP($A9,[29]HISTOSEPT24!$A$6:$AU$38,44,0)</f>
        <v>0</v>
      </c>
      <c r="AD9" s="36">
        <f>VLOOKUP($A9,[29]HISTOSEPT24!$A$6:$AU$38,47,0)</f>
        <v>0</v>
      </c>
      <c r="AE9" s="36">
        <f>VLOOKUP(A9,[29]HISTOSEPT24!$A$6:$BB$38,54,0)</f>
        <v>0</v>
      </c>
      <c r="AF9" s="36">
        <f>VLOOKUP($A9,[29]HISTOSEPT24!$A$6:$CB$38,60,0)</f>
        <v>0</v>
      </c>
      <c r="AG9" s="36">
        <f>VLOOKUP($A9,[29]HISTOSEPT24!$A$6:$CB$38,61,0)</f>
        <v>0</v>
      </c>
      <c r="AH9" s="36">
        <f>VLOOKUP($A9,[29]HISTOSEPT24!$A$6:$CB$38,62,0)</f>
        <v>0</v>
      </c>
      <c r="AI9" s="36">
        <f>VLOOKUP($A9,[29]HISTOSEPT24!$A$6:$CB$38,63,0)</f>
        <v>0</v>
      </c>
      <c r="AJ9" s="36">
        <f>VLOOKUP($A9,[29]HISTOSEPT24!$A$6:$CB$38,64,0)</f>
        <v>0</v>
      </c>
      <c r="AK9" s="36">
        <f>VLOOKUP($A9,[29]HISTOSEPT24!$A$6:$CB$38,65,0)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VLOOKUP($A10,[29]HISTOSEPT24!$A$6:$BA$38,48,0)</f>
        <v>0</v>
      </c>
      <c r="F10" s="36">
        <f>MVTAOUT24!I10-E10+L10</f>
        <v>923261.80984427826</v>
      </c>
      <c r="G10" s="5">
        <f>IF(MVTAOUT24!I10+L10&gt;700000,(MVTAOUT24!I10-E10+L10),0)</f>
        <v>923261.80984427826</v>
      </c>
      <c r="H10" s="36">
        <f t="shared" si="0"/>
        <v>544.34494906326017</v>
      </c>
      <c r="I10" s="6">
        <f t="shared" si="2"/>
        <v>923806.15479334153</v>
      </c>
      <c r="J10" s="36">
        <f>VLOOKUP($A10,[29]HISTOSEPT24!$A$6:$AQ$42,22,0)</f>
        <v>0</v>
      </c>
      <c r="K10" s="36">
        <f>VLOOKUP($A10,[29]HISTOSEPT24!$A$6:$AU$38,45,0)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VLOOKUP($A10,[29]HISTOSEPT24!$A$6:$AU$38,7,0)</f>
        <v>3000</v>
      </c>
      <c r="Q10" s="36">
        <f>VLOOKUP($A10,[29]HISTOSEPT24!$A$6:$AU$38,23,0)</f>
        <v>0</v>
      </c>
      <c r="R10" s="36">
        <f>VLOOKUP($A10,[29]HISTOSEPT24!$A$6:$AU$38,46,0)</f>
        <v>0</v>
      </c>
      <c r="S10" s="36">
        <f>VLOOKUP($A10,[29]HISTOSEPT24!$A$6:$AU$38,26,0)</f>
        <v>0</v>
      </c>
      <c r="T10" s="36">
        <f>VLOOKUP($A10,[29]HISTOSEPT24!$A$6:$BG$38,58,0)</f>
        <v>0</v>
      </c>
      <c r="U10" s="36">
        <f>VLOOKUP($A10,[29]HISTOSEPT24!$A$6:$AU$38,28,0)</f>
        <v>0</v>
      </c>
      <c r="V10" s="36">
        <f>VLOOKUP($A10,[29]HISTOSEPT24!$A$6:$AU$38,19,0)</f>
        <v>0</v>
      </c>
      <c r="W10" s="36">
        <f>VLOOKUP($A10,[29]HISTOSEPT24!$A$6:$AU$38,20,0)</f>
        <v>0</v>
      </c>
      <c r="X10" s="36">
        <f>VLOOKUP($A10,[29]HISTOSEPT24!$A$6:$AU$38,27,0)</f>
        <v>0</v>
      </c>
      <c r="Y10" s="36">
        <f>VLOOKUP($A10,[29]HISTOSEPT24!$A$6:$BM$38,33,0)</f>
        <v>0</v>
      </c>
      <c r="Z10" s="36">
        <f>VLOOKUP($A10,[29]HISTOSEPT24!$A$6:$BM$38,65,0)</f>
        <v>0</v>
      </c>
      <c r="AA10" s="36"/>
      <c r="AB10" s="36">
        <f>VLOOKUP($A10,[29]HISTOSEPT24!$A$6:$AU$38,43,0)</f>
        <v>0</v>
      </c>
      <c r="AC10" s="36">
        <f>VLOOKUP($A10,[29]HISTOSEPT24!$A$6:$AU$38,44,0)</f>
        <v>0</v>
      </c>
      <c r="AD10" s="36">
        <f>VLOOKUP($A10,[29]HISTOSEPT24!$A$6:$AU$38,47,0)</f>
        <v>0</v>
      </c>
      <c r="AE10" s="36">
        <f>VLOOKUP(A10,[29]HISTOSEPT24!$A$6:$BB$38,54,0)</f>
        <v>0</v>
      </c>
      <c r="AF10" s="36">
        <f>VLOOKUP($A10,[29]HISTOSEPT24!$A$6:$CB$38,60,0)</f>
        <v>0</v>
      </c>
      <c r="AG10" s="36">
        <f>VLOOKUP($A10,[29]HISTOSEPT24!$A$6:$CB$38,61,0)</f>
        <v>0</v>
      </c>
      <c r="AH10" s="36">
        <f>VLOOKUP($A10,[29]HISTOSEPT24!$A$6:$CB$38,62,0)</f>
        <v>0</v>
      </c>
      <c r="AI10" s="36">
        <f>VLOOKUP($A10,[29]HISTOSEPT24!$A$6:$CB$38,63,0)</f>
        <v>0</v>
      </c>
      <c r="AJ10" s="36">
        <f>VLOOKUP($A10,[29]HISTOSEPT24!$A$6:$CB$38,64,0)</f>
        <v>0</v>
      </c>
      <c r="AK10" s="36">
        <f>VLOOKUP($A10,[29]HISTOSEPT24!$A$6:$CB$38,65,0)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VLOOKUP($A11,[29]HISTOSEPT24!$A$6:$BA$38,48,0)</f>
        <v>0</v>
      </c>
      <c r="F11" s="36">
        <f>MVTAOUT24!I11-E11+L11</f>
        <v>952625.38395379204</v>
      </c>
      <c r="G11" s="5">
        <f>IF(MVTAOUT24!I11+L11&gt;700000,(MVTAOUT24!I11-E11+L11),0)</f>
        <v>952625.38395379204</v>
      </c>
      <c r="H11" s="36">
        <f t="shared" si="0"/>
        <v>561.65738750978755</v>
      </c>
      <c r="I11" s="6">
        <f t="shared" si="2"/>
        <v>953187.04134130187</v>
      </c>
      <c r="J11" s="36">
        <f>VLOOKUP($A11,[29]HISTOSEPT24!$A$6:$AQ$42,22,0)</f>
        <v>0</v>
      </c>
      <c r="K11" s="36">
        <f>VLOOKUP($A11,[29]HISTOSEPT24!$A$6:$AU$38,45,0)</f>
        <v>27500</v>
      </c>
      <c r="L11" s="36">
        <f t="shared" si="3"/>
        <v>21500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VLOOKUP($A11,[29]HISTOSEPT24!$A$6:$AU$38,7,0)</f>
        <v>0</v>
      </c>
      <c r="Q11" s="36">
        <f>VLOOKUP($A11,[29]HISTOSEPT24!$A$6:$AU$38,23,0)</f>
        <v>0</v>
      </c>
      <c r="R11" s="36">
        <f>VLOOKUP($A11,[29]HISTOSEPT24!$A$6:$AU$38,46,0)</f>
        <v>0</v>
      </c>
      <c r="S11" s="36">
        <f>VLOOKUP($A11,[29]HISTOSEPT24!$A$6:$AU$38,26,0)</f>
        <v>0</v>
      </c>
      <c r="T11" s="36">
        <f>VLOOKUP($A11,[29]HISTOSEPT24!$A$6:$BG$38,58,0)</f>
        <v>0</v>
      </c>
      <c r="U11" s="36">
        <f>VLOOKUP($A11,[29]HISTOSEPT24!$A$6:$AU$38,28,0)</f>
        <v>0</v>
      </c>
      <c r="V11" s="36">
        <f>VLOOKUP($A11,[29]HISTOSEPT24!$A$6:$AU$38,19,0)</f>
        <v>0</v>
      </c>
      <c r="W11" s="36">
        <f>VLOOKUP($A11,[29]HISTOSEPT24!$A$6:$AU$38,20,0)</f>
        <v>0</v>
      </c>
      <c r="X11" s="36">
        <f>VLOOKUP($A11,[29]HISTOSEPT24!$A$6:$AU$38,27,0)</f>
        <v>0</v>
      </c>
      <c r="Y11" s="36">
        <f>VLOOKUP($A11,[29]HISTOSEPT24!$A$6:$BM$38,33,0)</f>
        <v>0</v>
      </c>
      <c r="Z11" s="36">
        <f>VLOOKUP($A11,[29]HISTOSEPT24!$A$6:$BM$38,65,0)</f>
        <v>0</v>
      </c>
      <c r="AA11" s="36"/>
      <c r="AB11" s="36">
        <f>VLOOKUP($A11,[29]HISTOSEPT24!$A$6:$AU$38,43,0)</f>
        <v>0</v>
      </c>
      <c r="AC11" s="36">
        <f>VLOOKUP($A11,[29]HISTOSEPT24!$A$6:$AU$38,44,0)</f>
        <v>0</v>
      </c>
      <c r="AD11" s="36">
        <f>VLOOKUP($A11,[29]HISTOSEPT24!$A$6:$AU$38,47,0)</f>
        <v>0</v>
      </c>
      <c r="AE11" s="36">
        <f>VLOOKUP(A11,[29]HISTOSEPT24!$A$6:$BB$38,54,0)</f>
        <v>0</v>
      </c>
      <c r="AF11" s="36">
        <f>VLOOKUP($A11,[29]HISTOSEPT24!$A$6:$CB$38,60,0)</f>
        <v>0</v>
      </c>
      <c r="AG11" s="36">
        <f>VLOOKUP($A11,[29]HISTOSEPT24!$A$6:$CB$38,61,0)</f>
        <v>0</v>
      </c>
      <c r="AH11" s="36">
        <f>VLOOKUP($A11,[29]HISTOSEPT24!$A$6:$CB$38,62,0)</f>
        <v>0</v>
      </c>
      <c r="AI11" s="36">
        <f>VLOOKUP($A11,[29]HISTOSEPT24!$A$6:$CB$38,63,0)</f>
        <v>0</v>
      </c>
      <c r="AJ11" s="36">
        <f>VLOOKUP($A11,[29]HISTOSEPT24!$A$6:$CB$38,64,0)</f>
        <v>0</v>
      </c>
      <c r="AK11" s="36">
        <f>VLOOKUP($A11,[29]HISTOSEPT24!$A$6:$CB$38,65,0)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VLOOKUP($A12,[29]HISTOSEPT24!$A$6:$BA$38,48,0)</f>
        <v>0</v>
      </c>
      <c r="F12" s="36">
        <f>MVTAOUT24!I12-E12+L12</f>
        <v>994290.39255500829</v>
      </c>
      <c r="G12" s="5">
        <f>IF(MVTAOUT24!I12+L12&gt;700000,(MVTAOUT24!I12-E12+L12),0)</f>
        <v>994290.39255500829</v>
      </c>
      <c r="H12" s="36">
        <f t="shared" si="0"/>
        <v>586.22261564217899</v>
      </c>
      <c r="I12" s="6">
        <f t="shared" si="2"/>
        <v>994876.61517065042</v>
      </c>
      <c r="J12" s="36">
        <f>VLOOKUP($A12,[29]HISTOSEPT24!$A$6:$AQ$42,22,0)</f>
        <v>0</v>
      </c>
      <c r="K12" s="36">
        <f>VLOOKUP($A12,[29]HISTOSEPT24!$A$6:$AU$38,45,0)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VLOOKUP($A12,[29]HISTOSEPT24!$A$6:$AU$38,7,0)</f>
        <v>0</v>
      </c>
      <c r="Q12" s="36">
        <f>VLOOKUP($A12,[29]HISTOSEPT24!$A$6:$AU$38,23,0)</f>
        <v>0</v>
      </c>
      <c r="R12" s="36">
        <f>VLOOKUP($A12,[29]HISTOSEPT24!$A$6:$AU$38,46,0)</f>
        <v>0</v>
      </c>
      <c r="S12" s="36">
        <f>VLOOKUP($A12,[29]HISTOSEPT24!$A$6:$AU$38,26,0)</f>
        <v>0</v>
      </c>
      <c r="T12" s="36">
        <f>VLOOKUP($A12,[29]HISTOSEPT24!$A$6:$BG$38,58,0)</f>
        <v>0</v>
      </c>
      <c r="U12" s="36">
        <f>VLOOKUP($A12,[29]HISTOSEPT24!$A$6:$AU$38,28,0)</f>
        <v>0</v>
      </c>
      <c r="V12" s="36">
        <f>VLOOKUP($A12,[29]HISTOSEPT24!$A$6:$AU$38,19,0)</f>
        <v>0</v>
      </c>
      <c r="W12" s="36">
        <f>VLOOKUP($A12,[29]HISTOSEPT24!$A$6:$AU$38,20,0)</f>
        <v>0</v>
      </c>
      <c r="X12" s="36">
        <f>VLOOKUP($A12,[29]HISTOSEPT24!$A$6:$AU$38,27,0)</f>
        <v>0</v>
      </c>
      <c r="Y12" s="36">
        <f>VLOOKUP($A12,[29]HISTOSEPT24!$A$6:$BM$38,33,0)</f>
        <v>0</v>
      </c>
      <c r="Z12" s="36">
        <f>VLOOKUP($A12,[29]HISTOSEPT24!$A$6:$BM$38,65,0)</f>
        <v>0</v>
      </c>
      <c r="AA12" s="36"/>
      <c r="AB12" s="36">
        <f>VLOOKUP($A12,[29]HISTOSEPT24!$A$6:$AU$38,43,0)</f>
        <v>0</v>
      </c>
      <c r="AC12" s="36">
        <f>VLOOKUP($A12,[29]HISTOSEPT24!$A$6:$AU$38,44,0)</f>
        <v>0</v>
      </c>
      <c r="AD12" s="36">
        <f>VLOOKUP($A12,[29]HISTOSEPT24!$A$6:$AU$38,47,0)</f>
        <v>0</v>
      </c>
      <c r="AE12" s="36">
        <f>VLOOKUP(A12,[29]HISTOSEPT24!$A$6:$BB$38,54,0)</f>
        <v>0</v>
      </c>
      <c r="AF12" s="36">
        <f>VLOOKUP($A12,[29]HISTOSEPT24!$A$6:$CB$38,60,0)</f>
        <v>0</v>
      </c>
      <c r="AG12" s="36">
        <f>VLOOKUP($A12,[29]HISTOSEPT24!$A$6:$CB$38,61,0)</f>
        <v>0</v>
      </c>
      <c r="AH12" s="36">
        <f>VLOOKUP($A12,[29]HISTOSEPT24!$A$6:$CB$38,62,0)</f>
        <v>0</v>
      </c>
      <c r="AI12" s="36">
        <f>VLOOKUP($A12,[29]HISTOSEPT24!$A$6:$CB$38,63,0)</f>
        <v>0</v>
      </c>
      <c r="AJ12" s="36">
        <f>VLOOKUP($A12,[29]HISTOSEPT24!$A$6:$CB$38,64,0)</f>
        <v>0</v>
      </c>
      <c r="AK12" s="36">
        <f>VLOOKUP($A12,[29]HISTOSEPT24!$A$6:$CB$38,65,0)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VLOOKUP($A13,[29]HISTOSEPT24!$A$6:$BA$38,48,0)</f>
        <v>0</v>
      </c>
      <c r="F13" s="36">
        <f>MVTAOUT24!I13-E13+L13</f>
        <v>927584.90412613039</v>
      </c>
      <c r="G13" s="5">
        <f>IF(MVTAOUT24!I13+L13&gt;700000,(MVTAOUT24!I13-E13+L13),0)</f>
        <v>927584.90412613039</v>
      </c>
      <c r="H13" s="36">
        <f t="shared" si="0"/>
        <v>546.8937976255628</v>
      </c>
      <c r="I13" s="6">
        <f t="shared" si="2"/>
        <v>928131.79792375595</v>
      </c>
      <c r="J13" s="36">
        <f>VLOOKUP($A13,[29]HISTOSEPT24!$A$6:$AQ$42,22,0)</f>
        <v>0</v>
      </c>
      <c r="K13" s="36">
        <f>VLOOKUP($A13,[29]HISTOSEPT24!$A$6:$AU$38,45,0)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VLOOKUP($A13,[29]HISTOSEPT24!$A$6:$AU$38,7,0)</f>
        <v>0</v>
      </c>
      <c r="Q13" s="36">
        <f>VLOOKUP($A13,[29]HISTOSEPT24!$A$6:$AU$38,23,0)</f>
        <v>0</v>
      </c>
      <c r="R13" s="36">
        <f>VLOOKUP($A13,[29]HISTOSEPT24!$A$6:$AU$38,46,0)</f>
        <v>0</v>
      </c>
      <c r="S13" s="36">
        <f>VLOOKUP($A13,[29]HISTOSEPT24!$A$6:$AU$38,26,0)</f>
        <v>0</v>
      </c>
      <c r="T13" s="36">
        <f>VLOOKUP($A13,[29]HISTOSEPT24!$A$6:$BG$38,58,0)</f>
        <v>0</v>
      </c>
      <c r="U13" s="36">
        <f>VLOOKUP($A13,[29]HISTOSEPT24!$A$6:$AU$38,28,0)</f>
        <v>0</v>
      </c>
      <c r="V13" s="36">
        <f>VLOOKUP($A13,[29]HISTOSEPT24!$A$6:$AU$38,19,0)</f>
        <v>0</v>
      </c>
      <c r="W13" s="36">
        <f>VLOOKUP($A13,[29]HISTOSEPT24!$A$6:$AU$38,20,0)</f>
        <v>0</v>
      </c>
      <c r="X13" s="36">
        <f>VLOOKUP($A13,[29]HISTOSEPT24!$A$6:$AU$38,27,0)</f>
        <v>0</v>
      </c>
      <c r="Y13" s="36">
        <f>VLOOKUP($A13,[29]HISTOSEPT24!$A$6:$BM$38,33,0)</f>
        <v>0</v>
      </c>
      <c r="Z13" s="36">
        <f>VLOOKUP($A13,[29]HISTOSEPT24!$A$6:$BM$38,65,0)</f>
        <v>0</v>
      </c>
      <c r="AA13" s="36"/>
      <c r="AB13" s="36">
        <f>VLOOKUP($A13,[29]HISTOSEPT24!$A$6:$AU$38,43,0)</f>
        <v>0</v>
      </c>
      <c r="AC13" s="36">
        <f>VLOOKUP($A13,[29]HISTOSEPT24!$A$6:$AU$38,44,0)</f>
        <v>0</v>
      </c>
      <c r="AD13" s="36">
        <f>VLOOKUP($A13,[29]HISTOSEPT24!$A$6:$AU$38,47,0)</f>
        <v>0</v>
      </c>
      <c r="AE13" s="36">
        <f>VLOOKUP(A13,[29]HISTOSEPT24!$A$6:$BB$38,54,0)</f>
        <v>0</v>
      </c>
      <c r="AF13" s="36">
        <f>VLOOKUP($A13,[29]HISTOSEPT24!$A$6:$CB$38,60,0)</f>
        <v>0</v>
      </c>
      <c r="AG13" s="36">
        <f>VLOOKUP($A13,[29]HISTOSEPT24!$A$6:$CB$38,61,0)</f>
        <v>0</v>
      </c>
      <c r="AH13" s="36">
        <f>VLOOKUP($A13,[29]HISTOSEPT24!$A$6:$CB$38,62,0)</f>
        <v>0</v>
      </c>
      <c r="AI13" s="36">
        <f>VLOOKUP($A13,[29]HISTOSEPT24!$A$6:$CB$38,63,0)</f>
        <v>0</v>
      </c>
      <c r="AJ13" s="36">
        <f>VLOOKUP($A13,[29]HISTOSEPT24!$A$6:$CB$38,64,0)</f>
        <v>0</v>
      </c>
      <c r="AK13" s="36">
        <f>VLOOKUP($A13,[29]HISTOSEPT24!$A$6:$CB$38,65,0)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VLOOKUP($A14,[29]HISTOSEPT24!$A$6:$BA$38,48,0)</f>
        <v>0</v>
      </c>
      <c r="F14" s="36">
        <f>MVTAOUT24!I14-E14+L14</f>
        <v>1486124.6407039976</v>
      </c>
      <c r="G14" s="5">
        <f>IF(MVTAOUT24!I14+L14&gt;700000,(MVTAOUT24!I14-E14+L14),0)</f>
        <v>1486124.6407039976</v>
      </c>
      <c r="H14" s="36">
        <f t="shared" si="0"/>
        <v>876.20264720157456</v>
      </c>
      <c r="I14" s="6">
        <f t="shared" si="2"/>
        <v>1487000.8433511991</v>
      </c>
      <c r="J14" s="36">
        <f>VLOOKUP($A14,[29]HISTOSEPT24!$A$6:$AQ$42,22,0)</f>
        <v>0</v>
      </c>
      <c r="K14" s="36">
        <f>VLOOKUP($A14,[29]HISTOSEPT24!$A$6:$AU$38,45,0)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VLOOKUP($A14,[29]HISTOSEPT24!$A$6:$AU$38,7,0)</f>
        <v>0</v>
      </c>
      <c r="Q14" s="36">
        <f>VLOOKUP($A14,[29]HISTOSEPT24!$A$6:$AU$38,23,0)</f>
        <v>0</v>
      </c>
      <c r="R14" s="36">
        <f>VLOOKUP($A14,[29]HISTOSEPT24!$A$6:$AU$38,46,0)</f>
        <v>0</v>
      </c>
      <c r="S14" s="36">
        <f>VLOOKUP($A14,[29]HISTOSEPT24!$A$6:$AU$38,26,0)</f>
        <v>0</v>
      </c>
      <c r="T14" s="36">
        <f>VLOOKUP($A14,[29]HISTOSEPT24!$A$6:$BG$38,58,0)</f>
        <v>0</v>
      </c>
      <c r="U14" s="36">
        <f>VLOOKUP($A14,[29]HISTOSEPT24!$A$6:$AU$38,28,0)</f>
        <v>0</v>
      </c>
      <c r="V14" s="36">
        <f>VLOOKUP($A14,[29]HISTOSEPT24!$A$6:$AU$38,19,0)</f>
        <v>0</v>
      </c>
      <c r="W14" s="36">
        <f>VLOOKUP($A14,[29]HISTOSEPT24!$A$6:$AU$38,20,0)</f>
        <v>0</v>
      </c>
      <c r="X14" s="36">
        <f>VLOOKUP($A14,[29]HISTOSEPT24!$A$6:$AU$38,27,0)</f>
        <v>0</v>
      </c>
      <c r="Y14" s="36">
        <f>VLOOKUP($A14,[29]HISTOSEPT24!$A$6:$BM$38,33,0)</f>
        <v>0</v>
      </c>
      <c r="Z14" s="36">
        <f>VLOOKUP($A14,[29]HISTOSEPT24!$A$6:$BM$38,65,0)</f>
        <v>0</v>
      </c>
      <c r="AA14" s="36"/>
      <c r="AB14" s="36">
        <f>VLOOKUP($A14,[29]HISTOSEPT24!$A$6:$AU$38,43,0)</f>
        <v>0</v>
      </c>
      <c r="AC14" s="36">
        <f>VLOOKUP($A14,[29]HISTOSEPT24!$A$6:$AU$38,44,0)</f>
        <v>0</v>
      </c>
      <c r="AD14" s="36">
        <f>VLOOKUP($A14,[29]HISTOSEPT24!$A$6:$AU$38,47,0)</f>
        <v>0</v>
      </c>
      <c r="AE14" s="36">
        <f>VLOOKUP(A14,[29]HISTOSEPT24!$A$6:$BB$38,54,0)</f>
        <v>0</v>
      </c>
      <c r="AF14" s="36">
        <f>VLOOKUP($A14,[29]HISTOSEPT24!$A$6:$CB$38,60,0)</f>
        <v>0</v>
      </c>
      <c r="AG14" s="36">
        <f>VLOOKUP($A14,[29]HISTOSEPT24!$A$6:$CB$38,61,0)</f>
        <v>0</v>
      </c>
      <c r="AH14" s="36">
        <f>VLOOKUP($A14,[29]HISTOSEPT24!$A$6:$CB$38,62,0)</f>
        <v>0</v>
      </c>
      <c r="AI14" s="36">
        <f>VLOOKUP($A14,[29]HISTOSEPT24!$A$6:$CB$38,63,0)</f>
        <v>0</v>
      </c>
      <c r="AJ14" s="36">
        <f>VLOOKUP($A14,[29]HISTOSEPT24!$A$6:$CB$38,64,0)</f>
        <v>0</v>
      </c>
      <c r="AK14" s="36">
        <f>VLOOKUP($A14,[29]HISTOSEPT24!$A$6:$CB$38,65,0)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VLOOKUP($A15,[29]HISTOSEPT24!$A$6:$BA$38,48,0)</f>
        <v>0</v>
      </c>
      <c r="F15" s="36">
        <f>MVTAOUT24!I15-E15+L15</f>
        <v>989972.58343795547</v>
      </c>
      <c r="G15" s="5">
        <f>IF(MVTAOUT24!I15+L15&gt;700000,(MVTAOUT24!I15-E15+L15),0)</f>
        <v>989972.58343795547</v>
      </c>
      <c r="H15" s="36">
        <f t="shared" si="0"/>
        <v>583.67688315457247</v>
      </c>
      <c r="I15" s="6">
        <f t="shared" si="2"/>
        <v>990556.26032111002</v>
      </c>
      <c r="J15" s="36">
        <f>VLOOKUP($A15,[29]HISTOSEPT24!$A$6:$AQ$42,22,0)</f>
        <v>0</v>
      </c>
      <c r="K15" s="36">
        <f>VLOOKUP($A15,[29]HISTOSEPT24!$A$6:$AU$38,45,0)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VLOOKUP($A15,[29]HISTOSEPT24!$A$6:$AU$38,7,0)</f>
        <v>0</v>
      </c>
      <c r="Q15" s="36">
        <f>VLOOKUP($A15,[29]HISTOSEPT24!$A$6:$AU$38,23,0)</f>
        <v>0</v>
      </c>
      <c r="R15" s="36">
        <f>VLOOKUP($A15,[29]HISTOSEPT24!$A$6:$AU$38,46,0)</f>
        <v>0</v>
      </c>
      <c r="S15" s="36">
        <f>VLOOKUP($A15,[29]HISTOSEPT24!$A$6:$AU$38,26,0)</f>
        <v>0</v>
      </c>
      <c r="T15" s="36">
        <f>VLOOKUP($A15,[29]HISTOSEPT24!$A$6:$BG$38,58,0)</f>
        <v>0</v>
      </c>
      <c r="U15" s="36">
        <f>VLOOKUP($A15,[29]HISTOSEPT24!$A$6:$AU$38,28,0)</f>
        <v>0</v>
      </c>
      <c r="V15" s="36">
        <f>VLOOKUP($A15,[29]HISTOSEPT24!$A$6:$AU$38,19,0)</f>
        <v>0</v>
      </c>
      <c r="W15" s="36">
        <f>VLOOKUP($A15,[29]HISTOSEPT24!$A$6:$AU$38,20,0)</f>
        <v>0</v>
      </c>
      <c r="X15" s="36">
        <f>VLOOKUP($A15,[29]HISTOSEPT24!$A$6:$AU$38,27,0)</f>
        <v>0</v>
      </c>
      <c r="Y15" s="36">
        <f>VLOOKUP($A15,[29]HISTOSEPT24!$A$6:$BM$38,33,0)</f>
        <v>0</v>
      </c>
      <c r="Z15" s="36">
        <f>VLOOKUP($A15,[29]HISTOSEPT24!$A$6:$BM$38,65,0)</f>
        <v>0</v>
      </c>
      <c r="AA15" s="36"/>
      <c r="AB15" s="36">
        <f>VLOOKUP($A15,[29]HISTOSEPT24!$A$6:$AU$38,43,0)</f>
        <v>0</v>
      </c>
      <c r="AC15" s="36">
        <f>VLOOKUP($A15,[29]HISTOSEPT24!$A$6:$AU$38,44,0)</f>
        <v>0</v>
      </c>
      <c r="AD15" s="36">
        <f>VLOOKUP($A15,[29]HISTOSEPT24!$A$6:$AU$38,47,0)</f>
        <v>0</v>
      </c>
      <c r="AE15" s="36">
        <f>VLOOKUP(A15,[29]HISTOSEPT24!$A$6:$BB$38,54,0)</f>
        <v>0</v>
      </c>
      <c r="AF15" s="36">
        <f>VLOOKUP($A15,[29]HISTOSEPT24!$A$6:$CB$38,60,0)</f>
        <v>0</v>
      </c>
      <c r="AG15" s="36">
        <f>VLOOKUP($A15,[29]HISTOSEPT24!$A$6:$CB$38,61,0)</f>
        <v>0</v>
      </c>
      <c r="AH15" s="36">
        <f>VLOOKUP($A15,[29]HISTOSEPT24!$A$6:$CB$38,62,0)</f>
        <v>0</v>
      </c>
      <c r="AI15" s="36">
        <f>VLOOKUP($A15,[29]HISTOSEPT24!$A$6:$CB$38,63,0)</f>
        <v>0</v>
      </c>
      <c r="AJ15" s="36">
        <f>VLOOKUP($A15,[29]HISTOSEPT24!$A$6:$CB$38,64,0)</f>
        <v>0</v>
      </c>
      <c r="AK15" s="36">
        <f>VLOOKUP($A15,[29]HISTOSEPT24!$A$6:$CB$38,65,0)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VLOOKUP($A16,[29]HISTOSEPT24!$A$6:$BA$38,48,0)</f>
        <v>0</v>
      </c>
      <c r="F16" s="36">
        <f>MVTAOUT24!I16-E16+L16</f>
        <v>1246637.0782100232</v>
      </c>
      <c r="G16" s="5">
        <f>IF(MVTAOUT24!I16+L16&gt;700000,(MVTAOUT24!I16-E16+L16),0)</f>
        <v>1246637.0782100232</v>
      </c>
      <c r="H16" s="36">
        <f t="shared" si="0"/>
        <v>735.00342979968229</v>
      </c>
      <c r="I16" s="6">
        <f t="shared" si="2"/>
        <v>1247372.0816398228</v>
      </c>
      <c r="J16" s="36">
        <f>VLOOKUP($A16,[29]HISTOSEPT24!$A$6:$AQ$42,22,0)</f>
        <v>0</v>
      </c>
      <c r="K16" s="36">
        <f>VLOOKUP($A16,[29]HISTOSEPT24!$A$6:$AU$38,45,0)</f>
        <v>50000</v>
      </c>
      <c r="L16" s="36">
        <f t="shared" si="3"/>
        <v>44000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VLOOKUP($A16,[29]HISTOSEPT24!$A$6:$AU$38,7,0)</f>
        <v>0</v>
      </c>
      <c r="Q16" s="36">
        <f>VLOOKUP($A16,[29]HISTOSEPT24!$A$6:$AU$38,23,0)</f>
        <v>0</v>
      </c>
      <c r="R16" s="36">
        <f>VLOOKUP($A16,[29]HISTOSEPT24!$A$6:$AU$38,46,0)</f>
        <v>0</v>
      </c>
      <c r="S16" s="36">
        <f>VLOOKUP($A16,[29]HISTOSEPT24!$A$6:$AU$38,26,0)</f>
        <v>1000000</v>
      </c>
      <c r="T16" s="36">
        <f>VLOOKUP($A16,[29]HISTOSEPT24!$A$6:$BG$38,58,0)</f>
        <v>20000</v>
      </c>
      <c r="U16" s="36">
        <f>VLOOKUP($A16,[29]HISTOSEPT24!$A$6:$AU$38,28,0)</f>
        <v>0</v>
      </c>
      <c r="V16" s="36">
        <f>VLOOKUP($A16,[29]HISTOSEPT24!$A$6:$AU$38,19,0)</f>
        <v>0</v>
      </c>
      <c r="W16" s="36">
        <f>VLOOKUP($A16,[29]HISTOSEPT24!$A$6:$AU$38,20,0)</f>
        <v>0</v>
      </c>
      <c r="X16" s="36" t="str">
        <f>VLOOKUP($A16,[29]HISTOSEPT24!$A$6:$AU$38,27,0)</f>
        <v>BANQUE</v>
      </c>
      <c r="Y16" s="36">
        <f>VLOOKUP($A16,[29]HISTOSEPT24!$A$6:$BM$38,33,0)</f>
        <v>0</v>
      </c>
      <c r="Z16" s="36">
        <f>VLOOKUP($A16,[29]HISTOSEPT24!$A$6:$BM$38,65,0)</f>
        <v>0</v>
      </c>
      <c r="AA16" s="36"/>
      <c r="AB16" s="36">
        <f>VLOOKUP($A16,[29]HISTOSEPT24!$A$6:$AU$38,43,0)</f>
        <v>0</v>
      </c>
      <c r="AC16" s="36">
        <f>VLOOKUP($A16,[29]HISTOSEPT24!$A$6:$AU$38,44,0)</f>
        <v>0</v>
      </c>
      <c r="AD16" s="36">
        <f>VLOOKUP($A16,[29]HISTOSEPT24!$A$6:$AU$38,47,0)</f>
        <v>0</v>
      </c>
      <c r="AE16" s="36">
        <f>VLOOKUP(A16,[29]HISTOSEPT24!$A$6:$BB$38,54,0)</f>
        <v>0</v>
      </c>
      <c r="AF16" s="36">
        <f>VLOOKUP($A16,[29]HISTOSEPT24!$A$6:$CB$38,60,0)</f>
        <v>0</v>
      </c>
      <c r="AG16" s="36">
        <f>VLOOKUP($A16,[29]HISTOSEPT24!$A$6:$CB$38,61,0)</f>
        <v>0</v>
      </c>
      <c r="AH16" s="36">
        <f>VLOOKUP($A16,[29]HISTOSEPT24!$A$6:$CB$38,62,0)</f>
        <v>0</v>
      </c>
      <c r="AI16" s="36">
        <f>VLOOKUP($A16,[29]HISTOSEPT24!$A$6:$CB$38,63,0)</f>
        <v>0</v>
      </c>
      <c r="AJ16" s="36">
        <f>VLOOKUP($A16,[29]HISTOSEPT24!$A$6:$CB$38,64,0)</f>
        <v>0</v>
      </c>
      <c r="AK16" s="36">
        <f>VLOOKUP($A16,[29]HISTOSEPT24!$A$6:$CB$38,65,0)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VLOOKUP($A17,[29]HISTOSEPT24!$A$6:$BA$38,48,0)</f>
        <v>0</v>
      </c>
      <c r="F17" s="36">
        <f>MVTAOUT24!I17-E17+L17</f>
        <v>927534.5577767716</v>
      </c>
      <c r="G17" s="5">
        <f>IF(MVTAOUT24!I17+L17&gt;700000,(MVTAOUT24!I17-E17+L17),0)</f>
        <v>927534.5577767716</v>
      </c>
      <c r="H17" s="36">
        <f t="shared" si="0"/>
        <v>546.86411397496113</v>
      </c>
      <c r="I17" s="6">
        <f t="shared" si="2"/>
        <v>928081.42189074657</v>
      </c>
      <c r="J17" s="36">
        <f>VLOOKUP($A17,[29]HISTOSEPT24!$A$6:$AQ$42,22,0)</f>
        <v>0</v>
      </c>
      <c r="K17" s="36">
        <f>VLOOKUP($A17,[29]HISTOSEPT24!$A$6:$AU$38,45,0)</f>
        <v>19500</v>
      </c>
      <c r="L17" s="36">
        <f t="shared" si="3"/>
        <v>13500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VLOOKUP($A17,[29]HISTOSEPT24!$A$6:$AU$38,7,0)</f>
        <v>3000</v>
      </c>
      <c r="Q17" s="36">
        <f>VLOOKUP($A17,[29]HISTOSEPT24!$A$6:$AU$38,23,0)</f>
        <v>0</v>
      </c>
      <c r="R17" s="36">
        <f>VLOOKUP($A17,[29]HISTOSEPT24!$A$6:$AU$38,46,0)</f>
        <v>0</v>
      </c>
      <c r="S17" s="36">
        <f>VLOOKUP($A17,[29]HISTOSEPT24!$A$6:$AU$38,26,0)</f>
        <v>0</v>
      </c>
      <c r="T17" s="36">
        <f>VLOOKUP($A17,[29]HISTOSEPT24!$A$6:$BG$38,58,0)</f>
        <v>0</v>
      </c>
      <c r="U17" s="36">
        <f>VLOOKUP($A17,[29]HISTOSEPT24!$A$6:$AU$38,28,0)</f>
        <v>0</v>
      </c>
      <c r="V17" s="36">
        <f>VLOOKUP($A17,[29]HISTOSEPT24!$A$6:$AU$38,19,0)</f>
        <v>0</v>
      </c>
      <c r="W17" s="36">
        <f>VLOOKUP($A17,[29]HISTOSEPT24!$A$6:$AU$38,20,0)</f>
        <v>0</v>
      </c>
      <c r="X17" s="36">
        <f>VLOOKUP($A17,[29]HISTOSEPT24!$A$6:$AU$38,27,0)</f>
        <v>0</v>
      </c>
      <c r="Y17" s="36">
        <f>VLOOKUP($A17,[29]HISTOSEPT24!$A$6:$BM$38,33,0)</f>
        <v>0</v>
      </c>
      <c r="Z17" s="36">
        <f>VLOOKUP($A17,[29]HISTOSEPT24!$A$6:$BM$38,65,0)</f>
        <v>0</v>
      </c>
      <c r="AA17" s="36"/>
      <c r="AB17" s="36">
        <f>VLOOKUP($A17,[29]HISTOSEPT24!$A$6:$AU$38,43,0)</f>
        <v>0</v>
      </c>
      <c r="AC17" s="36">
        <f>VLOOKUP($A17,[29]HISTOSEPT24!$A$6:$AU$38,44,0)</f>
        <v>0</v>
      </c>
      <c r="AD17" s="36">
        <f>VLOOKUP($A17,[29]HISTOSEPT24!$A$6:$AU$38,47,0)</f>
        <v>0</v>
      </c>
      <c r="AE17" s="36">
        <f>VLOOKUP(A17,[29]HISTOSEPT24!$A$6:$BB$38,54,0)</f>
        <v>0</v>
      </c>
      <c r="AF17" s="36">
        <f>VLOOKUP($A17,[29]HISTOSEPT24!$A$6:$CB$38,60,0)</f>
        <v>0</v>
      </c>
      <c r="AG17" s="36">
        <f>VLOOKUP($A17,[29]HISTOSEPT24!$A$6:$CB$38,61,0)</f>
        <v>0</v>
      </c>
      <c r="AH17" s="36">
        <f>VLOOKUP($A17,[29]HISTOSEPT24!$A$6:$CB$38,62,0)</f>
        <v>0</v>
      </c>
      <c r="AI17" s="36">
        <f>VLOOKUP($A17,[29]HISTOSEPT24!$A$6:$CB$38,63,0)</f>
        <v>0</v>
      </c>
      <c r="AJ17" s="36">
        <f>VLOOKUP($A17,[29]HISTOSEPT24!$A$6:$CB$38,64,0)</f>
        <v>0</v>
      </c>
      <c r="AK17" s="36">
        <f>VLOOKUP($A17,[29]HISTOSEPT24!$A$6:$CB$38,65,0)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VLOOKUP($A18,[29]HISTOSEPT24!$A$6:$BA$38,48,0)</f>
        <v>0</v>
      </c>
      <c r="F18" s="36">
        <f>MVTAOUT24!I18-E18+L18</f>
        <v>1032561.3363863622</v>
      </c>
      <c r="G18" s="5">
        <f>IF(MVTAOUT24!I18+L18&gt;700000,(MVTAOUT24!I18-E18+L18),0)</f>
        <v>1032561.3363863622</v>
      </c>
      <c r="H18" s="36">
        <f t="shared" si="0"/>
        <v>608.78674073470825</v>
      </c>
      <c r="I18" s="6">
        <f t="shared" si="2"/>
        <v>1033170.1231270969</v>
      </c>
      <c r="J18" s="36">
        <f>VLOOKUP($A18,[29]HISTOSEPT24!$A$6:$AQ$42,22,0)</f>
        <v>0</v>
      </c>
      <c r="K18" s="36">
        <f>VLOOKUP($A18,[29]HISTOSEPT24!$A$6:$AU$38,45,0)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VLOOKUP($A18,[29]HISTOSEPT24!$A$6:$AU$38,7,0)</f>
        <v>0</v>
      </c>
      <c r="Q18" s="36">
        <f>VLOOKUP($A18,[29]HISTOSEPT24!$A$6:$AU$38,23,0)</f>
        <v>0</v>
      </c>
      <c r="R18" s="36">
        <f>VLOOKUP($A18,[29]HISTOSEPT24!$A$6:$AU$38,46,0)</f>
        <v>0</v>
      </c>
      <c r="S18" s="36">
        <f>VLOOKUP($A18,[29]HISTOSEPT24!$A$6:$AU$38,26,0)</f>
        <v>0</v>
      </c>
      <c r="T18" s="36">
        <f>VLOOKUP($A18,[29]HISTOSEPT24!$A$6:$BG$38,58,0)</f>
        <v>0</v>
      </c>
      <c r="U18" s="36">
        <f>VLOOKUP($A18,[29]HISTOSEPT24!$A$6:$AU$38,28,0)</f>
        <v>0</v>
      </c>
      <c r="V18" s="36">
        <f>VLOOKUP($A18,[29]HISTOSEPT24!$A$6:$AU$38,19,0)</f>
        <v>0</v>
      </c>
      <c r="W18" s="36">
        <f>VLOOKUP($A18,[29]HISTOSEPT24!$A$6:$AU$38,20,0)</f>
        <v>0</v>
      </c>
      <c r="X18" s="36">
        <f>VLOOKUP($A18,[29]HISTOSEPT24!$A$6:$AU$38,27,0)</f>
        <v>0</v>
      </c>
      <c r="Y18" s="36">
        <f>VLOOKUP($A18,[29]HISTOSEPT24!$A$6:$BM$38,33,0)</f>
        <v>0</v>
      </c>
      <c r="Z18" s="36">
        <f>VLOOKUP($A18,[29]HISTOSEPT24!$A$6:$BM$38,65,0)</f>
        <v>0</v>
      </c>
      <c r="AA18" s="36"/>
      <c r="AB18" s="36">
        <f>VLOOKUP($A18,[29]HISTOSEPT24!$A$6:$AU$38,43,0)</f>
        <v>0</v>
      </c>
      <c r="AC18" s="36">
        <f>VLOOKUP($A18,[29]HISTOSEPT24!$A$6:$AU$38,44,0)</f>
        <v>0</v>
      </c>
      <c r="AD18" s="36">
        <f>VLOOKUP($A18,[29]HISTOSEPT24!$A$6:$AU$38,47,0)</f>
        <v>0</v>
      </c>
      <c r="AE18" s="36">
        <f>VLOOKUP(A18,[29]HISTOSEPT24!$A$6:$BB$38,54,0)</f>
        <v>0</v>
      </c>
      <c r="AF18" s="36">
        <f>VLOOKUP($A18,[29]HISTOSEPT24!$A$6:$CB$38,60,0)</f>
        <v>0</v>
      </c>
      <c r="AG18" s="36">
        <f>VLOOKUP($A18,[29]HISTOSEPT24!$A$6:$CB$38,61,0)</f>
        <v>0</v>
      </c>
      <c r="AH18" s="36">
        <f>VLOOKUP($A18,[29]HISTOSEPT24!$A$6:$CB$38,62,0)</f>
        <v>0</v>
      </c>
      <c r="AI18" s="36">
        <f>VLOOKUP($A18,[29]HISTOSEPT24!$A$6:$CB$38,63,0)</f>
        <v>0</v>
      </c>
      <c r="AJ18" s="36">
        <f>VLOOKUP($A18,[29]HISTOSEPT24!$A$6:$CB$38,64,0)</f>
        <v>0</v>
      </c>
      <c r="AK18" s="36">
        <f>VLOOKUP($A18,[29]HISTOSEPT24!$A$6:$CB$38,65,0)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MVTAOUT24!I19-E19+L19</f>
        <v>676217</v>
      </c>
      <c r="G19" s="5">
        <f>IF(MVTAOUT24!I19+L19&gt;700000,(MVTAOUT24!I19-E19+L19),0)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MVTAOUT24!I20-E20+L20</f>
        <v>171000</v>
      </c>
      <c r="G20" s="5">
        <f>IF(MVTAOUT24!I20+L20&gt;700000,(MVTAOUT24!I20-E20+L20),0)</f>
        <v>0</v>
      </c>
      <c r="H20" s="36">
        <f t="shared" si="0"/>
        <v>0</v>
      </c>
      <c r="I20" s="6">
        <f t="shared" si="2"/>
        <v>171000</v>
      </c>
      <c r="J20" s="36">
        <f>VLOOKUP($A20,[29]HISTOSEPT24!$A$6:$AQ$42,22,0)</f>
        <v>0</v>
      </c>
      <c r="K20" s="36">
        <f>VLOOKUP($A20,[29]HISTOSEPT24!$A$6:$AU$38,45,0)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VLOOKUP($A20,[29]HISTOSEPT24!$A$6:$AU$38,7,0)</f>
        <v>0</v>
      </c>
      <c r="Q20" s="36">
        <f>VLOOKUP($A20,[29]HISTOSEPT24!$A$6:$AU$38,23,0)</f>
        <v>0</v>
      </c>
      <c r="R20" s="36">
        <f>VLOOKUP($A20,[29]HISTOSEPT24!$A$6:$AU$38,46,0)</f>
        <v>0</v>
      </c>
      <c r="S20" s="36">
        <f>VLOOKUP($A20,[29]HISTOSEPT24!$A$6:$AU$38,26,0)</f>
        <v>0</v>
      </c>
      <c r="T20" s="36">
        <f>VLOOKUP($A20,[29]HISTOSEPT24!$A$6:$BG$38,58,0)</f>
        <v>0</v>
      </c>
      <c r="U20" s="36">
        <f>VLOOKUP($A20,[29]HISTOSEPT24!$A$6:$AU$38,28,0)</f>
        <v>0</v>
      </c>
      <c r="V20" s="36">
        <f>VLOOKUP($A20,[29]HISTOSEPT24!$A$6:$AU$38,19,0)</f>
        <v>0</v>
      </c>
      <c r="W20" s="36">
        <f>VLOOKUP($A20,[29]HISTOSEPT24!$A$6:$AU$38,20,0)</f>
        <v>0</v>
      </c>
      <c r="X20" s="36">
        <f>VLOOKUP($A20,[29]HISTOSEPT24!$A$6:$AU$38,27,0)</f>
        <v>0</v>
      </c>
      <c r="Y20" s="36">
        <f>VLOOKUP($A20,[29]HISTOSEPT24!$A$6:$BM$38,33,0)</f>
        <v>0</v>
      </c>
      <c r="Z20" s="36">
        <f>VLOOKUP($A20,[29]HISTOSEPT24!$A$6:$BM$38,65,0)</f>
        <v>0</v>
      </c>
      <c r="AA20" s="36"/>
      <c r="AB20" s="36">
        <f>VLOOKUP($A20,[29]HISTOSEPT24!$A$6:$AU$38,43,0)</f>
        <v>0</v>
      </c>
      <c r="AC20" s="36">
        <f>VLOOKUP($A20,[29]HISTOSEPT24!$A$6:$AU$38,44,0)</f>
        <v>0</v>
      </c>
      <c r="AD20" s="36">
        <f>VLOOKUP($A20,[29]HISTOSEPT24!$A$6:$AU$38,47,0)</f>
        <v>0</v>
      </c>
      <c r="AE20" s="36">
        <f>VLOOKUP(A20,[29]HISTOSEPT24!$A$6:$BB$38,54,0)</f>
        <v>0</v>
      </c>
      <c r="AF20" s="36">
        <f>VLOOKUP($A20,[29]HISTOSEPT24!$A$6:$CB$38,60,0)</f>
        <v>0</v>
      </c>
      <c r="AG20" s="36">
        <f>VLOOKUP($A20,[29]HISTOSEPT24!$A$6:$CB$38,61,0)</f>
        <v>0</v>
      </c>
      <c r="AH20" s="36">
        <f>VLOOKUP($A20,[29]HISTOSEPT24!$A$6:$CB$38,62,0)</f>
        <v>0</v>
      </c>
      <c r="AI20" s="36">
        <f>VLOOKUP($A20,[29]HISTOSEPT24!$A$6:$CB$38,63,0)</f>
        <v>0</v>
      </c>
      <c r="AJ20" s="36">
        <f>VLOOKUP($A20,[29]HISTOSEPT24!$A$6:$CB$38,64,0)</f>
        <v>0</v>
      </c>
      <c r="AK20" s="36">
        <f>VLOOKUP($A20,[29]HISTOSEPT24!$A$6:$CB$38,65,0)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MVTAOUT24!I21-E21+L21</f>
        <v>960214.80447633693</v>
      </c>
      <c r="G21" s="5">
        <f>IF(MVTAOUT24!I21+L21&gt;700000,(MVTAOUT24!I21-E21+L21),0)</f>
        <v>960214.80447633693</v>
      </c>
      <c r="H21" s="36">
        <f t="shared" si="0"/>
        <v>566.132025888322</v>
      </c>
      <c r="I21" s="6">
        <f t="shared" si="2"/>
        <v>960780.93650222523</v>
      </c>
      <c r="J21" s="36">
        <f>VLOOKUP($A21,[29]HISTOSEPT24!$A$6:$AQ$42,22,0)</f>
        <v>0</v>
      </c>
      <c r="K21" s="36">
        <f>VLOOKUP($A21,[29]HISTOSEPT24!$A$6:$AU$38,45,0)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VLOOKUP($A21,[29]HISTOSEPT24!$A$6:$AU$38,7,0)</f>
        <v>0</v>
      </c>
      <c r="Q21" s="36">
        <f>VLOOKUP($A21,[29]HISTOSEPT24!$A$6:$AU$38,23,0)</f>
        <v>0</v>
      </c>
      <c r="R21" s="36">
        <f>VLOOKUP($A21,[29]HISTOSEPT24!$A$6:$AU$38,46,0)</f>
        <v>0</v>
      </c>
      <c r="S21" s="36">
        <f>VLOOKUP($A21,[29]HISTOSEPT24!$A$6:$AU$38,26,0)</f>
        <v>0</v>
      </c>
      <c r="T21" s="36">
        <f>VLOOKUP($A21,[29]HISTOSEPT24!$A$6:$BG$38,58,0)</f>
        <v>0</v>
      </c>
      <c r="U21" s="36">
        <f>VLOOKUP($A21,[29]HISTOSEPT24!$A$6:$AU$38,28,0)</f>
        <v>0</v>
      </c>
      <c r="V21" s="36">
        <f>VLOOKUP($A21,[29]HISTOSEPT24!$A$6:$AU$38,19,0)</f>
        <v>0</v>
      </c>
      <c r="W21" s="36">
        <f>VLOOKUP($A21,[29]HISTOSEPT24!$A$6:$AU$38,20,0)</f>
        <v>0</v>
      </c>
      <c r="X21" s="36">
        <f>VLOOKUP($A21,[29]HISTOSEPT24!$A$6:$AU$38,27,0)</f>
        <v>0</v>
      </c>
      <c r="Y21" s="36">
        <f>VLOOKUP($A21,[29]HISTOSEPT24!$A$6:$BM$38,33,0)</f>
        <v>0</v>
      </c>
      <c r="Z21" s="36">
        <f>VLOOKUP($A21,[29]HISTOSEPT24!$A$6:$BM$38,65,0)</f>
        <v>0</v>
      </c>
      <c r="AA21" s="36"/>
      <c r="AB21" s="36">
        <f>VLOOKUP($A21,[29]HISTOSEPT24!$A$6:$AU$38,43,0)</f>
        <v>0</v>
      </c>
      <c r="AC21" s="36">
        <f>VLOOKUP($A21,[29]HISTOSEPT24!$A$6:$AU$38,44,0)</f>
        <v>0</v>
      </c>
      <c r="AD21" s="36">
        <f>VLOOKUP($A21,[29]HISTOSEPT24!$A$6:$AU$38,47,0)</f>
        <v>0</v>
      </c>
      <c r="AE21" s="36">
        <f>VLOOKUP(A21,[29]HISTOSEPT24!$A$6:$BB$38,54,0)</f>
        <v>0</v>
      </c>
      <c r="AF21" s="36">
        <f>VLOOKUP($A21,[29]HISTOSEPT24!$A$6:$CB$38,60,0)</f>
        <v>0</v>
      </c>
      <c r="AG21" s="36">
        <f>VLOOKUP($A21,[29]HISTOSEPT24!$A$6:$CB$38,61,0)</f>
        <v>0</v>
      </c>
      <c r="AH21" s="36">
        <f>VLOOKUP($A21,[29]HISTOSEPT24!$A$6:$CB$38,62,0)</f>
        <v>0</v>
      </c>
      <c r="AI21" s="36">
        <f>VLOOKUP($A21,[29]HISTOSEPT24!$A$6:$CB$38,63,0)</f>
        <v>0</v>
      </c>
      <c r="AJ21" s="36">
        <f>VLOOKUP($A21,[29]HISTOSEPT24!$A$6:$CB$38,64,0)</f>
        <v>0</v>
      </c>
      <c r="AK21" s="36">
        <f>VLOOKUP($A21,[29]HISTOSEPT24!$A$6:$CB$38,65,0)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MVTAOUT24!I22-E22+L22</f>
        <v>928780.8558460963</v>
      </c>
      <c r="G22" s="5">
        <f>IF(MVTAOUT24!I22+L22&gt;700000,(MVTAOUT24!I22-E22+L22),0)</f>
        <v>928780.8558460963</v>
      </c>
      <c r="H22" s="36">
        <f t="shared" si="0"/>
        <v>547.59891752887245</v>
      </c>
      <c r="I22" s="6">
        <f t="shared" si="2"/>
        <v>929328.45476362517</v>
      </c>
      <c r="J22" s="36">
        <f>VLOOKUP($A22,[29]HISTOSEPT24!$A$6:$AQ$42,22,0)</f>
        <v>0</v>
      </c>
      <c r="K22" s="36">
        <f>VLOOKUP($A22,[29]HISTOSEPT24!$A$6:$AU$38,45,0)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VLOOKUP($A22,[29]HISTOSEPT24!$A$6:$AU$38,7,0)</f>
        <v>0</v>
      </c>
      <c r="Q22" s="36">
        <f>VLOOKUP($A22,[29]HISTOSEPT24!$A$6:$AU$38,23,0)</f>
        <v>0</v>
      </c>
      <c r="R22" s="36">
        <f>VLOOKUP($A22,[29]HISTOSEPT24!$A$6:$AU$38,46,0)</f>
        <v>0</v>
      </c>
      <c r="S22" s="36">
        <f>VLOOKUP($A22,[29]HISTOSEPT24!$A$6:$AU$38,26,0)</f>
        <v>0</v>
      </c>
      <c r="T22" s="36">
        <f>VLOOKUP($A22,[29]HISTOSEPT24!$A$6:$BG$38,58,0)</f>
        <v>0</v>
      </c>
      <c r="U22" s="36">
        <f>VLOOKUP($A22,[29]HISTOSEPT24!$A$6:$AU$38,28,0)</f>
        <v>0</v>
      </c>
      <c r="V22" s="36">
        <f>VLOOKUP($A22,[29]HISTOSEPT24!$A$6:$AU$38,19,0)</f>
        <v>0</v>
      </c>
      <c r="W22" s="36">
        <f>VLOOKUP($A22,[29]HISTOSEPT24!$A$6:$AU$38,20,0)</f>
        <v>0</v>
      </c>
      <c r="X22" s="36">
        <f>VLOOKUP($A22,[29]HISTOSEPT24!$A$6:$AU$38,27,0)</f>
        <v>0</v>
      </c>
      <c r="Y22" s="36">
        <f>VLOOKUP($A22,[29]HISTOSEPT24!$A$6:$BM$38,33,0)</f>
        <v>0</v>
      </c>
      <c r="Z22" s="36">
        <f>VLOOKUP($A22,[29]HISTOSEPT24!$A$6:$BM$38,65,0)</f>
        <v>0</v>
      </c>
      <c r="AA22" s="36"/>
      <c r="AB22" s="36">
        <f>VLOOKUP($A22,[29]HISTOSEPT24!$A$6:$AU$38,43,0)</f>
        <v>0</v>
      </c>
      <c r="AC22" s="36">
        <f>VLOOKUP($A22,[29]HISTOSEPT24!$A$6:$AU$38,44,0)</f>
        <v>0</v>
      </c>
      <c r="AD22" s="36">
        <f>VLOOKUP($A22,[29]HISTOSEPT24!$A$6:$AU$38,47,0)</f>
        <v>0</v>
      </c>
      <c r="AE22" s="36">
        <f>VLOOKUP(A22,[29]HISTOSEPT24!$A$6:$BB$38,54,0)</f>
        <v>0</v>
      </c>
      <c r="AF22" s="36">
        <f>VLOOKUP($A22,[29]HISTOSEPT24!$A$6:$CB$38,60,0)</f>
        <v>0</v>
      </c>
      <c r="AG22" s="36">
        <f>VLOOKUP($A22,[29]HISTOSEPT24!$A$6:$CB$38,61,0)</f>
        <v>0</v>
      </c>
      <c r="AH22" s="36">
        <f>VLOOKUP($A22,[29]HISTOSEPT24!$A$6:$CB$38,62,0)</f>
        <v>0</v>
      </c>
      <c r="AI22" s="36">
        <f>VLOOKUP($A22,[29]HISTOSEPT24!$A$6:$CB$38,63,0)</f>
        <v>0</v>
      </c>
      <c r="AJ22" s="36">
        <f>VLOOKUP($A22,[29]HISTOSEPT24!$A$6:$CB$38,64,0)</f>
        <v>0</v>
      </c>
      <c r="AK22" s="36">
        <f>VLOOKUP($A22,[29]HISTOSEPT24!$A$6:$CB$38,65,0)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MVTAOUT24!I23-E23+L23</f>
        <v>1035802.436775781</v>
      </c>
      <c r="G23" s="5">
        <f>IF(MVTAOUT24!I23+L23&gt;700000,(MVTAOUT24!I23-E23+L23),0)</f>
        <v>1035802.436775781</v>
      </c>
      <c r="H23" s="36">
        <f t="shared" si="0"/>
        <v>610.6976576681019</v>
      </c>
      <c r="I23" s="6">
        <f t="shared" si="2"/>
        <v>1036413.1344334491</v>
      </c>
      <c r="J23" s="36">
        <f>VLOOKUP($A23,[29]HISTOSEPT24!$A$6:$AQ$42,22,0)</f>
        <v>0</v>
      </c>
      <c r="K23" s="36">
        <f>VLOOKUP($A23,[29]HISTOSEPT24!$A$6:$AU$38,45,0)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VLOOKUP($A23,[29]HISTOSEPT24!$A$6:$AU$38,7,0)</f>
        <v>0</v>
      </c>
      <c r="Q23" s="36">
        <f>VLOOKUP($A23,[29]HISTOSEPT24!$A$6:$AU$38,23,0)</f>
        <v>0</v>
      </c>
      <c r="R23" s="36">
        <f>VLOOKUP($A23,[29]HISTOSEPT24!$A$6:$AU$38,46,0)</f>
        <v>0</v>
      </c>
      <c r="S23" s="36">
        <f>VLOOKUP($A23,[29]HISTOSEPT24!$A$6:$AU$38,26,0)</f>
        <v>0</v>
      </c>
      <c r="T23" s="36">
        <f>VLOOKUP($A23,[29]HISTOSEPT24!$A$6:$BG$38,58,0)</f>
        <v>0</v>
      </c>
      <c r="U23" s="36">
        <f>VLOOKUP($A23,[29]HISTOSEPT24!$A$6:$AU$38,28,0)</f>
        <v>0</v>
      </c>
      <c r="V23" s="36">
        <f>VLOOKUP($A23,[29]HISTOSEPT24!$A$6:$AU$38,19,0)</f>
        <v>0</v>
      </c>
      <c r="W23" s="36">
        <f>VLOOKUP($A23,[29]HISTOSEPT24!$A$6:$AU$38,20,0)</f>
        <v>0</v>
      </c>
      <c r="X23" s="36">
        <f>VLOOKUP($A23,[29]HISTOSEPT24!$A$6:$AU$38,27,0)</f>
        <v>0</v>
      </c>
      <c r="Y23" s="36">
        <f>VLOOKUP($A23,[29]HISTOSEPT24!$A$6:$BM$38,33,0)</f>
        <v>0</v>
      </c>
      <c r="Z23" s="36">
        <f>VLOOKUP($A23,[29]HISTOSEPT24!$A$6:$BM$38,65,0)</f>
        <v>0</v>
      </c>
      <c r="AA23" s="36"/>
      <c r="AB23" s="36">
        <f>VLOOKUP($A23,[29]HISTOSEPT24!$A$6:$AU$38,43,0)</f>
        <v>0</v>
      </c>
      <c r="AC23" s="36">
        <f>VLOOKUP($A23,[29]HISTOSEPT24!$A$6:$AU$38,44,0)</f>
        <v>0</v>
      </c>
      <c r="AD23" s="36">
        <f>VLOOKUP($A23,[29]HISTOSEPT24!$A$6:$AU$38,47,0)</f>
        <v>0</v>
      </c>
      <c r="AE23" s="36">
        <f>VLOOKUP(A23,[29]HISTOSEPT24!$A$6:$BB$38,54,0)</f>
        <v>0</v>
      </c>
      <c r="AF23" s="36">
        <f>VLOOKUP($A23,[29]HISTOSEPT24!$A$6:$CB$38,60,0)</f>
        <v>0</v>
      </c>
      <c r="AG23" s="36">
        <f>VLOOKUP($A23,[29]HISTOSEPT24!$A$6:$CB$38,61,0)</f>
        <v>0</v>
      </c>
      <c r="AH23" s="36">
        <f>VLOOKUP($A23,[29]HISTOSEPT24!$A$6:$CB$38,62,0)</f>
        <v>0</v>
      </c>
      <c r="AI23" s="36">
        <f>VLOOKUP($A23,[29]HISTOSEPT24!$A$6:$CB$38,63,0)</f>
        <v>0</v>
      </c>
      <c r="AJ23" s="36">
        <f>VLOOKUP($A23,[29]HISTOSEPT24!$A$6:$CB$38,64,0)</f>
        <v>0</v>
      </c>
      <c r="AK23" s="36">
        <f>VLOOKUP($A23,[29]HISTOSEPT24!$A$6:$CB$38,65,0)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MVTAOUT24!I24-E24+L24</f>
        <v>1281202.9382757714</v>
      </c>
      <c r="G24" s="5">
        <f>IF(MVTAOUT24!I24+L24&gt;700000,(MVTAOUT24!I24-E24+L24),0)</f>
        <v>1281202.9382757714</v>
      </c>
      <c r="H24" s="36">
        <f t="shared" si="0"/>
        <v>755.38307849325383</v>
      </c>
      <c r="I24" s="6">
        <f t="shared" si="2"/>
        <v>1281958.3213542646</v>
      </c>
      <c r="J24" s="36">
        <f>VLOOKUP($A24,[29]HISTOSEPT24!$A$6:$AQ$42,22,0)</f>
        <v>0</v>
      </c>
      <c r="K24" s="36">
        <f>VLOOKUP($A24,[29]HISTOSEPT24!$A$6:$AU$38,45,0)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VLOOKUP($A24,[29]HISTOSEPT24!$A$6:$AU$38,7,0)</f>
        <v>0</v>
      </c>
      <c r="Q24" s="36">
        <f>VLOOKUP($A24,[29]HISTOSEPT24!$A$6:$AU$38,23,0)</f>
        <v>0</v>
      </c>
      <c r="R24" s="36">
        <f>VLOOKUP($A24,[29]HISTOSEPT24!$A$6:$AU$38,46,0)</f>
        <v>0</v>
      </c>
      <c r="S24" s="36">
        <f>VLOOKUP($A24,[29]HISTOSEPT24!$A$6:$AU$38,26,0)</f>
        <v>0</v>
      </c>
      <c r="T24" s="36">
        <f>VLOOKUP($A24,[29]HISTOSEPT24!$A$6:$BG$38,58,0)</f>
        <v>0</v>
      </c>
      <c r="U24" s="36">
        <f>VLOOKUP($A24,[29]HISTOSEPT24!$A$6:$AU$38,28,0)</f>
        <v>0</v>
      </c>
      <c r="V24" s="36">
        <f>VLOOKUP($A24,[29]HISTOSEPT24!$A$6:$AU$38,19,0)</f>
        <v>0</v>
      </c>
      <c r="W24" s="36">
        <f>VLOOKUP($A24,[29]HISTOSEPT24!$A$6:$AU$38,20,0)</f>
        <v>0</v>
      </c>
      <c r="X24" s="36">
        <f>VLOOKUP($A24,[29]HISTOSEPT24!$A$6:$AU$38,27,0)</f>
        <v>0</v>
      </c>
      <c r="Y24" s="36">
        <f>VLOOKUP($A24,[29]HISTOSEPT24!$A$6:$BM$38,33,0)</f>
        <v>0</v>
      </c>
      <c r="Z24" s="36">
        <f>VLOOKUP($A24,[29]HISTOSEPT24!$A$6:$BM$38,65,0)</f>
        <v>0</v>
      </c>
      <c r="AA24" s="36"/>
      <c r="AB24" s="36">
        <f>VLOOKUP($A24,[29]HISTOSEPT24!$A$6:$AU$38,43,0)</f>
        <v>0</v>
      </c>
      <c r="AC24" s="36">
        <f>VLOOKUP($A24,[29]HISTOSEPT24!$A$6:$AU$38,44,0)</f>
        <v>0</v>
      </c>
      <c r="AD24" s="36">
        <f>VLOOKUP($A24,[29]HISTOSEPT24!$A$6:$AU$38,47,0)</f>
        <v>0</v>
      </c>
      <c r="AE24" s="36">
        <f>VLOOKUP(A24,[29]HISTOSEPT24!$A$6:$BB$38,54,0)</f>
        <v>0</v>
      </c>
      <c r="AF24" s="36">
        <f>VLOOKUP($A24,[29]HISTOSEPT24!$A$6:$CB$38,60,0)</f>
        <v>0</v>
      </c>
      <c r="AG24" s="36">
        <f>VLOOKUP($A24,[29]HISTOSEPT24!$A$6:$CB$38,61,0)</f>
        <v>0</v>
      </c>
      <c r="AH24" s="36">
        <f>VLOOKUP($A24,[29]HISTOSEPT24!$A$6:$CB$38,62,0)</f>
        <v>0</v>
      </c>
      <c r="AI24" s="36">
        <f>VLOOKUP($A24,[29]HISTOSEPT24!$A$6:$CB$38,63,0)</f>
        <v>0</v>
      </c>
      <c r="AJ24" s="36">
        <f>VLOOKUP($A24,[29]HISTOSEPT24!$A$6:$CB$38,64,0)</f>
        <v>0</v>
      </c>
      <c r="AK24" s="36">
        <f>VLOOKUP($A24,[29]HISTOSEPT24!$A$6:$CB$38,65,0)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MVTAOUT24!I25-E25+L25</f>
        <v>1127903.0348280221</v>
      </c>
      <c r="G25" s="5">
        <f>IF(MVTAOUT24!I25+L25&gt;700000,(MVTAOUT24!I25-E25+L25),0)</f>
        <v>1127903.0348280221</v>
      </c>
      <c r="H25" s="36">
        <f t="shared" si="0"/>
        <v>664.99915137322864</v>
      </c>
      <c r="I25" s="6">
        <f t="shared" si="2"/>
        <v>1128568.0339793954</v>
      </c>
      <c r="J25" s="36">
        <f>VLOOKUP($A25,[29]HISTOSEPT24!$A$6:$AQ$42,22,0)</f>
        <v>0</v>
      </c>
      <c r="K25" s="36">
        <f>VLOOKUP($A25,[29]HISTOSEPT24!$A$6:$AU$38,45,0)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VLOOKUP($A25,[29]HISTOSEPT24!$A$6:$AU$38,7,0)</f>
        <v>3000</v>
      </c>
      <c r="Q25" s="36">
        <f>VLOOKUP($A25,[29]HISTOSEPT24!$A$6:$AU$38,23,0)</f>
        <v>0</v>
      </c>
      <c r="R25" s="36">
        <f>VLOOKUP($A25,[29]HISTOSEPT24!$A$6:$AU$38,46,0)</f>
        <v>0</v>
      </c>
      <c r="S25" s="36">
        <f>VLOOKUP($A25,[29]HISTOSEPT24!$A$6:$AU$38,26,0)</f>
        <v>0</v>
      </c>
      <c r="T25" s="36">
        <f>VLOOKUP($A25,[29]HISTOSEPT24!$A$6:$BG$38,58,0)</f>
        <v>0</v>
      </c>
      <c r="U25" s="36">
        <f>VLOOKUP($A25,[29]HISTOSEPT24!$A$6:$AU$38,28,0)</f>
        <v>0</v>
      </c>
      <c r="V25" s="36">
        <f>VLOOKUP($A25,[29]HISTOSEPT24!$A$6:$AU$38,19,0)</f>
        <v>0</v>
      </c>
      <c r="W25" s="36">
        <f>VLOOKUP($A25,[29]HISTOSEPT24!$A$6:$AU$38,20,0)</f>
        <v>0</v>
      </c>
      <c r="X25" s="36">
        <f>VLOOKUP($A25,[29]HISTOSEPT24!$A$6:$AU$38,27,0)</f>
        <v>0</v>
      </c>
      <c r="Y25" s="36">
        <f>VLOOKUP($A25,[29]HISTOSEPT24!$A$6:$BM$38,33,0)</f>
        <v>0</v>
      </c>
      <c r="Z25" s="36">
        <f>VLOOKUP($A25,[29]HISTOSEPT24!$A$6:$BM$38,65,0)</f>
        <v>0</v>
      </c>
      <c r="AA25" s="36"/>
      <c r="AB25" s="36">
        <f>VLOOKUP($A25,[29]HISTOSEPT24!$A$6:$AU$38,43,0)</f>
        <v>0</v>
      </c>
      <c r="AC25" s="36">
        <f>VLOOKUP($A25,[29]HISTOSEPT24!$A$6:$AU$38,44,0)</f>
        <v>0</v>
      </c>
      <c r="AD25" s="36">
        <f>VLOOKUP($A25,[29]HISTOSEPT24!$A$6:$AU$38,47,0)</f>
        <v>0</v>
      </c>
      <c r="AE25" s="36">
        <f>VLOOKUP(A25,[29]HISTOSEPT24!$A$6:$BB$38,54,0)</f>
        <v>0</v>
      </c>
      <c r="AF25" s="36">
        <f>VLOOKUP($A25,[29]HISTOSEPT24!$A$6:$CB$38,60,0)</f>
        <v>0</v>
      </c>
      <c r="AG25" s="36">
        <f>VLOOKUP($A25,[29]HISTOSEPT24!$A$6:$CB$38,61,0)</f>
        <v>0</v>
      </c>
      <c r="AH25" s="36">
        <f>VLOOKUP($A25,[29]HISTOSEPT24!$A$6:$CB$38,62,0)</f>
        <v>0</v>
      </c>
      <c r="AI25" s="36">
        <f>VLOOKUP($A25,[29]HISTOSEPT24!$A$6:$CB$38,63,0)</f>
        <v>0</v>
      </c>
      <c r="AJ25" s="36">
        <f>VLOOKUP($A25,[29]HISTOSEPT24!$A$6:$CB$38,64,0)</f>
        <v>0</v>
      </c>
      <c r="AK25" s="36">
        <f>VLOOKUP($A25,[29]HISTOSEPT24!$A$6:$CB$38,65,0)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MVTAOUT24!I26-E26+L26</f>
        <v>949034.92527149536</v>
      </c>
      <c r="G26" s="5">
        <f>IF(MVTAOUT24!I26+L26&gt;700000,(MVTAOUT24!I26-E26+L26),0)</f>
        <v>949034.92527149536</v>
      </c>
      <c r="H26" s="36">
        <f t="shared" si="0"/>
        <v>559.5404927918546</v>
      </c>
      <c r="I26" s="6">
        <f t="shared" si="2"/>
        <v>949594.46576428716</v>
      </c>
      <c r="J26" s="36">
        <f>VLOOKUP($A26,[29]HISTOSEPT24!$A$6:$AQ$42,22,0)</f>
        <v>0</v>
      </c>
      <c r="K26" s="36">
        <f>VLOOKUP($A26,[29]HISTOSEPT24!$A$6:$AU$38,45,0)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VLOOKUP($A26,[29]HISTOSEPT24!$A$6:$AU$38,7,0)</f>
        <v>0</v>
      </c>
      <c r="Q26" s="36">
        <f>VLOOKUP($A26,[29]HISTOSEPT24!$A$6:$AU$38,23,0)</f>
        <v>0</v>
      </c>
      <c r="R26" s="36">
        <f>VLOOKUP($A26,[29]HISTOSEPT24!$A$6:$AU$38,46,0)</f>
        <v>0</v>
      </c>
      <c r="S26" s="36">
        <f>VLOOKUP($A26,[29]HISTOSEPT24!$A$6:$AU$38,26,0)</f>
        <v>0</v>
      </c>
      <c r="T26" s="36">
        <f>VLOOKUP($A26,[29]HISTOSEPT24!$A$6:$BG$38,58,0)</f>
        <v>0</v>
      </c>
      <c r="U26" s="36">
        <f>VLOOKUP($A26,[29]HISTOSEPT24!$A$6:$AU$38,28,0)</f>
        <v>0</v>
      </c>
      <c r="V26" s="36">
        <f>VLOOKUP($A26,[29]HISTOSEPT24!$A$6:$AU$38,19,0)</f>
        <v>0</v>
      </c>
      <c r="W26" s="36">
        <f>VLOOKUP($A26,[29]HISTOSEPT24!$A$6:$AU$38,20,0)</f>
        <v>0</v>
      </c>
      <c r="X26" s="36">
        <f>VLOOKUP($A26,[29]HISTOSEPT24!$A$6:$AU$38,27,0)</f>
        <v>0</v>
      </c>
      <c r="Y26" s="36">
        <f>VLOOKUP($A26,[29]HISTOSEPT24!$A$6:$BM$38,33,0)</f>
        <v>0</v>
      </c>
      <c r="Z26" s="36">
        <f>VLOOKUP($A26,[29]HISTOSEPT24!$A$6:$BM$38,65,0)</f>
        <v>0</v>
      </c>
      <c r="AA26" s="36"/>
      <c r="AB26" s="36">
        <f>VLOOKUP($A26,[29]HISTOSEPT24!$A$6:$AU$38,43,0)</f>
        <v>0</v>
      </c>
      <c r="AC26" s="36">
        <f>VLOOKUP($A26,[29]HISTOSEPT24!$A$6:$AU$38,44,0)</f>
        <v>0</v>
      </c>
      <c r="AD26" s="36">
        <f>VLOOKUP($A26,[29]HISTOSEPT24!$A$6:$AU$38,47,0)</f>
        <v>0</v>
      </c>
      <c r="AE26" s="36">
        <f>VLOOKUP(A26,[29]HISTOSEPT24!$A$6:$BB$38,54,0)</f>
        <v>0</v>
      </c>
      <c r="AF26" s="36">
        <f>VLOOKUP($A26,[29]HISTOSEPT24!$A$6:$CB$38,60,0)</f>
        <v>0</v>
      </c>
      <c r="AG26" s="36">
        <f>VLOOKUP($A26,[29]HISTOSEPT24!$A$6:$CB$38,61,0)</f>
        <v>0</v>
      </c>
      <c r="AH26" s="36">
        <f>VLOOKUP($A26,[29]HISTOSEPT24!$A$6:$CB$38,62,0)</f>
        <v>0</v>
      </c>
      <c r="AI26" s="36">
        <f>VLOOKUP($A26,[29]HISTOSEPT24!$A$6:$CB$38,63,0)</f>
        <v>0</v>
      </c>
      <c r="AJ26" s="36">
        <f>VLOOKUP($A26,[29]HISTOSEPT24!$A$6:$CB$38,64,0)</f>
        <v>0</v>
      </c>
      <c r="AK26" s="36">
        <f>VLOOKUP($A26,[29]HISTOSEPT24!$A$6:$CB$38,65,0)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MVTAOUT24!I27-E27+L27</f>
        <v>949566.0507426433</v>
      </c>
      <c r="G27" s="5">
        <f>IF(MVTAOUT24!I27+L27&gt;700000,(MVTAOUT24!I27-E27+L27),0)</f>
        <v>949566.0507426433</v>
      </c>
      <c r="H27" s="36">
        <f t="shared" si="0"/>
        <v>559.85363849381645</v>
      </c>
      <c r="I27" s="6">
        <f t="shared" si="2"/>
        <v>950125.90438113711</v>
      </c>
      <c r="J27" s="36">
        <f>VLOOKUP($A27,[29]HISTOSEPT24!$A$6:$AQ$42,22,0)</f>
        <v>0</v>
      </c>
      <c r="K27" s="36">
        <f>VLOOKUP($A27,[29]HISTOSEPT24!$A$6:$AU$38,45,0)</f>
        <v>26000</v>
      </c>
      <c r="L27" s="36">
        <f t="shared" si="3"/>
        <v>20000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VLOOKUP($A27,[29]HISTOSEPT24!$A$6:$AU$38,7,0)</f>
        <v>0</v>
      </c>
      <c r="Q27" s="36">
        <f>VLOOKUP($A27,[29]HISTOSEPT24!$A$6:$AU$38,23,0)</f>
        <v>0</v>
      </c>
      <c r="R27" s="36">
        <f>VLOOKUP($A27,[29]HISTOSEPT24!$A$6:$AU$38,46,0)</f>
        <v>0</v>
      </c>
      <c r="S27" s="36">
        <f>VLOOKUP($A27,[29]HISTOSEPT24!$A$6:$AU$38,26,0)</f>
        <v>0</v>
      </c>
      <c r="T27" s="36">
        <f>VLOOKUP($A27,[29]HISTOSEPT24!$A$6:$BG$38,58,0)</f>
        <v>0</v>
      </c>
      <c r="U27" s="36">
        <f>VLOOKUP($A27,[29]HISTOSEPT24!$A$6:$AU$38,28,0)</f>
        <v>0</v>
      </c>
      <c r="V27" s="36">
        <f>VLOOKUP($A27,[29]HISTOSEPT24!$A$6:$AU$38,19,0)</f>
        <v>0</v>
      </c>
      <c r="W27" s="36">
        <f>VLOOKUP($A27,[29]HISTOSEPT24!$A$6:$AU$38,20,0)</f>
        <v>0</v>
      </c>
      <c r="X27" s="36">
        <f>VLOOKUP($A27,[29]HISTOSEPT24!$A$6:$AU$38,27,0)</f>
        <v>0</v>
      </c>
      <c r="Y27" s="36">
        <f>VLOOKUP($A27,[29]HISTOSEPT24!$A$6:$BM$38,33,0)</f>
        <v>0</v>
      </c>
      <c r="Z27" s="36">
        <f>VLOOKUP($A27,[29]HISTOSEPT24!$A$6:$BM$38,65,0)</f>
        <v>0</v>
      </c>
      <c r="AA27" s="36"/>
      <c r="AB27" s="36">
        <f>VLOOKUP($A27,[29]HISTOSEPT24!$A$6:$AU$38,43,0)</f>
        <v>0</v>
      </c>
      <c r="AC27" s="36">
        <f>VLOOKUP($A27,[29]HISTOSEPT24!$A$6:$AU$38,44,0)</f>
        <v>0</v>
      </c>
      <c r="AD27" s="36">
        <f>VLOOKUP($A27,[29]HISTOSEPT24!$A$6:$AU$38,47,0)</f>
        <v>0</v>
      </c>
      <c r="AE27" s="36">
        <f>VLOOKUP(A27,[29]HISTOSEPT24!$A$6:$BB$38,54,0)</f>
        <v>0</v>
      </c>
      <c r="AF27" s="36">
        <f>VLOOKUP($A27,[29]HISTOSEPT24!$A$6:$CB$38,60,0)</f>
        <v>0</v>
      </c>
      <c r="AG27" s="36">
        <f>VLOOKUP($A27,[29]HISTOSEPT24!$A$6:$CB$38,61,0)</f>
        <v>0</v>
      </c>
      <c r="AH27" s="36">
        <f>VLOOKUP($A27,[29]HISTOSEPT24!$A$6:$CB$38,62,0)</f>
        <v>0</v>
      </c>
      <c r="AI27" s="36">
        <f>VLOOKUP($A27,[29]HISTOSEPT24!$A$6:$CB$38,63,0)</f>
        <v>0</v>
      </c>
      <c r="AJ27" s="36">
        <f>VLOOKUP($A27,[29]HISTOSEPT24!$A$6:$CB$38,64,0)</f>
        <v>0</v>
      </c>
      <c r="AK27" s="36">
        <f>VLOOKUP($A27,[29]HISTOSEPT24!$A$6:$CB$38,65,0)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MVTAOUT24!I28-E28+L28</f>
        <v>849276.04990082572</v>
      </c>
      <c r="G28" s="5">
        <f>IF(MVTAOUT24!I28+L28&gt;700000,(MVTAOUT24!I28-E28+L28),0)</f>
        <v>849276.04990082572</v>
      </c>
      <c r="H28" s="36">
        <f t="shared" si="0"/>
        <v>500.7237635031014</v>
      </c>
      <c r="I28" s="6">
        <f t="shared" si="2"/>
        <v>849776.77366432885</v>
      </c>
      <c r="J28" s="36">
        <f>VLOOKUP($A28,[29]HISTOSEPT24!$A$6:$AQ$42,22,0)</f>
        <v>0</v>
      </c>
      <c r="K28" s="36">
        <f>VLOOKUP($A28,[29]HISTOSEPT24!$A$6:$AU$38,45,0)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VLOOKUP($A28,[29]HISTOSEPT24!$A$6:$AU$38,7,0)</f>
        <v>0</v>
      </c>
      <c r="Q28" s="36">
        <f>VLOOKUP($A28,[29]HISTOSEPT24!$A$6:$AU$38,23,0)</f>
        <v>0</v>
      </c>
      <c r="R28" s="36">
        <f>VLOOKUP($A28,[29]HISTOSEPT24!$A$6:$AU$38,46,0)</f>
        <v>0</v>
      </c>
      <c r="S28" s="36">
        <f>VLOOKUP($A28,[29]HISTOSEPT24!$A$6:$AU$38,26,0)</f>
        <v>0</v>
      </c>
      <c r="T28" s="36">
        <f>VLOOKUP($A28,[29]HISTOSEPT24!$A$6:$BG$38,58,0)</f>
        <v>0</v>
      </c>
      <c r="U28" s="36">
        <f>VLOOKUP($A28,[29]HISTOSEPT24!$A$6:$AU$38,28,0)</f>
        <v>0</v>
      </c>
      <c r="V28" s="36">
        <f>VLOOKUP($A28,[29]HISTOSEPT24!$A$6:$AU$38,19,0)</f>
        <v>0</v>
      </c>
      <c r="W28" s="36">
        <f>VLOOKUP($A28,[29]HISTOSEPT24!$A$6:$AU$38,20,0)</f>
        <v>0</v>
      </c>
      <c r="X28" s="36">
        <f>VLOOKUP($A28,[29]HISTOSEPT24!$A$6:$AU$38,27,0)</f>
        <v>0</v>
      </c>
      <c r="Y28" s="36">
        <f>VLOOKUP($A28,[29]HISTOSEPT24!$A$6:$BM$38,33,0)</f>
        <v>0</v>
      </c>
      <c r="Z28" s="36">
        <f>VLOOKUP($A28,[29]HISTOSEPT24!$A$6:$BM$38,65,0)</f>
        <v>0</v>
      </c>
      <c r="AA28" s="36"/>
      <c r="AB28" s="36">
        <f>VLOOKUP($A28,[29]HISTOSEPT24!$A$6:$AU$38,43,0)</f>
        <v>0</v>
      </c>
      <c r="AC28" s="36">
        <f>VLOOKUP($A28,[29]HISTOSEPT24!$A$6:$AU$38,44,0)</f>
        <v>0</v>
      </c>
      <c r="AD28" s="36">
        <f>VLOOKUP($A28,[29]HISTOSEPT24!$A$6:$AU$38,47,0)</f>
        <v>0</v>
      </c>
      <c r="AE28" s="36">
        <f>VLOOKUP(A28,[29]HISTOSEPT24!$A$6:$BB$38,54,0)</f>
        <v>0</v>
      </c>
      <c r="AF28" s="36">
        <f>VLOOKUP($A28,[29]HISTOSEPT24!$A$6:$CB$38,60,0)</f>
        <v>0</v>
      </c>
      <c r="AG28" s="36">
        <f>VLOOKUP($A28,[29]HISTOSEPT24!$A$6:$CB$38,61,0)</f>
        <v>0</v>
      </c>
      <c r="AH28" s="36">
        <f>VLOOKUP($A28,[29]HISTOSEPT24!$A$6:$CB$38,62,0)</f>
        <v>0</v>
      </c>
      <c r="AI28" s="36">
        <f>VLOOKUP($A28,[29]HISTOSEPT24!$A$6:$CB$38,63,0)</f>
        <v>0</v>
      </c>
      <c r="AJ28" s="36">
        <f>VLOOKUP($A28,[29]HISTOSEPT24!$A$6:$CB$38,64,0)</f>
        <v>0</v>
      </c>
      <c r="AK28" s="36">
        <f>VLOOKUP($A28,[29]HISTOSEPT24!$A$6:$CB$38,65,0)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MVTAOUT24!I29-E29+L29</f>
        <v>974658.87966530537</v>
      </c>
      <c r="G29" s="5">
        <f>IF(MVTAOUT24!I29+L29&gt;700000,(MVTAOUT24!I29-E29+L29),0)</f>
        <v>974658.87966530537</v>
      </c>
      <c r="H29" s="36">
        <f t="shared" si="0"/>
        <v>574.64809282531689</v>
      </c>
      <c r="I29" s="6">
        <f t="shared" si="2"/>
        <v>975233.52775813069</v>
      </c>
      <c r="J29" s="36">
        <f>VLOOKUP($A29,[29]HISTOSEPT24!$A$6:$AQ$42,22,0)</f>
        <v>0</v>
      </c>
      <c r="K29" s="36">
        <f>VLOOKUP($A29,[29]HISTOSEPT24!$A$6:$AU$38,45,0)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VLOOKUP($A29,[29]HISTOSEPT24!$A$6:$AU$38,7,0)</f>
        <v>0</v>
      </c>
      <c r="Q29" s="36">
        <f>VLOOKUP($A29,[29]HISTOSEPT24!$A$6:$AU$38,23,0)</f>
        <v>0</v>
      </c>
      <c r="R29" s="36">
        <f>VLOOKUP($A29,[29]HISTOSEPT24!$A$6:$AU$38,46,0)</f>
        <v>0</v>
      </c>
      <c r="S29" s="36">
        <f>VLOOKUP($A29,[29]HISTOSEPT24!$A$6:$AU$38,26,0)</f>
        <v>0</v>
      </c>
      <c r="T29" s="36">
        <f>VLOOKUP($A29,[29]HISTOSEPT24!$A$6:$BG$38,58,0)</f>
        <v>0</v>
      </c>
      <c r="U29" s="36">
        <f>VLOOKUP($A29,[29]HISTOSEPT24!$A$6:$AU$38,28,0)</f>
        <v>0</v>
      </c>
      <c r="V29" s="36">
        <f>VLOOKUP($A29,[29]HISTOSEPT24!$A$6:$AU$38,19,0)</f>
        <v>0</v>
      </c>
      <c r="W29" s="36">
        <f>VLOOKUP($A29,[29]HISTOSEPT24!$A$6:$AU$38,20,0)</f>
        <v>0</v>
      </c>
      <c r="X29" s="36">
        <f>VLOOKUP($A29,[29]HISTOSEPT24!$A$6:$AU$38,27,0)</f>
        <v>0</v>
      </c>
      <c r="Y29" s="36">
        <f>VLOOKUP($A29,[29]HISTOSEPT24!$A$6:$BM$38,33,0)</f>
        <v>0</v>
      </c>
      <c r="Z29" s="36">
        <f>VLOOKUP($A29,[29]HISTOSEPT24!$A$6:$BM$38,65,0)</f>
        <v>0</v>
      </c>
      <c r="AA29" s="36"/>
      <c r="AB29" s="36">
        <f>VLOOKUP($A29,[29]HISTOSEPT24!$A$6:$AU$38,43,0)</f>
        <v>0</v>
      </c>
      <c r="AC29" s="36">
        <f>VLOOKUP($A29,[29]HISTOSEPT24!$A$6:$AU$38,44,0)</f>
        <v>0</v>
      </c>
      <c r="AD29" s="36">
        <f>VLOOKUP($A29,[29]HISTOSEPT24!$A$6:$AU$38,47,0)</f>
        <v>0</v>
      </c>
      <c r="AE29" s="36">
        <f>VLOOKUP(A29,[29]HISTOSEPT24!$A$6:$BB$38,54,0)</f>
        <v>0</v>
      </c>
      <c r="AF29" s="36">
        <f>VLOOKUP($A29,[29]HISTOSEPT24!$A$6:$CB$38,60,0)</f>
        <v>0</v>
      </c>
      <c r="AG29" s="36">
        <f>VLOOKUP($A29,[29]HISTOSEPT24!$A$6:$CB$38,61,0)</f>
        <v>0</v>
      </c>
      <c r="AH29" s="36">
        <f>VLOOKUP($A29,[29]HISTOSEPT24!$A$6:$CB$38,62,0)</f>
        <v>0</v>
      </c>
      <c r="AI29" s="36">
        <f>VLOOKUP($A29,[29]HISTOSEPT24!$A$6:$CB$38,63,0)</f>
        <v>0</v>
      </c>
      <c r="AJ29" s="36">
        <f>VLOOKUP($A29,[29]HISTOSEPT24!$A$6:$CB$38,64,0)</f>
        <v>0</v>
      </c>
      <c r="AK29" s="36">
        <f>VLOOKUP($A29,[29]HISTOSEPT24!$A$6:$CB$38,65,0)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MVTAOUT24!I30-E30+L30</f>
        <v>879228.22009943589</v>
      </c>
      <c r="G30" s="5">
        <f>IF(MVTAOUT24!I30+L30&gt;700000,(MVTAOUT24!I30-E30+L30),0)</f>
        <v>879228.22009943589</v>
      </c>
      <c r="H30" s="36">
        <f t="shared" si="0"/>
        <v>518.38323169213709</v>
      </c>
      <c r="I30" s="6">
        <f t="shared" si="2"/>
        <v>879746.60333112802</v>
      </c>
      <c r="J30" s="36">
        <f>VLOOKUP($A30,[29]HISTOSEPT24!$A$6:$AQ$42,22,0)</f>
        <v>0</v>
      </c>
      <c r="K30" s="36">
        <f>VLOOKUP($A30,[29]HISTOSEPT24!$A$6:$AU$38,45,0)</f>
        <v>26000</v>
      </c>
      <c r="L30" s="36">
        <f t="shared" si="3"/>
        <v>20000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VLOOKUP($A30,[29]HISTOSEPT24!$A$6:$AU$38,7,0)</f>
        <v>0</v>
      </c>
      <c r="Q30" s="36">
        <f>VLOOKUP($A30,[29]HISTOSEPT24!$A$6:$AU$38,23,0)</f>
        <v>0</v>
      </c>
      <c r="R30" s="36">
        <f>VLOOKUP($A30,[29]HISTOSEPT24!$A$6:$AU$38,46,0)</f>
        <v>0</v>
      </c>
      <c r="S30" s="36">
        <f>VLOOKUP($A30,[29]HISTOSEPT24!$A$6:$AU$38,26,0)</f>
        <v>0</v>
      </c>
      <c r="T30" s="36">
        <f>VLOOKUP($A30,[29]HISTOSEPT24!$A$6:$BG$38,58,0)</f>
        <v>0</v>
      </c>
      <c r="U30" s="36">
        <f>VLOOKUP($A30,[29]HISTOSEPT24!$A$6:$AU$38,28,0)</f>
        <v>0</v>
      </c>
      <c r="V30" s="36">
        <f>VLOOKUP($A30,[29]HISTOSEPT24!$A$6:$AU$38,19,0)</f>
        <v>0</v>
      </c>
      <c r="W30" s="36">
        <f>VLOOKUP($A30,[29]HISTOSEPT24!$A$6:$AU$38,20,0)</f>
        <v>0</v>
      </c>
      <c r="X30" s="36">
        <f>VLOOKUP($A30,[29]HISTOSEPT24!$A$6:$AU$38,27,0)</f>
        <v>0</v>
      </c>
      <c r="Y30" s="36">
        <f>VLOOKUP($A30,[29]HISTOSEPT24!$A$6:$BM$38,33,0)</f>
        <v>0</v>
      </c>
      <c r="Z30" s="36">
        <f>VLOOKUP($A30,[29]HISTOSEPT24!$A$6:$BM$38,65,0)</f>
        <v>0</v>
      </c>
      <c r="AA30" s="36"/>
      <c r="AB30" s="36">
        <f>VLOOKUP($A30,[29]HISTOSEPT24!$A$6:$AU$38,43,0)</f>
        <v>0</v>
      </c>
      <c r="AC30" s="36">
        <f>VLOOKUP($A30,[29]HISTOSEPT24!$A$6:$AU$38,44,0)</f>
        <v>0</v>
      </c>
      <c r="AD30" s="36">
        <f>VLOOKUP($A30,[29]HISTOSEPT24!$A$6:$AU$38,47,0)</f>
        <v>0</v>
      </c>
      <c r="AE30" s="36">
        <f>VLOOKUP(A30,[29]HISTOSEPT24!$A$6:$BB$38,54,0)</f>
        <v>0</v>
      </c>
      <c r="AF30" s="36">
        <f>VLOOKUP($A30,[29]HISTOSEPT24!$A$6:$CB$38,60,0)</f>
        <v>0</v>
      </c>
      <c r="AG30" s="36">
        <f>VLOOKUP($A30,[29]HISTOSEPT24!$A$6:$CB$38,61,0)</f>
        <v>0</v>
      </c>
      <c r="AH30" s="36">
        <f>VLOOKUP($A30,[29]HISTOSEPT24!$A$6:$CB$38,62,0)</f>
        <v>0</v>
      </c>
      <c r="AI30" s="36">
        <f>VLOOKUP($A30,[29]HISTOSEPT24!$A$6:$CB$38,63,0)</f>
        <v>0</v>
      </c>
      <c r="AJ30" s="36">
        <f>VLOOKUP($A30,[29]HISTOSEPT24!$A$6:$CB$38,64,0)</f>
        <v>0</v>
      </c>
      <c r="AK30" s="36">
        <f>VLOOKUP($A30,[29]HISTOSEPT24!$A$6:$CB$38,65,0)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MVTAOUT24!I31-E31+L31</f>
        <v>1043088.8735541243</v>
      </c>
      <c r="G31" s="5">
        <f>IF(MVTAOUT24!I31+L31&gt;700000,(MVTAOUT24!I31-E31+L31),0)</f>
        <v>1043088.8735541243</v>
      </c>
      <c r="H31" s="36">
        <f t="shared" si="0"/>
        <v>614.99366018295621</v>
      </c>
      <c r="I31" s="6">
        <f t="shared" si="2"/>
        <v>1043703.8672143072</v>
      </c>
      <c r="J31" s="36">
        <f>VLOOKUP($A31,[29]HISTOSEPT24!$A$6:$AQ$42,22,0)</f>
        <v>0</v>
      </c>
      <c r="K31" s="36">
        <f>VLOOKUP($A31,[29]HISTOSEPT24!$A$6:$AU$38,45,0)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VLOOKUP($A31,[29]HISTOSEPT24!$A$6:$AU$38,7,0)</f>
        <v>0</v>
      </c>
      <c r="Q31" s="36">
        <f>VLOOKUP($A31,[29]HISTOSEPT24!$A$6:$AU$38,23,0)</f>
        <v>0</v>
      </c>
      <c r="R31" s="36">
        <f>VLOOKUP($A31,[29]HISTOSEPT24!$A$6:$AU$38,46,0)</f>
        <v>0</v>
      </c>
      <c r="S31" s="36">
        <f>VLOOKUP($A31,[29]HISTOSEPT24!$A$6:$AU$38,26,0)</f>
        <v>0</v>
      </c>
      <c r="T31" s="36">
        <f>VLOOKUP($A31,[29]HISTOSEPT24!$A$6:$BG$38,58,0)</f>
        <v>0</v>
      </c>
      <c r="U31" s="36">
        <f>VLOOKUP($A31,[29]HISTOSEPT24!$A$6:$AU$38,28,0)</f>
        <v>0</v>
      </c>
      <c r="V31" s="36">
        <f>VLOOKUP($A31,[29]HISTOSEPT24!$A$6:$AU$38,19,0)</f>
        <v>0</v>
      </c>
      <c r="W31" s="36">
        <f>VLOOKUP($A31,[29]HISTOSEPT24!$A$6:$AU$38,20,0)</f>
        <v>0</v>
      </c>
      <c r="X31" s="36">
        <f>VLOOKUP($A31,[29]HISTOSEPT24!$A$6:$AU$38,27,0)</f>
        <v>0</v>
      </c>
      <c r="Y31" s="36">
        <f>VLOOKUP($A31,[29]HISTOSEPT24!$A$6:$BM$38,33,0)</f>
        <v>0</v>
      </c>
      <c r="Z31" s="36">
        <f>VLOOKUP($A31,[29]HISTOSEPT24!$A$6:$BM$38,65,0)</f>
        <v>0</v>
      </c>
      <c r="AA31" s="36"/>
      <c r="AB31" s="36">
        <f>VLOOKUP($A31,[29]HISTOSEPT24!$A$6:$AU$38,43,0)</f>
        <v>0</v>
      </c>
      <c r="AC31" s="36">
        <f>VLOOKUP($A31,[29]HISTOSEPT24!$A$6:$AU$38,44,0)</f>
        <v>0</v>
      </c>
      <c r="AD31" s="36">
        <f>VLOOKUP($A31,[29]HISTOSEPT24!$A$6:$AU$38,47,0)</f>
        <v>0</v>
      </c>
      <c r="AE31" s="36">
        <f>VLOOKUP(A31,[29]HISTOSEPT24!$A$6:$BB$38,54,0)</f>
        <v>0</v>
      </c>
      <c r="AF31" s="36">
        <f>VLOOKUP($A31,[29]HISTOSEPT24!$A$6:$CB$38,60,0)</f>
        <v>0</v>
      </c>
      <c r="AG31" s="36">
        <f>VLOOKUP($A31,[29]HISTOSEPT24!$A$6:$CB$38,61,0)</f>
        <v>0</v>
      </c>
      <c r="AH31" s="36">
        <f>VLOOKUP($A31,[29]HISTOSEPT24!$A$6:$CB$38,62,0)</f>
        <v>0</v>
      </c>
      <c r="AI31" s="36">
        <f>VLOOKUP($A31,[29]HISTOSEPT24!$A$6:$CB$38,63,0)</f>
        <v>0</v>
      </c>
      <c r="AJ31" s="36">
        <f>VLOOKUP($A31,[29]HISTOSEPT24!$A$6:$CB$38,64,0)</f>
        <v>0</v>
      </c>
      <c r="AK31" s="36">
        <f>VLOOKUP($A31,[29]HISTOSEPT24!$A$6:$CB$38,65,0)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MVTAOUT24!I32-E32+L32</f>
        <v>928280.80233503866</v>
      </c>
      <c r="G32" s="5">
        <f>IF(MVTAOUT24!I32+L32&gt;700000,(MVTAOUT24!I32-E32+L32),0)</f>
        <v>928280.80233503866</v>
      </c>
      <c r="H32" s="36">
        <f t="shared" si="0"/>
        <v>547.30409151083165</v>
      </c>
      <c r="I32" s="6">
        <f t="shared" si="2"/>
        <v>928828.10642654949</v>
      </c>
      <c r="J32" s="36">
        <f>VLOOKUP($A32,[29]HISTOSEPT24!$A$6:$AQ$42,22,0)</f>
        <v>0</v>
      </c>
      <c r="K32" s="36">
        <f>VLOOKUP($A32,[29]HISTOSEPT24!$A$6:$AU$38,45,0)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VLOOKUP($A32,[29]HISTOSEPT24!$A$6:$AU$38,7,0)</f>
        <v>0</v>
      </c>
      <c r="Q32" s="36">
        <f>VLOOKUP($A32,[29]HISTOSEPT24!$A$6:$AU$38,23,0)</f>
        <v>0</v>
      </c>
      <c r="R32" s="36">
        <f>VLOOKUP($A32,[29]HISTOSEPT24!$A$6:$AU$38,46,0)</f>
        <v>0</v>
      </c>
      <c r="S32" s="36">
        <f>VLOOKUP($A32,[29]HISTOSEPT24!$A$6:$AU$38,26,0)</f>
        <v>0</v>
      </c>
      <c r="T32" s="36">
        <f>VLOOKUP($A32,[29]HISTOSEPT24!$A$6:$BG$38,58,0)</f>
        <v>0</v>
      </c>
      <c r="U32" s="36">
        <f>VLOOKUP($A32,[29]HISTOSEPT24!$A$6:$AU$38,28,0)</f>
        <v>0</v>
      </c>
      <c r="V32" s="36">
        <f>VLOOKUP($A32,[29]HISTOSEPT24!$A$6:$AU$38,19,0)</f>
        <v>0</v>
      </c>
      <c r="W32" s="36">
        <f>VLOOKUP($A32,[29]HISTOSEPT24!$A$6:$AU$38,20,0)</f>
        <v>0</v>
      </c>
      <c r="X32" s="36">
        <f>VLOOKUP($A32,[29]HISTOSEPT24!$A$6:$AU$38,27,0)</f>
        <v>0</v>
      </c>
      <c r="Y32" s="36">
        <f>VLOOKUP($A32,[29]HISTOSEPT24!$A$6:$BM$38,33,0)</f>
        <v>0</v>
      </c>
      <c r="Z32" s="36">
        <f>VLOOKUP($A32,[29]HISTOSEPT24!$A$6:$BM$38,65,0)</f>
        <v>0</v>
      </c>
      <c r="AA32" s="36"/>
      <c r="AB32" s="36">
        <f>VLOOKUP($A32,[29]HISTOSEPT24!$A$6:$AU$38,43,0)</f>
        <v>0</v>
      </c>
      <c r="AC32" s="36">
        <f>VLOOKUP($A32,[29]HISTOSEPT24!$A$6:$AU$38,44,0)</f>
        <v>0</v>
      </c>
      <c r="AD32" s="36">
        <f>VLOOKUP($A32,[29]HISTOSEPT24!$A$6:$AU$38,47,0)</f>
        <v>0</v>
      </c>
      <c r="AE32" s="36">
        <f>VLOOKUP(A32,[29]HISTOSEPT24!$A$6:$BB$38,54,0)</f>
        <v>0</v>
      </c>
      <c r="AF32" s="36">
        <f>VLOOKUP($A32,[29]HISTOSEPT24!$A$6:$CB$38,60,0)</f>
        <v>0</v>
      </c>
      <c r="AG32" s="36">
        <f>VLOOKUP($A32,[29]HISTOSEPT24!$A$6:$CB$38,61,0)</f>
        <v>0</v>
      </c>
      <c r="AH32" s="36">
        <f>VLOOKUP($A32,[29]HISTOSEPT24!$A$6:$CB$38,62,0)</f>
        <v>0</v>
      </c>
      <c r="AI32" s="36">
        <f>VLOOKUP($A32,[29]HISTOSEPT24!$A$6:$CB$38,63,0)</f>
        <v>0</v>
      </c>
      <c r="AJ32" s="36">
        <f>VLOOKUP($A32,[29]HISTOSEPT24!$A$6:$CB$38,64,0)</f>
        <v>0</v>
      </c>
      <c r="AK32" s="36">
        <f>VLOOKUP($A32,[29]HISTOSEPT24!$A$6:$CB$38,65,0)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MVTAOUT24!I33-E33+L33</f>
        <v>1933382.9557552193</v>
      </c>
      <c r="G33" s="5">
        <f>IF(MVTAOUT24!I33+L33&gt;700000,(MVTAOUT24!I33-E33+L33),0)</f>
        <v>1933382.9557552193</v>
      </c>
      <c r="H33" s="36">
        <f t="shared" si="0"/>
        <v>1139.9012017488924</v>
      </c>
      <c r="I33" s="6">
        <f t="shared" si="2"/>
        <v>1934522.8569569683</v>
      </c>
      <c r="J33" s="36">
        <f>VLOOKUP($A33,[29]HISTOSEPT24!$A$6:$AQ$42,22,0)</f>
        <v>0</v>
      </c>
      <c r="K33" s="36">
        <f>VLOOKUP($A33,[29]HISTOSEPT24!$A$6:$AU$38,45,0)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VLOOKUP($A33,[29]HISTOSEPT24!$A$6:$AU$38,7,0)</f>
        <v>0</v>
      </c>
      <c r="Q33" s="36">
        <f>VLOOKUP($A33,[29]HISTOSEPT24!$A$6:$AU$38,23,0)</f>
        <v>0</v>
      </c>
      <c r="R33" s="36">
        <f>VLOOKUP($A33,[29]HISTOSEPT24!$A$6:$AU$38,46,0)</f>
        <v>0</v>
      </c>
      <c r="S33" s="36">
        <f>VLOOKUP($A33,[29]HISTOSEPT24!$A$6:$AU$38,26,0)</f>
        <v>0</v>
      </c>
      <c r="T33" s="36">
        <f>VLOOKUP($A33,[29]HISTOSEPT24!$A$6:$BG$38,58,0)</f>
        <v>0</v>
      </c>
      <c r="U33" s="36">
        <f>VLOOKUP($A33,[29]HISTOSEPT24!$A$6:$AU$38,28,0)</f>
        <v>0</v>
      </c>
      <c r="V33" s="36">
        <f>VLOOKUP($A33,[29]HISTOSEPT24!$A$6:$AU$38,19,0)</f>
        <v>0</v>
      </c>
      <c r="W33" s="36">
        <f>VLOOKUP($A33,[29]HISTOSEPT24!$A$6:$AU$38,20,0)</f>
        <v>0</v>
      </c>
      <c r="X33" s="36">
        <f>VLOOKUP($A33,[29]HISTOSEPT24!$A$6:$AU$38,27,0)</f>
        <v>0</v>
      </c>
      <c r="Y33" s="36">
        <f>VLOOKUP($A33,[29]HISTOSEPT24!$A$6:$BM$38,33,0)</f>
        <v>0</v>
      </c>
      <c r="Z33" s="36">
        <f>VLOOKUP($A33,[29]HISTOSEPT24!$A$6:$BM$38,65,0)</f>
        <v>0</v>
      </c>
      <c r="AA33" s="36"/>
      <c r="AB33" s="36">
        <f>VLOOKUP($A33,[29]HISTOSEPT24!$A$6:$AU$38,43,0)</f>
        <v>0</v>
      </c>
      <c r="AC33" s="36">
        <f>VLOOKUP($A33,[29]HISTOSEPT24!$A$6:$AU$38,44,0)</f>
        <v>0</v>
      </c>
      <c r="AD33" s="36">
        <f>VLOOKUP($A33,[29]HISTOSEPT24!$A$6:$AU$38,47,0)</f>
        <v>0</v>
      </c>
      <c r="AE33" s="36">
        <f>VLOOKUP(A33,[29]HISTOSEPT24!$A$6:$BB$38,54,0)</f>
        <v>0</v>
      </c>
      <c r="AF33" s="36">
        <f>VLOOKUP($A33,[29]HISTOSEPT24!$A$6:$CB$38,60,0)</f>
        <v>0</v>
      </c>
      <c r="AG33" s="36">
        <f>VLOOKUP($A33,[29]HISTOSEPT24!$A$6:$CB$38,61,0)</f>
        <v>0</v>
      </c>
      <c r="AH33" s="36">
        <f>VLOOKUP($A33,[29]HISTOSEPT24!$A$6:$CB$38,62,0)</f>
        <v>0</v>
      </c>
      <c r="AI33" s="36">
        <f>VLOOKUP($A33,[29]HISTOSEPT24!$A$6:$CB$38,63,0)</f>
        <v>0</v>
      </c>
      <c r="AJ33" s="36">
        <f>VLOOKUP($A33,[29]HISTOSEPT24!$A$6:$CB$38,64,0)</f>
        <v>0</v>
      </c>
      <c r="AK33" s="36">
        <f>VLOOKUP($A33,[29]HISTOSEPT24!$A$6:$CB$38,65,0)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MVTAOUT24!I34-E34+L34</f>
        <v>800000</v>
      </c>
      <c r="G34" s="5">
        <f>IF(MVTAOUT24!I34+L34&gt;700000,(MVTAOUT24!I34-E34+L34),0)</f>
        <v>800000</v>
      </c>
      <c r="H34" s="36">
        <f t="shared" si="0"/>
        <v>471.67114962120831</v>
      </c>
      <c r="I34" s="6">
        <f t="shared" si="2"/>
        <v>800471.67114962125</v>
      </c>
      <c r="J34" s="36">
        <f>VLOOKUP($A34,[29]HISTOSEPT24!$A$6:$AQ$42,22,0)</f>
        <v>0</v>
      </c>
      <c r="K34" s="36">
        <f>VLOOKUP($A34,[29]HISTOSEPT24!$A$6:$AU$38,45,0)</f>
        <v>199000</v>
      </c>
      <c r="L34" s="36">
        <f t="shared" si="3"/>
        <v>193000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VLOOKUP($A34,[29]HISTOSEPT24!$A$6:$AU$38,7,0)</f>
        <v>0</v>
      </c>
      <c r="Q34" s="36">
        <f>VLOOKUP($A34,[29]HISTOSEPT24!$A$6:$AU$38,23,0)</f>
        <v>0</v>
      </c>
      <c r="R34" s="36">
        <f>VLOOKUP($A34,[29]HISTOSEPT24!$A$6:$AU$38,46,0)</f>
        <v>0</v>
      </c>
      <c r="S34" s="36">
        <f>VLOOKUP($A34,[29]HISTOSEPT24!$A$6:$AU$38,26,0)</f>
        <v>0</v>
      </c>
      <c r="T34" s="36">
        <f>VLOOKUP($A34,[29]HISTOSEPT24!$A$6:$BG$38,58,0)</f>
        <v>0</v>
      </c>
      <c r="U34" s="36">
        <f>VLOOKUP($A34,[29]HISTOSEPT24!$A$6:$AU$38,28,0)</f>
        <v>0</v>
      </c>
      <c r="V34" s="36">
        <f>VLOOKUP($A34,[29]HISTOSEPT24!$A$6:$AU$38,19,0)</f>
        <v>0</v>
      </c>
      <c r="W34" s="36">
        <f>VLOOKUP($A34,[29]HISTOSEPT24!$A$6:$AU$38,20,0)</f>
        <v>0</v>
      </c>
      <c r="X34" s="36">
        <f>VLOOKUP($A34,[29]HISTOSEPT24!$A$6:$AU$38,27,0)</f>
        <v>0</v>
      </c>
      <c r="Y34" s="36">
        <f>VLOOKUP($A34,[29]HISTOSEPT24!$A$6:$BM$38,33,0)</f>
        <v>0</v>
      </c>
      <c r="Z34" s="36">
        <f>VLOOKUP($A34,[29]HISTOSEPT24!$A$6:$BM$38,65,0)</f>
        <v>0</v>
      </c>
      <c r="AA34" s="36"/>
      <c r="AB34" s="36">
        <f>VLOOKUP($A34,[29]HISTOSEPT24!$A$6:$AU$38,43,0)</f>
        <v>0</v>
      </c>
      <c r="AC34" s="36">
        <f>VLOOKUP($A34,[29]HISTOSEPT24!$A$6:$AU$38,44,0)</f>
        <v>0</v>
      </c>
      <c r="AD34" s="36">
        <f>VLOOKUP($A34,[29]HISTOSEPT24!$A$6:$AU$38,47,0)</f>
        <v>0</v>
      </c>
      <c r="AE34" s="36">
        <f>VLOOKUP(A34,[29]HISTOSEPT24!$A$6:$BB$38,54,0)</f>
        <v>140000</v>
      </c>
      <c r="AF34" s="36">
        <f>VLOOKUP($A34,[29]HISTOSEPT24!$A$6:$CB$38,60,0)</f>
        <v>0</v>
      </c>
      <c r="AG34" s="36">
        <f>VLOOKUP($A34,[29]HISTOSEPT24!$A$6:$CB$38,61,0)</f>
        <v>0</v>
      </c>
      <c r="AH34" s="36">
        <f>VLOOKUP($A34,[29]HISTOSEPT24!$A$6:$CB$38,62,0)</f>
        <v>0</v>
      </c>
      <c r="AI34" s="36">
        <f>VLOOKUP($A34,[29]HISTOSEPT24!$A$6:$CB$38,63,0)</f>
        <v>0</v>
      </c>
      <c r="AJ34" s="36">
        <f>VLOOKUP($A34,[29]HISTOSEPT24!$A$6:$CB$38,64,0)</f>
        <v>0</v>
      </c>
      <c r="AK34" s="36">
        <f>VLOOKUP($A34,[29]HISTOSEPT24!$A$6:$CB$38,65,0)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MVTAOUT24!I35-E35+L35</f>
        <v>277250</v>
      </c>
      <c r="G35" s="5">
        <f>IF(MVTAOUT24!I35+L35&gt;700000,(MVTAOUT24!I35-E35+L35),0)</f>
        <v>0</v>
      </c>
      <c r="H35" s="36">
        <f t="shared" si="0"/>
        <v>0</v>
      </c>
      <c r="I35" s="6">
        <f t="shared" si="2"/>
        <v>277250</v>
      </c>
      <c r="J35" s="36">
        <f>VLOOKUP($A35,[29]HISTOSEPT24!$A$6:$AQ$42,22,0)</f>
        <v>0</v>
      </c>
      <c r="K35" s="36">
        <f>VLOOKUP($A35,[29]HISTOSEPT24!$A$6:$AU$38,45,0)</f>
        <v>56250</v>
      </c>
      <c r="L35" s="36">
        <f>IF(K35=0,0,K35-(M35+N35+O35))</f>
        <v>44250</v>
      </c>
      <c r="M35" s="36">
        <f>IF(K35=0,0,1000)+1000</f>
        <v>2000</v>
      </c>
      <c r="N35" s="36">
        <f>IF(K35=0,0,1000)+1000</f>
        <v>2000</v>
      </c>
      <c r="O35" s="36">
        <f>IF(K35=0,0,4000)+4000</f>
        <v>8000</v>
      </c>
      <c r="P35" s="36">
        <f>VLOOKUP($A35,[29]HISTOSEPT24!$A$6:$AU$38,7,0)</f>
        <v>0</v>
      </c>
      <c r="Q35" s="36">
        <f>VLOOKUP($A35,[29]HISTOSEPT24!$A$6:$AU$38,23,0)</f>
        <v>0</v>
      </c>
      <c r="R35" s="36">
        <f>VLOOKUP($A35,[29]HISTOSEPT24!$A$6:$AU$38,46,0)</f>
        <v>0</v>
      </c>
      <c r="S35" s="36">
        <f>VLOOKUP($A35,[29]HISTOSEPT24!$A$6:$AU$38,26,0)</f>
        <v>0</v>
      </c>
      <c r="T35" s="36">
        <f>VLOOKUP($A35,[29]HISTOSEPT24!$A$6:$BG$38,58,0)</f>
        <v>0</v>
      </c>
      <c r="U35" s="36">
        <f>VLOOKUP($A35,[29]HISTOSEPT24!$A$6:$AU$38,28,0)</f>
        <v>0</v>
      </c>
      <c r="V35" s="36">
        <f>VLOOKUP($A35,[29]HISTOSEPT24!$A$6:$AU$38,19,0)</f>
        <v>0</v>
      </c>
      <c r="W35" s="36">
        <f>VLOOKUP($A35,[29]HISTOSEPT24!$A$6:$AU$38,20,0)</f>
        <v>0</v>
      </c>
      <c r="X35" s="36">
        <f>VLOOKUP($A35,[29]HISTOSEPT24!$A$6:$AU$38,27,0)</f>
        <v>0</v>
      </c>
      <c r="Y35" s="36">
        <f>VLOOKUP($A35,[29]HISTOSEPT24!$A$6:$BM$38,33,0)</f>
        <v>0</v>
      </c>
      <c r="Z35" s="36">
        <f>VLOOKUP($A35,[29]HISTOSEPT24!$A$6:$BM$38,65,0)</f>
        <v>0</v>
      </c>
      <c r="AA35" s="36"/>
      <c r="AB35" s="36">
        <f>VLOOKUP($A35,[29]HISTOSEPT24!$A$6:$AU$38,43,0)</f>
        <v>0</v>
      </c>
      <c r="AC35" s="36">
        <f>VLOOKUP($A35,[29]HISTOSEPT24!$A$6:$AU$38,44,0)</f>
        <v>3750</v>
      </c>
      <c r="AD35" s="36">
        <f>VLOOKUP($A35,[29]HISTOSEPT24!$A$6:$AU$38,47,0)</f>
        <v>0</v>
      </c>
      <c r="AE35" s="36">
        <f>VLOOKUP(A35,[29]HISTOSEPT24!$A$6:$BB$38,54,0)</f>
        <v>0</v>
      </c>
      <c r="AF35" s="36">
        <f>VLOOKUP($A35,[29]HISTOSEPT24!$A$6:$CB$38,60,0)</f>
        <v>0</v>
      </c>
      <c r="AG35" s="36">
        <f>VLOOKUP($A35,[29]HISTOSEPT24!$A$6:$CB$38,61,0)</f>
        <v>0</v>
      </c>
      <c r="AH35" s="36">
        <f>VLOOKUP($A35,[29]HISTOSEPT24!$A$6:$CB$38,62,0)</f>
        <v>0</v>
      </c>
      <c r="AI35" s="36">
        <f>VLOOKUP($A35,[29]HISTOSEPT24!$A$6:$CB$38,63,0)</f>
        <v>0</v>
      </c>
      <c r="AJ35" s="36">
        <f>VLOOKUP($A35,[29]HISTOSEPT24!$A$6:$CB$38,64,0)</f>
        <v>0</v>
      </c>
      <c r="AK35" s="36">
        <f>VLOOKUP($A35,[29]HISTOSEPT24!$A$6:$CB$38,65,0)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MVTAOUT24!I36-E36+L36</f>
        <v>1016326.8701622641</v>
      </c>
      <c r="G36" s="5">
        <f>IF(MVTAOUT24!I36+L36&gt;700000,(MVTAOUT24!I36-E36+L36),0)</f>
        <v>1016326.8701622641</v>
      </c>
      <c r="H36" s="36">
        <f t="shared" si="0"/>
        <v>599.2150790504495</v>
      </c>
      <c r="I36" s="6">
        <f t="shared" si="2"/>
        <v>1016926.0852413145</v>
      </c>
      <c r="J36" s="36">
        <f>VLOOKUP($A36,[29]HISTOSEPT24!$A$6:$AQ$42,22,0)</f>
        <v>0</v>
      </c>
      <c r="K36" s="36">
        <f>VLOOKUP($A36,[29]HISTOSEPT24!$A$6:$AU$38,45,0)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VLOOKUP($A36,[29]HISTOSEPT24!$A$6:$AU$38,7,0)</f>
        <v>0</v>
      </c>
      <c r="Q36" s="36">
        <f>VLOOKUP($A36,[29]HISTOSEPT24!$A$6:$AU$38,23,0)</f>
        <v>0</v>
      </c>
      <c r="R36" s="36">
        <f>VLOOKUP($A36,[29]HISTOSEPT24!$A$6:$AU$38,46,0)</f>
        <v>0</v>
      </c>
      <c r="S36" s="36">
        <f>VLOOKUP($A36,[29]HISTOSEPT24!$A$6:$AU$38,26,0)</f>
        <v>0</v>
      </c>
      <c r="T36" s="36">
        <f>VLOOKUP($A36,[29]HISTOSEPT24!$A$6:$BG$38,58,0)</f>
        <v>0</v>
      </c>
      <c r="U36" s="36">
        <f>VLOOKUP($A36,[29]HISTOSEPT24!$A$6:$AU$38,28,0)</f>
        <v>0</v>
      </c>
      <c r="V36" s="36">
        <f>VLOOKUP($A36,[29]HISTOSEPT24!$A$6:$AU$38,19,0)</f>
        <v>0</v>
      </c>
      <c r="W36" s="36">
        <f>VLOOKUP($A36,[29]HISTOSEPT24!$A$6:$AU$38,20,0)</f>
        <v>0</v>
      </c>
      <c r="X36" s="36">
        <f>VLOOKUP($A36,[29]HISTOSEPT24!$A$6:$AU$38,27,0)</f>
        <v>0</v>
      </c>
      <c r="Y36" s="36">
        <f>VLOOKUP($A36,[29]HISTOSEPT24!$A$6:$BM$38,33,0)</f>
        <v>0</v>
      </c>
      <c r="Z36" s="36">
        <f>VLOOKUP($A36,[29]HISTOSEPT24!$A$6:$BM$38,65,0)</f>
        <v>0</v>
      </c>
      <c r="AA36" s="36"/>
      <c r="AB36" s="36">
        <f>VLOOKUP($A36,[29]HISTOSEPT24!$A$6:$AU$38,43,0)</f>
        <v>0</v>
      </c>
      <c r="AC36" s="36">
        <f>VLOOKUP($A36,[29]HISTOSEPT24!$A$6:$AU$38,44,0)</f>
        <v>0</v>
      </c>
      <c r="AD36" s="36">
        <f>VLOOKUP($A36,[29]HISTOSEPT24!$A$6:$AU$38,47,0)</f>
        <v>0</v>
      </c>
      <c r="AE36" s="36">
        <f>VLOOKUP(A36,[29]HISTOSEPT24!$A$6:$BB$38,54,0)</f>
        <v>0</v>
      </c>
      <c r="AF36" s="36">
        <f>VLOOKUP($A36,[29]HISTOSEPT24!$A$6:$CB$38,60,0)</f>
        <v>0</v>
      </c>
      <c r="AG36" s="36">
        <f>VLOOKUP($A36,[29]HISTOSEPT24!$A$6:$CB$38,61,0)</f>
        <v>0</v>
      </c>
      <c r="AH36" s="36">
        <f>VLOOKUP($A36,[29]HISTOSEPT24!$A$6:$CB$38,62,0)</f>
        <v>0</v>
      </c>
      <c r="AI36" s="36">
        <f>VLOOKUP($A36,[29]HISTOSEPT24!$A$6:$CB$38,63,0)</f>
        <v>100000</v>
      </c>
      <c r="AJ36" s="36">
        <f>VLOOKUP($A36,[29]HISTOSEPT24!$A$6:$CB$38,64,0)</f>
        <v>0</v>
      </c>
      <c r="AK36" s="36">
        <f>VLOOKUP($A36,[29]HISTOSEPT24!$A$6:$CB$38,65,0)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MVTAOUT24!I37-E37+L37</f>
        <v>2009410.4637984536</v>
      </c>
      <c r="G37" s="5">
        <f>IF(MVTAOUT24!I37+L37&gt;700000,(MVTAOUT24!I37-E37+L37),0)</f>
        <v>2009410.4637984536</v>
      </c>
      <c r="H37" s="36">
        <f t="shared" si="0"/>
        <v>1184.7261794008775</v>
      </c>
      <c r="I37" s="6">
        <f t="shared" si="2"/>
        <v>2010595.1899778545</v>
      </c>
      <c r="J37" s="36">
        <f>VLOOKUP($A37,[29]HISTOSEPT24!$A$6:$AQ$42,22,0)</f>
        <v>0</v>
      </c>
      <c r="K37" s="36">
        <f>VLOOKUP($A37,[29]HISTOSEPT24!$A$6:$AU$38,45,0)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VLOOKUP($A37,[29]HISTOSEPT24!$A$6:$AU$38,7,0)</f>
        <v>0</v>
      </c>
      <c r="Q37" s="36">
        <f>VLOOKUP($A37,[29]HISTOSEPT24!$A$6:$AU$38,23,0)</f>
        <v>0</v>
      </c>
      <c r="R37" s="36">
        <f>VLOOKUP($A37,[29]HISTOSEPT24!$A$6:$AU$38,46,0)</f>
        <v>0</v>
      </c>
      <c r="S37" s="36">
        <f>VLOOKUP($A37,[29]HISTOSEPT24!$A$6:$AU$38,26,0)</f>
        <v>0</v>
      </c>
      <c r="T37" s="36">
        <f>VLOOKUP($A37,[29]HISTOSEPT24!$A$6:$BG$38,58,0)</f>
        <v>0</v>
      </c>
      <c r="U37" s="36">
        <f>VLOOKUP($A37,[29]HISTOSEPT24!$A$6:$AU$38,28,0)</f>
        <v>0</v>
      </c>
      <c r="V37" s="36">
        <f>VLOOKUP($A37,[29]HISTOSEPT24!$A$6:$AU$38,19,0)</f>
        <v>0</v>
      </c>
      <c r="W37" s="36">
        <f>VLOOKUP($A37,[29]HISTOSEPT24!$A$6:$AU$38,20,0)</f>
        <v>0</v>
      </c>
      <c r="X37" s="36">
        <f>VLOOKUP($A37,[29]HISTOSEPT24!$A$6:$AU$38,27,0)</f>
        <v>0</v>
      </c>
      <c r="Y37" s="36">
        <f>VLOOKUP($A37,[29]HISTOSEPT24!$A$6:$BM$38,33,0)</f>
        <v>0</v>
      </c>
      <c r="Z37" s="36">
        <f>VLOOKUP($A37,[29]HISTOSEPT24!$A$6:$BM$38,65,0)</f>
        <v>0</v>
      </c>
      <c r="AA37" s="36"/>
      <c r="AB37" s="36">
        <f>VLOOKUP($A37,[29]HISTOSEPT24!$A$6:$AU$38,43,0)</f>
        <v>0</v>
      </c>
      <c r="AC37" s="36">
        <f>VLOOKUP($A37,[29]HISTOSEPT24!$A$6:$AU$38,44,0)</f>
        <v>0</v>
      </c>
      <c r="AD37" s="36">
        <f>VLOOKUP($A37,[29]HISTOSEPT24!$A$6:$AU$38,47,0)</f>
        <v>0</v>
      </c>
      <c r="AE37" s="36">
        <f>VLOOKUP(A37,[29]HISTOSEPT24!$A$6:$BB$38,54,0)</f>
        <v>0</v>
      </c>
      <c r="AF37" s="36">
        <f>VLOOKUP($A37,[29]HISTOSEPT24!$A$6:$CB$38,60,0)</f>
        <v>0</v>
      </c>
      <c r="AG37" s="36">
        <f>VLOOKUP($A37,[29]HISTOSEPT24!$A$6:$CB$38,61,0)</f>
        <v>0</v>
      </c>
      <c r="AH37" s="36">
        <f>VLOOKUP($A37,[29]HISTOSEPT24!$A$6:$CB$38,62,0)</f>
        <v>0</v>
      </c>
      <c r="AI37" s="36">
        <f>VLOOKUP($A37,[29]HISTOSEPT24!$A$6:$CB$38,63,0)</f>
        <v>0</v>
      </c>
      <c r="AJ37" s="36">
        <f>VLOOKUP($A37,[29]HISTOSEPT24!$A$6:$CB$38,64,0)</f>
        <v>0</v>
      </c>
      <c r="AK37" s="36">
        <f>VLOOKUP($A37,[29]HISTOSEPT24!$A$6:$CB$38,65,0)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MVTAOUT24!I38-E38+L38</f>
        <v>871000</v>
      </c>
      <c r="G38" s="5">
        <f>IF(MVTAOUT24!I38+L38&gt;700000,(MVTAOUT24!I38-E38+L38),0)</f>
        <v>871000</v>
      </c>
      <c r="H38" s="36">
        <f t="shared" si="0"/>
        <v>513.53196415009052</v>
      </c>
      <c r="I38" s="6">
        <f t="shared" si="2"/>
        <v>871513.53196415014</v>
      </c>
      <c r="J38" s="36">
        <f>VLOOKUP($A38,[29]HISTOSEPT24!$A$6:$AQ$42,22,0)</f>
        <v>0</v>
      </c>
      <c r="K38" s="36">
        <f>VLOOKUP($A38,[29]HISTOSEPT24!$A$6:$AU$38,45,0)</f>
        <v>725000</v>
      </c>
      <c r="L38" s="36">
        <f t="shared" si="3"/>
        <v>719000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VLOOKUP($A38,[29]HISTOSEPT24!$A$6:$AU$38,7,0)</f>
        <v>3000</v>
      </c>
      <c r="Q38" s="36">
        <f>VLOOKUP($A38,[29]HISTOSEPT24!$A$6:$AU$38,23,0)</f>
        <v>0</v>
      </c>
      <c r="R38" s="36">
        <f>VLOOKUP($A38,[29]HISTOSEPT24!$A$6:$AU$38,46,0)</f>
        <v>120000</v>
      </c>
      <c r="S38" s="36">
        <f>VLOOKUP($A38,[29]HISTOSEPT24!$A$6:$AU$38,26,0)</f>
        <v>0</v>
      </c>
      <c r="T38" s="36">
        <f>VLOOKUP($A38,[29]HISTOSEPT24!$A$6:$BG$38,58,0)</f>
        <v>0</v>
      </c>
      <c r="U38" s="36">
        <f>VLOOKUP($A38,[29]HISTOSEPT24!$A$6:$AU$38,28,0)</f>
        <v>0</v>
      </c>
      <c r="V38" s="36">
        <f>VLOOKUP($A38,[29]HISTOSEPT24!$A$6:$AU$38,19,0)</f>
        <v>0</v>
      </c>
      <c r="W38" s="36">
        <f>VLOOKUP($A38,[29]HISTOSEPT24!$A$6:$AU$38,20,0)</f>
        <v>0</v>
      </c>
      <c r="X38" s="36">
        <f>VLOOKUP($A38,[29]HISTOSEPT24!$A$6:$AU$38,27,0)</f>
        <v>0</v>
      </c>
      <c r="Y38" s="36">
        <f>VLOOKUP($A38,[29]HISTOSEPT24!$A$6:$BM$38,33,0)</f>
        <v>0</v>
      </c>
      <c r="Z38" s="36">
        <f>VLOOKUP($A38,[29]HISTOSEPT24!$A$6:$BM$38,65,0)</f>
        <v>0</v>
      </c>
      <c r="AA38" s="36"/>
      <c r="AB38" s="36">
        <f>VLOOKUP($A38,[29]HISTOSEPT24!$A$6:$AU$38,43,0)</f>
        <v>0</v>
      </c>
      <c r="AC38" s="36">
        <f>VLOOKUP($A38,[29]HISTOSEPT24!$A$6:$AU$38,44,0)</f>
        <v>0</v>
      </c>
      <c r="AD38" s="36">
        <f>VLOOKUP($A38,[29]HISTOSEPT24!$A$6:$AU$38,47,0)</f>
        <v>0</v>
      </c>
      <c r="AE38" s="36">
        <f>VLOOKUP(A38,[29]HISTOSEPT24!$A$6:$BB$38,54,0)</f>
        <v>240000</v>
      </c>
      <c r="AF38" s="36">
        <f>VLOOKUP($A38,[29]HISTOSEPT24!$A$6:$CB$38,60,0)</f>
        <v>0</v>
      </c>
      <c r="AG38" s="36">
        <f>VLOOKUP($A38,[29]HISTOSEPT24!$A$6:$CB$38,61,0)</f>
        <v>0</v>
      </c>
      <c r="AH38" s="36">
        <f>VLOOKUP($A38,[29]HISTOSEPT24!$A$6:$CB$38,62,0)</f>
        <v>0</v>
      </c>
      <c r="AI38" s="36">
        <f>VLOOKUP($A38,[29]HISTOSEPT24!$A$6:$CB$38,63,0)</f>
        <v>0</v>
      </c>
      <c r="AJ38" s="36">
        <f>VLOOKUP($A38,[29]HISTOSEPT24!$A$6:$CB$38,64,0)</f>
        <v>0</v>
      </c>
      <c r="AK38" s="36">
        <f>VLOOKUP($A38,[29]HISTOSEPT24!$A$6:$CB$38,65,0)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MVTAOUT24!I39-E39+L39</f>
        <v>2176013.9052563463</v>
      </c>
      <c r="G39" s="5">
        <f>IF(MVTAOUT24!I39+L39&gt;700000,(MVTAOUT24!I39-E39+L39),0)</f>
        <v>2176013.9052563463</v>
      </c>
      <c r="H39" s="36">
        <f t="shared" si="0"/>
        <v>1282.953725354995</v>
      </c>
      <c r="I39" s="6">
        <f t="shared" si="2"/>
        <v>2177296.8589817015</v>
      </c>
      <c r="J39" s="36">
        <f>VLOOKUP($A39,[29]HISTOSEPT24!$A$6:$AQ$42,22,0)</f>
        <v>0</v>
      </c>
      <c r="K39" s="36">
        <f>VLOOKUP($A39,[29]HISTOSEPT24!$A$6:$AU$38,45,0)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VLOOKUP($A39,[29]HISTOSEPT24!$A$6:$AU$38,7,0)</f>
        <v>0</v>
      </c>
      <c r="Q39" s="36">
        <f>VLOOKUP($A39,[29]HISTOSEPT24!$A$6:$AU$38,23,0)</f>
        <v>0</v>
      </c>
      <c r="R39" s="36">
        <f>VLOOKUP($A39,[29]HISTOSEPT24!$A$6:$AU$38,46,0)</f>
        <v>0</v>
      </c>
      <c r="S39" s="36">
        <f>VLOOKUP($A39,[29]HISTOSEPT24!$A$6:$AU$38,26,0)</f>
        <v>0</v>
      </c>
      <c r="T39" s="36">
        <f>VLOOKUP($A39,[29]HISTOSEPT24!$A$6:$BG$38,58,0)</f>
        <v>0</v>
      </c>
      <c r="U39" s="36">
        <f>VLOOKUP($A39,[29]HISTOSEPT24!$A$6:$AU$38,28,0)</f>
        <v>0</v>
      </c>
      <c r="V39" s="36">
        <f>VLOOKUP($A39,[29]HISTOSEPT24!$A$6:$AU$38,19,0)</f>
        <v>0</v>
      </c>
      <c r="W39" s="36">
        <f>VLOOKUP($A39,[29]HISTOSEPT24!$A$6:$AU$38,20,0)</f>
        <v>0</v>
      </c>
      <c r="X39" s="36">
        <f>VLOOKUP($A39,[29]HISTOSEPT24!$A$6:$AU$38,27,0)</f>
        <v>0</v>
      </c>
      <c r="Y39" s="36">
        <f>VLOOKUP($A39,[29]HISTOSEPT24!$A$6:$BM$38,33,0)</f>
        <v>0</v>
      </c>
      <c r="Z39" s="36">
        <f>VLOOKUP($A39,[29]HISTOSEPT24!$A$6:$BM$38,65,0)</f>
        <v>0</v>
      </c>
      <c r="AA39" s="36"/>
      <c r="AB39" s="36">
        <f>VLOOKUP($A39,[29]HISTOSEPT24!$A$6:$AU$38,43,0)</f>
        <v>0</v>
      </c>
      <c r="AC39" s="36">
        <f>VLOOKUP($A39,[29]HISTOSEPT24!$A$6:$AU$38,44,0)</f>
        <v>0</v>
      </c>
      <c r="AD39" s="36">
        <f>VLOOKUP($A39,[29]HISTOSEPT24!$A$6:$AU$38,47,0)</f>
        <v>0</v>
      </c>
      <c r="AE39" s="36">
        <f>VLOOKUP(A39,[29]HISTOSEPT24!$A$6:$BB$38,54,0)</f>
        <v>0</v>
      </c>
      <c r="AF39" s="36">
        <f>VLOOKUP($A39,[29]HISTOSEPT24!$A$6:$CB$38,60,0)</f>
        <v>0</v>
      </c>
      <c r="AG39" s="36">
        <f>VLOOKUP($A39,[29]HISTOSEPT24!$A$6:$CB$38,61,0)</f>
        <v>0</v>
      </c>
      <c r="AH39" s="36">
        <f>VLOOKUP($A39,[29]HISTOSEPT24!$A$6:$CB$38,62,0)</f>
        <v>0</v>
      </c>
      <c r="AI39" s="36">
        <f>VLOOKUP($A39,[29]HISTOSEPT24!$A$6:$CB$38,63,0)</f>
        <v>0</v>
      </c>
      <c r="AJ39" s="36">
        <f>VLOOKUP($A39,[29]HISTOSEPT24!$A$6:$CB$38,64,0)</f>
        <v>0</v>
      </c>
      <c r="AK39" s="36">
        <f>VLOOKUP($A39,[29]HISTOSEPT24!$A$6:$CB$38,65,0)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35046406.07312192</v>
      </c>
      <c r="G41" s="9">
        <f t="shared" si="10"/>
        <v>33921939.07312192</v>
      </c>
      <c r="H41" s="36">
        <f t="shared" si="10"/>
        <v>20000</v>
      </c>
      <c r="I41" s="9">
        <f t="shared" si="10"/>
        <v>35066406.073121913</v>
      </c>
      <c r="J41" s="9">
        <f t="shared" si="10"/>
        <v>0</v>
      </c>
      <c r="K41" s="9">
        <f t="shared" si="10"/>
        <v>1783250</v>
      </c>
      <c r="L41" s="9">
        <f t="shared" si="10"/>
        <v>1585250</v>
      </c>
      <c r="M41" s="9">
        <f t="shared" si="10"/>
        <v>33000</v>
      </c>
      <c r="N41" s="9">
        <f t="shared" si="10"/>
        <v>33000</v>
      </c>
      <c r="O41" s="9">
        <f t="shared" si="10"/>
        <v>132000</v>
      </c>
      <c r="P41" s="9">
        <f t="shared" si="10"/>
        <v>18000</v>
      </c>
      <c r="Q41" s="9">
        <f t="shared" si="10"/>
        <v>0</v>
      </c>
      <c r="R41" s="9">
        <f t="shared" si="10"/>
        <v>120000</v>
      </c>
      <c r="S41" s="9">
        <f t="shared" si="10"/>
        <v>1000000</v>
      </c>
      <c r="T41" s="9">
        <f t="shared" si="10"/>
        <v>20000</v>
      </c>
      <c r="U41" s="9">
        <f t="shared" si="10"/>
        <v>0</v>
      </c>
      <c r="V41" s="9">
        <f t="shared" si="10"/>
        <v>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3750</v>
      </c>
      <c r="AD41" s="9">
        <f t="shared" si="10"/>
        <v>0</v>
      </c>
      <c r="AE41" s="9">
        <f t="shared" si="10"/>
        <v>380000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3" spans="1:38" x14ac:dyDescent="0.35">
      <c r="P43" s="2">
        <v>3750</v>
      </c>
    </row>
    <row r="44" spans="1:38" ht="17.5" x14ac:dyDescent="0.35">
      <c r="G44" s="2"/>
      <c r="P44" s="9">
        <f>+P41+P43</f>
        <v>21750</v>
      </c>
    </row>
  </sheetData>
  <autoFilter ref="A5:V39" xr:uid="{00000000-0009-0000-0000-00000E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A32" sqref="A32:XFD32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2">
        <v>45582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VLOOKUP($A6,[29]HISTOOCT24!$A$6:$BA$38,48,0)</f>
        <v>0</v>
      </c>
      <c r="F6" s="36">
        <f>MVTSEPT24!I6-E6+L6</f>
        <v>956486.33111614815</v>
      </c>
      <c r="G6" s="5">
        <f>IF(MVTSEPT24!I6+L6&gt;700000,(MVTSEPT24!I6-E6+L6),0)</f>
        <v>956486.33111614815</v>
      </c>
      <c r="H6" s="36">
        <f t="shared" ref="H6:H39" si="0">$T$41/$G$41*G6</f>
        <v>0</v>
      </c>
      <c r="I6" s="6">
        <f>F6+H6</f>
        <v>956486.33111614815</v>
      </c>
      <c r="J6" s="36">
        <f>VLOOKUP($A6,[29]HISTOOCT24!$A$6:$AQ$42,22,0)</f>
        <v>0</v>
      </c>
      <c r="K6" s="36">
        <f>VLOOKUP($A6,[29]HISTOOCT24!$A$6:$AU$38,45,0)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VLOOKUP($A6,[29]HISTOOCT24!$A$6:$AU$38,7,0)</f>
        <v>0</v>
      </c>
      <c r="Q6" s="36">
        <f>VLOOKUP($A6,[29]HISTOOCT24!$A$6:$AU$38,23,0)</f>
        <v>0</v>
      </c>
      <c r="R6" s="36">
        <f>VLOOKUP($A6,[29]HISTOOCT24!$A$6:$AU$38,46,0)</f>
        <v>0</v>
      </c>
      <c r="S6" s="36">
        <f>VLOOKUP($A6,[29]HISTOOCT24!$A$6:$AU$38,26,0)</f>
        <v>0</v>
      </c>
      <c r="T6" s="36">
        <f>VLOOKUP($A6,[29]HISTOOCT24!$A$6:$BG$38,58,0)</f>
        <v>0</v>
      </c>
      <c r="U6" s="36">
        <f>VLOOKUP($A6,[29]HISTOOCT24!$A$6:$AU$38,28,0)</f>
        <v>0</v>
      </c>
      <c r="V6" s="36">
        <f>VLOOKUP($A6,[29]HISTOOCT24!$A$6:$AU$38,19,0)</f>
        <v>0</v>
      </c>
      <c r="W6" s="36">
        <f>VLOOKUP($A6,[29]HISTOOCT24!$A$6:$AU$38,20,0)</f>
        <v>0</v>
      </c>
      <c r="X6" s="36">
        <f>VLOOKUP($A6,[29]HISTOOCT24!$A$6:$AU$38,27,0)</f>
        <v>0</v>
      </c>
      <c r="Y6" s="36">
        <f>VLOOKUP($A6,[29]HISTOOCT24!$A$6:$BM$38,33,0)</f>
        <v>0</v>
      </c>
      <c r="Z6" s="36">
        <f>VLOOKUP($A6,[29]HISTOOCT24!$A$6:$BM$38,65,0)</f>
        <v>0</v>
      </c>
      <c r="AA6" s="36"/>
      <c r="AB6" s="36">
        <f>VLOOKUP($A6,[29]HISTOOCT24!$A$6:$AU$38,43,0)</f>
        <v>0</v>
      </c>
      <c r="AC6" s="36">
        <f>VLOOKUP($A6,[29]HISTOOCT24!$A$6:$AU$38,44,0)</f>
        <v>0</v>
      </c>
      <c r="AD6" s="36">
        <f>VLOOKUP($A6,[29]HISTOOCT24!$A$6:$AU$38,47,0)</f>
        <v>0</v>
      </c>
      <c r="AE6" s="36">
        <f>VLOOKUP(A6,[29]HISTOOCT24!$A$6:$BB$38,54,0)</f>
        <v>0</v>
      </c>
      <c r="AF6" s="36">
        <f>VLOOKUP($A6,[29]HISTOOCT24!$A$6:$CB$38,60,0)</f>
        <v>6000</v>
      </c>
      <c r="AG6" s="36">
        <f>VLOOKUP($A6,[29]HISTOOCT24!$A$6:$CB$38,61,0)</f>
        <v>0</v>
      </c>
      <c r="AH6" s="36">
        <f>VLOOKUP($A6,[29]HISTOOCT24!$A$6:$CB$38,62,0)</f>
        <v>0</v>
      </c>
      <c r="AI6" s="36">
        <f>VLOOKUP($A6,[29]HISTOOCT24!$A$6:$CB$38,63,0)</f>
        <v>100000</v>
      </c>
      <c r="AJ6" s="36">
        <f>VLOOKUP($A6,[29]HISTOOCT24!$A$6:$CB$38,64,0)</f>
        <v>0</v>
      </c>
      <c r="AK6" s="36">
        <f>VLOOKUP($A6,[29]HISTOOCT24!$A$6:$CB$38,65,0)</f>
        <v>0</v>
      </c>
      <c r="AL6" s="36">
        <f>VLOOKUP($A6,[29]HISTOOCT24!$A$6:$CB$38,66,0)</f>
        <v>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VLOOKUP($A7,[29]HISTOOCT24!$A$6:$BA$38,48,0)</f>
        <v>0</v>
      </c>
      <c r="F7" s="36">
        <f>MVTSEPT24!I7-E7+L7</f>
        <v>889696.43880443554</v>
      </c>
      <c r="G7" s="5">
        <f>IF(MVTSEPT24!I7+L7&gt;700000,(MVTSEPT24!I7-E7+L7),0)</f>
        <v>889696.43880443554</v>
      </c>
      <c r="H7" s="36">
        <f t="shared" si="0"/>
        <v>0</v>
      </c>
      <c r="I7" s="6">
        <f t="shared" ref="I7:I39" si="2">F7+H7</f>
        <v>889696.43880443554</v>
      </c>
      <c r="J7" s="36">
        <f>VLOOKUP($A7,[29]HISTOOCT24!$A$6:$AQ$42,22,0)</f>
        <v>0</v>
      </c>
      <c r="K7" s="36">
        <f>VLOOKUP($A7,[29]HISTOOCT24!$A$6:$AU$38,45,0)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VLOOKUP($A7,[29]HISTOOCT24!$A$6:$AU$38,7,0)</f>
        <v>0</v>
      </c>
      <c r="Q7" s="36">
        <f>VLOOKUP($A7,[29]HISTOOCT24!$A$6:$AU$38,23,0)</f>
        <v>0</v>
      </c>
      <c r="R7" s="36">
        <f>VLOOKUP($A7,[29]HISTOOCT24!$A$6:$AU$38,46,0)</f>
        <v>0</v>
      </c>
      <c r="S7" s="36">
        <f>VLOOKUP($A7,[29]HISTOOCT24!$A$6:$AU$38,26,0)</f>
        <v>0</v>
      </c>
      <c r="T7" s="36">
        <f>VLOOKUP($A7,[29]HISTOOCT24!$A$6:$BG$38,58,0)</f>
        <v>0</v>
      </c>
      <c r="U7" s="36">
        <f>VLOOKUP($A7,[29]HISTOOCT24!$A$6:$AU$38,28,0)</f>
        <v>0</v>
      </c>
      <c r="V7" s="36">
        <f>VLOOKUP($A7,[29]HISTOOCT24!$A$6:$AU$38,19,0)</f>
        <v>0</v>
      </c>
      <c r="W7" s="36">
        <f>VLOOKUP($A7,[29]HISTOOCT24!$A$6:$AU$38,20,0)</f>
        <v>0</v>
      </c>
      <c r="X7" s="36">
        <f>VLOOKUP($A7,[29]HISTOOCT24!$A$6:$AU$38,27,0)</f>
        <v>0</v>
      </c>
      <c r="Y7" s="36">
        <f>VLOOKUP($A7,[29]HISTOOCT24!$A$6:$BM$38,33,0)</f>
        <v>0</v>
      </c>
      <c r="Z7" s="36">
        <f>VLOOKUP($A7,[29]HISTOOCT24!$A$6:$BM$38,65,0)</f>
        <v>0</v>
      </c>
      <c r="AA7" s="36"/>
      <c r="AB7" s="36">
        <f>VLOOKUP($A7,[29]HISTOOCT24!$A$6:$AU$38,43,0)</f>
        <v>0</v>
      </c>
      <c r="AC7" s="36">
        <f>VLOOKUP($A7,[29]HISTOOCT24!$A$6:$AU$38,44,0)</f>
        <v>0</v>
      </c>
      <c r="AD7" s="36">
        <f>VLOOKUP($A7,[29]HISTOOCT24!$A$6:$AU$38,47,0)</f>
        <v>0</v>
      </c>
      <c r="AE7" s="36">
        <f>VLOOKUP(A7,[29]HISTOOCT24!$A$6:$BB$38,54,0)</f>
        <v>0</v>
      </c>
      <c r="AF7" s="36">
        <f>VLOOKUP($A7,[29]HISTOOCT24!$A$6:$CB$38,60,0)</f>
        <v>0</v>
      </c>
      <c r="AG7" s="36">
        <f>VLOOKUP($A7,[29]HISTOOCT24!$A$6:$CB$38,61,0)</f>
        <v>0</v>
      </c>
      <c r="AH7" s="36">
        <f>VLOOKUP($A7,[29]HISTOOCT24!$A$6:$CB$38,62,0)</f>
        <v>0</v>
      </c>
      <c r="AI7" s="36">
        <f>VLOOKUP($A7,[29]HISTOOCT24!$A$6:$CB$38,63,0)</f>
        <v>0</v>
      </c>
      <c r="AJ7" s="36">
        <f>VLOOKUP($A7,[29]HISTOOCT24!$A$6:$CB$38,64,0)</f>
        <v>0</v>
      </c>
      <c r="AK7" s="36">
        <f>VLOOKUP($A7,[29]HISTOOCT24!$A$6:$CB$38,65,0)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VLOOKUP($A8,[29]HISTOOCT24!$A$6:$BA$38,48,0)</f>
        <v>0</v>
      </c>
      <c r="F8" s="36">
        <f>MVTSEPT24!I8-E8+L8</f>
        <v>944073.24045783479</v>
      </c>
      <c r="G8" s="5">
        <f>IF(MVTSEPT24!I8+L8&gt;700000,(MVTSEPT24!I8-E8+L8),0)</f>
        <v>944073.24045783479</v>
      </c>
      <c r="H8" s="36">
        <f t="shared" si="0"/>
        <v>0</v>
      </c>
      <c r="I8" s="6">
        <f t="shared" si="2"/>
        <v>944073.24045783479</v>
      </c>
      <c r="J8" s="36">
        <f>VLOOKUP($A8,[29]HISTOOCT24!$A$6:$AQ$42,22,0)</f>
        <v>0</v>
      </c>
      <c r="K8" s="36">
        <f>VLOOKUP($A8,[29]HISTOOCT24!$A$6:$AU$38,45,0)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VLOOKUP($A8,[29]HISTOOCT24!$A$6:$AU$38,7,0)</f>
        <v>0</v>
      </c>
      <c r="Q8" s="36">
        <f>VLOOKUP($A8,[29]HISTOOCT24!$A$6:$AU$38,23,0)</f>
        <v>0</v>
      </c>
      <c r="R8" s="36">
        <f>VLOOKUP($A8,[29]HISTOOCT24!$A$6:$AU$38,46,0)</f>
        <v>0</v>
      </c>
      <c r="S8" s="36">
        <f>VLOOKUP($A8,[29]HISTOOCT24!$A$6:$AU$38,26,0)</f>
        <v>0</v>
      </c>
      <c r="T8" s="36">
        <f>VLOOKUP($A8,[29]HISTOOCT24!$A$6:$BG$38,58,0)</f>
        <v>0</v>
      </c>
      <c r="U8" s="36">
        <f>VLOOKUP($A8,[29]HISTOOCT24!$A$6:$AU$38,28,0)</f>
        <v>0</v>
      </c>
      <c r="V8" s="36">
        <f>VLOOKUP($A8,[29]HISTOOCT24!$A$6:$AU$38,19,0)</f>
        <v>0</v>
      </c>
      <c r="W8" s="36">
        <f>VLOOKUP($A8,[29]HISTOOCT24!$A$6:$AU$38,20,0)</f>
        <v>0</v>
      </c>
      <c r="X8" s="36">
        <f>VLOOKUP($A8,[29]HISTOOCT24!$A$6:$AU$38,27,0)</f>
        <v>0</v>
      </c>
      <c r="Y8" s="36">
        <f>VLOOKUP($A8,[29]HISTOOCT24!$A$6:$BM$38,33,0)</f>
        <v>0</v>
      </c>
      <c r="Z8" s="36">
        <f>VLOOKUP($A8,[29]HISTOOCT24!$A$6:$BM$38,65,0)</f>
        <v>0</v>
      </c>
      <c r="AA8" s="36"/>
      <c r="AB8" s="36">
        <f>VLOOKUP($A8,[29]HISTOOCT24!$A$6:$AU$38,43,0)</f>
        <v>0</v>
      </c>
      <c r="AC8" s="36">
        <f>VLOOKUP($A8,[29]HISTOOCT24!$A$6:$AU$38,44,0)</f>
        <v>0</v>
      </c>
      <c r="AD8" s="36">
        <f>VLOOKUP($A8,[29]HISTOOCT24!$A$6:$AU$38,47,0)</f>
        <v>0</v>
      </c>
      <c r="AE8" s="36">
        <f>VLOOKUP(A8,[29]HISTOOCT24!$A$6:$BB$38,54,0)</f>
        <v>0</v>
      </c>
      <c r="AF8" s="36">
        <f>VLOOKUP($A8,[29]HISTOOCT24!$A$6:$CB$38,60,0)</f>
        <v>0</v>
      </c>
      <c r="AG8" s="36">
        <f>VLOOKUP($A8,[29]HISTOOCT24!$A$6:$CB$38,61,0)</f>
        <v>0</v>
      </c>
      <c r="AH8" s="36">
        <f>VLOOKUP($A8,[29]HISTOOCT24!$A$6:$CB$38,62,0)</f>
        <v>0</v>
      </c>
      <c r="AI8" s="36">
        <f>VLOOKUP($A8,[29]HISTOOCT24!$A$6:$CB$38,63,0)</f>
        <v>0</v>
      </c>
      <c r="AJ8" s="36">
        <f>VLOOKUP($A8,[29]HISTOOCT24!$A$6:$CB$38,64,0)</f>
        <v>0</v>
      </c>
      <c r="AK8" s="36">
        <f>VLOOKUP($A8,[29]HISTOOCT24!$A$6:$CB$38,65,0)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VLOOKUP($A9,[29]HISTOOCT24!$A$6:$BA$38,48,0)</f>
        <v>0</v>
      </c>
      <c r="F9" s="36">
        <f>MVTSEPT24!I9-E9+L9</f>
        <v>997116.39934003656</v>
      </c>
      <c r="G9" s="5">
        <f>IF(MVTSEPT24!I9+L9&gt;700000,(MVTSEPT24!I9-E9+L9),0)</f>
        <v>997116.39934003656</v>
      </c>
      <c r="H9" s="36">
        <f t="shared" si="0"/>
        <v>0</v>
      </c>
      <c r="I9" s="6">
        <f t="shared" si="2"/>
        <v>997116.39934003656</v>
      </c>
      <c r="J9" s="36">
        <f>VLOOKUP($A9,[29]HISTOOCT24!$A$6:$AQ$42,22,0)</f>
        <v>0</v>
      </c>
      <c r="K9" s="36">
        <f>VLOOKUP($A9,[29]HISTOOCT24!$A$6:$AU$38,45,0)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VLOOKUP($A9,[29]HISTOOCT24!$A$6:$AU$38,7,0)</f>
        <v>0</v>
      </c>
      <c r="Q9" s="36">
        <f>VLOOKUP($A9,[29]HISTOOCT24!$A$6:$AU$38,23,0)</f>
        <v>0</v>
      </c>
      <c r="R9" s="36">
        <f>VLOOKUP($A9,[29]HISTOOCT24!$A$6:$AU$38,46,0)</f>
        <v>0</v>
      </c>
      <c r="S9" s="36">
        <f>VLOOKUP($A9,[29]HISTOOCT24!$A$6:$AU$38,26,0)</f>
        <v>0</v>
      </c>
      <c r="T9" s="36">
        <f>VLOOKUP($A9,[29]HISTOOCT24!$A$6:$BG$38,58,0)</f>
        <v>0</v>
      </c>
      <c r="U9" s="36">
        <f>VLOOKUP($A9,[29]HISTOOCT24!$A$6:$AU$38,28,0)</f>
        <v>0</v>
      </c>
      <c r="V9" s="36">
        <f>VLOOKUP($A9,[29]HISTOOCT24!$A$6:$AU$38,19,0)</f>
        <v>0</v>
      </c>
      <c r="W9" s="36">
        <f>VLOOKUP($A9,[29]HISTOOCT24!$A$6:$AU$38,20,0)</f>
        <v>0</v>
      </c>
      <c r="X9" s="36">
        <f>VLOOKUP($A9,[29]HISTOOCT24!$A$6:$AU$38,27,0)</f>
        <v>0</v>
      </c>
      <c r="Y9" s="36">
        <f>VLOOKUP($A9,[29]HISTOOCT24!$A$6:$BM$38,33,0)</f>
        <v>0</v>
      </c>
      <c r="Z9" s="36">
        <f>VLOOKUP($A9,[29]HISTOOCT24!$A$6:$BM$38,65,0)</f>
        <v>0</v>
      </c>
      <c r="AA9" s="36"/>
      <c r="AB9" s="36">
        <f>VLOOKUP($A9,[29]HISTOOCT24!$A$6:$AU$38,43,0)</f>
        <v>0</v>
      </c>
      <c r="AC9" s="36">
        <f>VLOOKUP($A9,[29]HISTOOCT24!$A$6:$AU$38,44,0)</f>
        <v>0</v>
      </c>
      <c r="AD9" s="36">
        <f>VLOOKUP($A9,[29]HISTOOCT24!$A$6:$AU$38,47,0)</f>
        <v>0</v>
      </c>
      <c r="AE9" s="36">
        <f>VLOOKUP(A9,[29]HISTOOCT24!$A$6:$BB$38,54,0)</f>
        <v>0</v>
      </c>
      <c r="AF9" s="36">
        <f>VLOOKUP($A9,[29]HISTOOCT24!$A$6:$CB$38,60,0)</f>
        <v>0</v>
      </c>
      <c r="AG9" s="36">
        <f>VLOOKUP($A9,[29]HISTOOCT24!$A$6:$CB$38,61,0)</f>
        <v>0</v>
      </c>
      <c r="AH9" s="36">
        <f>VLOOKUP($A9,[29]HISTOOCT24!$A$6:$CB$38,62,0)</f>
        <v>0</v>
      </c>
      <c r="AI9" s="36">
        <f>VLOOKUP($A9,[29]HISTOOCT24!$A$6:$CB$38,63,0)</f>
        <v>0</v>
      </c>
      <c r="AJ9" s="36">
        <f>VLOOKUP($A9,[29]HISTOOCT24!$A$6:$CB$38,64,0)</f>
        <v>0</v>
      </c>
      <c r="AK9" s="36">
        <f>VLOOKUP($A9,[29]HISTOOCT24!$A$6:$CB$38,65,0)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VLOOKUP($A10,[29]HISTOOCT24!$A$6:$BA$38,48,0)</f>
        <v>0</v>
      </c>
      <c r="F10" s="36">
        <f>MVTSEPT24!I10-E10+L10</f>
        <v>943806.15479334153</v>
      </c>
      <c r="G10" s="5">
        <f>IF(MVTSEPT24!I10+L10&gt;700000,(MVTSEPT24!I10-E10+L10),0)</f>
        <v>943806.15479334153</v>
      </c>
      <c r="H10" s="36">
        <f t="shared" si="0"/>
        <v>0</v>
      </c>
      <c r="I10" s="6">
        <f t="shared" si="2"/>
        <v>943806.15479334153</v>
      </c>
      <c r="J10" s="36">
        <f>VLOOKUP($A10,[29]HISTOOCT24!$A$6:$AQ$42,22,0)</f>
        <v>0</v>
      </c>
      <c r="K10" s="36">
        <f>VLOOKUP($A10,[29]HISTOOCT24!$A$6:$AU$38,45,0)</f>
        <v>26000</v>
      </c>
      <c r="L10" s="36">
        <f t="shared" si="3"/>
        <v>20000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VLOOKUP($A10,[29]HISTOOCT24!$A$6:$AU$38,7,0)</f>
        <v>0</v>
      </c>
      <c r="Q10" s="36">
        <f>VLOOKUP($A10,[29]HISTOOCT24!$A$6:$AU$38,23,0)</f>
        <v>0</v>
      </c>
      <c r="R10" s="36">
        <f>VLOOKUP($A10,[29]HISTOOCT24!$A$6:$AU$38,46,0)</f>
        <v>0</v>
      </c>
      <c r="S10" s="36">
        <f>VLOOKUP($A10,[29]HISTOOCT24!$A$6:$AU$38,26,0)</f>
        <v>0</v>
      </c>
      <c r="T10" s="36">
        <f>VLOOKUP($A10,[29]HISTOOCT24!$A$6:$BG$38,58,0)</f>
        <v>0</v>
      </c>
      <c r="U10" s="36">
        <f>VLOOKUP($A10,[29]HISTOOCT24!$A$6:$AU$38,28,0)</f>
        <v>0</v>
      </c>
      <c r="V10" s="36">
        <f>VLOOKUP($A10,[29]HISTOOCT24!$A$6:$AU$38,19,0)</f>
        <v>0</v>
      </c>
      <c r="W10" s="36">
        <f>VLOOKUP($A10,[29]HISTOOCT24!$A$6:$AU$38,20,0)</f>
        <v>0</v>
      </c>
      <c r="X10" s="36">
        <f>VLOOKUP($A10,[29]HISTOOCT24!$A$6:$AU$38,27,0)</f>
        <v>0</v>
      </c>
      <c r="Y10" s="36">
        <f>VLOOKUP($A10,[29]HISTOOCT24!$A$6:$BM$38,33,0)</f>
        <v>0</v>
      </c>
      <c r="Z10" s="36">
        <f>VLOOKUP($A10,[29]HISTOOCT24!$A$6:$BM$38,65,0)</f>
        <v>0</v>
      </c>
      <c r="AA10" s="36"/>
      <c r="AB10" s="36">
        <f>VLOOKUP($A10,[29]HISTOOCT24!$A$6:$AU$38,43,0)</f>
        <v>0</v>
      </c>
      <c r="AC10" s="36">
        <f>VLOOKUP($A10,[29]HISTOOCT24!$A$6:$AU$38,44,0)</f>
        <v>0</v>
      </c>
      <c r="AD10" s="36">
        <f>VLOOKUP($A10,[29]HISTOOCT24!$A$6:$AU$38,47,0)</f>
        <v>0</v>
      </c>
      <c r="AE10" s="36">
        <f>VLOOKUP(A10,[29]HISTOOCT24!$A$6:$BB$38,54,0)</f>
        <v>0</v>
      </c>
      <c r="AF10" s="36">
        <f>VLOOKUP($A10,[29]HISTOOCT24!$A$6:$CB$38,60,0)</f>
        <v>0</v>
      </c>
      <c r="AG10" s="36">
        <f>VLOOKUP($A10,[29]HISTOOCT24!$A$6:$CB$38,61,0)</f>
        <v>0</v>
      </c>
      <c r="AH10" s="36">
        <f>VLOOKUP($A10,[29]HISTOOCT24!$A$6:$CB$38,62,0)</f>
        <v>0</v>
      </c>
      <c r="AI10" s="36">
        <f>VLOOKUP($A10,[29]HISTOOCT24!$A$6:$CB$38,63,0)</f>
        <v>0</v>
      </c>
      <c r="AJ10" s="36">
        <f>VLOOKUP($A10,[29]HISTOOCT24!$A$6:$CB$38,64,0)</f>
        <v>0</v>
      </c>
      <c r="AK10" s="36">
        <f>VLOOKUP($A10,[29]HISTOOCT24!$A$6:$CB$38,65,0)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VLOOKUP($A11,[29]HISTOOCT24!$A$6:$BA$38,48,0)</f>
        <v>0</v>
      </c>
      <c r="F11" s="36">
        <f>MVTSEPT24!I11-E11+L11</f>
        <v>972687.04134130187</v>
      </c>
      <c r="G11" s="5">
        <f>IF(MVTSEPT24!I11+L11&gt;700000,(MVTSEPT24!I11-E11+L11),0)</f>
        <v>972687.04134130187</v>
      </c>
      <c r="H11" s="36">
        <f t="shared" si="0"/>
        <v>0</v>
      </c>
      <c r="I11" s="6">
        <f t="shared" si="2"/>
        <v>972687.04134130187</v>
      </c>
      <c r="J11" s="36">
        <f>VLOOKUP($A11,[29]HISTOOCT24!$A$6:$AQ$42,22,0)</f>
        <v>0</v>
      </c>
      <c r="K11" s="36">
        <f>VLOOKUP($A11,[29]HISTOOCT24!$A$6:$AU$38,45,0)</f>
        <v>25500</v>
      </c>
      <c r="L11" s="36">
        <f t="shared" si="3"/>
        <v>19500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VLOOKUP($A11,[29]HISTOOCT24!$A$6:$AU$38,7,0)</f>
        <v>0</v>
      </c>
      <c r="Q11" s="36">
        <f>VLOOKUP($A11,[29]HISTOOCT24!$A$6:$AU$38,23,0)</f>
        <v>0</v>
      </c>
      <c r="R11" s="36">
        <f>VLOOKUP($A11,[29]HISTOOCT24!$A$6:$AU$38,46,0)</f>
        <v>0</v>
      </c>
      <c r="S11" s="36">
        <f>VLOOKUP($A11,[29]HISTOOCT24!$A$6:$AU$38,26,0)</f>
        <v>0</v>
      </c>
      <c r="T11" s="36">
        <f>VLOOKUP($A11,[29]HISTOOCT24!$A$6:$BG$38,58,0)</f>
        <v>0</v>
      </c>
      <c r="U11" s="36">
        <f>VLOOKUP($A11,[29]HISTOOCT24!$A$6:$AU$38,28,0)</f>
        <v>0</v>
      </c>
      <c r="V11" s="36">
        <f>VLOOKUP($A11,[29]HISTOOCT24!$A$6:$AU$38,19,0)</f>
        <v>0</v>
      </c>
      <c r="W11" s="36">
        <f>VLOOKUP($A11,[29]HISTOOCT24!$A$6:$AU$38,20,0)</f>
        <v>0</v>
      </c>
      <c r="X11" s="36">
        <f>VLOOKUP($A11,[29]HISTOOCT24!$A$6:$AU$38,27,0)</f>
        <v>0</v>
      </c>
      <c r="Y11" s="36">
        <f>VLOOKUP($A11,[29]HISTOOCT24!$A$6:$BM$38,33,0)</f>
        <v>0</v>
      </c>
      <c r="Z11" s="36">
        <f>VLOOKUP($A11,[29]HISTOOCT24!$A$6:$BM$38,65,0)</f>
        <v>0</v>
      </c>
      <c r="AA11" s="36"/>
      <c r="AB11" s="36">
        <f>VLOOKUP($A11,[29]HISTOOCT24!$A$6:$AU$38,43,0)</f>
        <v>0</v>
      </c>
      <c r="AC11" s="36">
        <f>VLOOKUP($A11,[29]HISTOOCT24!$A$6:$AU$38,44,0)</f>
        <v>0</v>
      </c>
      <c r="AD11" s="36">
        <f>VLOOKUP($A11,[29]HISTOOCT24!$A$6:$AU$38,47,0)</f>
        <v>0</v>
      </c>
      <c r="AE11" s="36">
        <f>VLOOKUP(A11,[29]HISTOOCT24!$A$6:$BB$38,54,0)</f>
        <v>0</v>
      </c>
      <c r="AF11" s="36">
        <f>VLOOKUP($A11,[29]HISTOOCT24!$A$6:$CB$38,60,0)</f>
        <v>0</v>
      </c>
      <c r="AG11" s="36">
        <f>VLOOKUP($A11,[29]HISTOOCT24!$A$6:$CB$38,61,0)</f>
        <v>0</v>
      </c>
      <c r="AH11" s="36">
        <f>VLOOKUP($A11,[29]HISTOOCT24!$A$6:$CB$38,62,0)</f>
        <v>0</v>
      </c>
      <c r="AI11" s="36">
        <f>VLOOKUP($A11,[29]HISTOOCT24!$A$6:$CB$38,63,0)</f>
        <v>0</v>
      </c>
      <c r="AJ11" s="36">
        <f>VLOOKUP($A11,[29]HISTOOCT24!$A$6:$CB$38,64,0)</f>
        <v>0</v>
      </c>
      <c r="AK11" s="36">
        <f>VLOOKUP($A11,[29]HISTOOCT24!$A$6:$CB$38,65,0)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VLOOKUP($A12,[29]HISTOOCT24!$A$6:$BA$38,48,0)</f>
        <v>0</v>
      </c>
      <c r="F12" s="36">
        <f>MVTSEPT24!I12-E12+L12</f>
        <v>1018876.6151706504</v>
      </c>
      <c r="G12" s="5">
        <f>IF(MVTSEPT24!I12+L12&gt;700000,(MVTSEPT24!I12-E12+L12),0)</f>
        <v>1018876.6151706504</v>
      </c>
      <c r="H12" s="36">
        <f t="shared" si="0"/>
        <v>0</v>
      </c>
      <c r="I12" s="6">
        <f t="shared" si="2"/>
        <v>1018876.6151706504</v>
      </c>
      <c r="J12" s="36">
        <f>VLOOKUP($A12,[29]HISTOOCT24!$A$6:$AQ$42,22,0)</f>
        <v>0</v>
      </c>
      <c r="K12" s="36">
        <f>VLOOKUP($A12,[29]HISTOOCT24!$A$6:$AU$38,45,0)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VLOOKUP($A12,[29]HISTOOCT24!$A$6:$AU$38,7,0)</f>
        <v>0</v>
      </c>
      <c r="Q12" s="36">
        <f>VLOOKUP($A12,[29]HISTOOCT24!$A$6:$AU$38,23,0)</f>
        <v>0</v>
      </c>
      <c r="R12" s="36">
        <f>VLOOKUP($A12,[29]HISTOOCT24!$A$6:$AU$38,46,0)</f>
        <v>0</v>
      </c>
      <c r="S12" s="36">
        <f>VLOOKUP($A12,[29]HISTOOCT24!$A$6:$AU$38,26,0)</f>
        <v>0</v>
      </c>
      <c r="T12" s="36">
        <f>VLOOKUP($A12,[29]HISTOOCT24!$A$6:$BG$38,58,0)</f>
        <v>0</v>
      </c>
      <c r="U12" s="36">
        <f>VLOOKUP($A12,[29]HISTOOCT24!$A$6:$AU$38,28,0)</f>
        <v>0</v>
      </c>
      <c r="V12" s="36">
        <f>VLOOKUP($A12,[29]HISTOOCT24!$A$6:$AU$38,19,0)</f>
        <v>100000</v>
      </c>
      <c r="W12" s="36" t="str">
        <f>VLOOKUP($A12,[29]HISTOOCT24!$A$6:$AU$38,20,0)</f>
        <v>BANQUE</v>
      </c>
      <c r="X12" s="36">
        <f>VLOOKUP($A12,[29]HISTOOCT24!$A$6:$AU$38,27,0)</f>
        <v>0</v>
      </c>
      <c r="Y12" s="36">
        <f>VLOOKUP($A12,[29]HISTOOCT24!$A$6:$BM$38,33,0)</f>
        <v>0</v>
      </c>
      <c r="Z12" s="36">
        <f>VLOOKUP($A12,[29]HISTOOCT24!$A$6:$BM$38,65,0)</f>
        <v>0</v>
      </c>
      <c r="AA12" s="36"/>
      <c r="AB12" s="36">
        <f>VLOOKUP($A12,[29]HISTOOCT24!$A$6:$AU$38,43,0)</f>
        <v>0</v>
      </c>
      <c r="AC12" s="36">
        <f>VLOOKUP($A12,[29]HISTOOCT24!$A$6:$AU$38,44,0)</f>
        <v>0</v>
      </c>
      <c r="AD12" s="36">
        <f>VLOOKUP($A12,[29]HISTOOCT24!$A$6:$AU$38,47,0)</f>
        <v>0</v>
      </c>
      <c r="AE12" s="36">
        <f>VLOOKUP(A12,[29]HISTOOCT24!$A$6:$BB$38,54,0)</f>
        <v>0</v>
      </c>
      <c r="AF12" s="36">
        <f>VLOOKUP($A12,[29]HISTOOCT24!$A$6:$CB$38,60,0)</f>
        <v>0</v>
      </c>
      <c r="AG12" s="36">
        <f>VLOOKUP($A12,[29]HISTOOCT24!$A$6:$CB$38,61,0)</f>
        <v>0</v>
      </c>
      <c r="AH12" s="36">
        <f>VLOOKUP($A12,[29]HISTOOCT24!$A$6:$CB$38,62,0)</f>
        <v>0</v>
      </c>
      <c r="AI12" s="36">
        <f>VLOOKUP($A12,[29]HISTOOCT24!$A$6:$CB$38,63,0)</f>
        <v>0</v>
      </c>
      <c r="AJ12" s="36">
        <f>VLOOKUP($A12,[29]HISTOOCT24!$A$6:$CB$38,64,0)</f>
        <v>0</v>
      </c>
      <c r="AK12" s="36">
        <f>VLOOKUP($A12,[29]HISTOOCT24!$A$6:$CB$38,65,0)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VLOOKUP($A13,[29]HISTOOCT24!$A$6:$BA$38,48,0)</f>
        <v>0</v>
      </c>
      <c r="F13" s="36">
        <f>MVTSEPT24!I13-E13+L13</f>
        <v>947131.79792375595</v>
      </c>
      <c r="G13" s="5">
        <f>IF(MVTSEPT24!I13+L13&gt;700000,(MVTSEPT24!I13-E13+L13),0)</f>
        <v>947131.79792375595</v>
      </c>
      <c r="H13" s="36">
        <f t="shared" si="0"/>
        <v>0</v>
      </c>
      <c r="I13" s="6">
        <f t="shared" si="2"/>
        <v>947131.79792375595</v>
      </c>
      <c r="J13" s="36">
        <f>VLOOKUP($A13,[29]HISTOOCT24!$A$6:$AQ$42,22,0)</f>
        <v>0</v>
      </c>
      <c r="K13" s="36">
        <f>VLOOKUP($A13,[29]HISTOOCT24!$A$6:$AU$38,45,0)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VLOOKUP($A13,[29]HISTOOCT24!$A$6:$AU$38,7,0)</f>
        <v>0</v>
      </c>
      <c r="Q13" s="36">
        <f>VLOOKUP($A13,[29]HISTOOCT24!$A$6:$AU$38,23,0)</f>
        <v>0</v>
      </c>
      <c r="R13" s="36">
        <f>VLOOKUP($A13,[29]HISTOOCT24!$A$6:$AU$38,46,0)</f>
        <v>0</v>
      </c>
      <c r="S13" s="36">
        <f>VLOOKUP($A13,[29]HISTOOCT24!$A$6:$AU$38,26,0)</f>
        <v>0</v>
      </c>
      <c r="T13" s="36">
        <f>VLOOKUP($A13,[29]HISTOOCT24!$A$6:$BG$38,58,0)</f>
        <v>0</v>
      </c>
      <c r="U13" s="36">
        <f>VLOOKUP($A13,[29]HISTOOCT24!$A$6:$AU$38,28,0)</f>
        <v>0</v>
      </c>
      <c r="V13" s="36">
        <f>VLOOKUP($A13,[29]HISTOOCT24!$A$6:$AU$38,19,0)</f>
        <v>0</v>
      </c>
      <c r="W13" s="36">
        <f>VLOOKUP($A13,[29]HISTOOCT24!$A$6:$AU$38,20,0)</f>
        <v>0</v>
      </c>
      <c r="X13" s="36">
        <f>VLOOKUP($A13,[29]HISTOOCT24!$A$6:$AU$38,27,0)</f>
        <v>0</v>
      </c>
      <c r="Y13" s="36">
        <f>VLOOKUP($A13,[29]HISTOOCT24!$A$6:$BM$38,33,0)</f>
        <v>0</v>
      </c>
      <c r="Z13" s="36">
        <f>VLOOKUP($A13,[29]HISTOOCT24!$A$6:$BM$38,65,0)</f>
        <v>0</v>
      </c>
      <c r="AA13" s="36"/>
      <c r="AB13" s="36">
        <f>VLOOKUP($A13,[29]HISTOOCT24!$A$6:$AU$38,43,0)</f>
        <v>0</v>
      </c>
      <c r="AC13" s="36">
        <f>VLOOKUP($A13,[29]HISTOOCT24!$A$6:$AU$38,44,0)</f>
        <v>0</v>
      </c>
      <c r="AD13" s="36">
        <f>VLOOKUP($A13,[29]HISTOOCT24!$A$6:$AU$38,47,0)</f>
        <v>0</v>
      </c>
      <c r="AE13" s="36">
        <f>VLOOKUP(A13,[29]HISTOOCT24!$A$6:$BB$38,54,0)</f>
        <v>0</v>
      </c>
      <c r="AF13" s="36">
        <f>VLOOKUP($A13,[29]HISTOOCT24!$A$6:$CB$38,60,0)</f>
        <v>0</v>
      </c>
      <c r="AG13" s="36">
        <f>VLOOKUP($A13,[29]HISTOOCT24!$A$6:$CB$38,61,0)</f>
        <v>0</v>
      </c>
      <c r="AH13" s="36">
        <f>VLOOKUP($A13,[29]HISTOOCT24!$A$6:$CB$38,62,0)</f>
        <v>0</v>
      </c>
      <c r="AI13" s="36">
        <f>VLOOKUP($A13,[29]HISTOOCT24!$A$6:$CB$38,63,0)</f>
        <v>0</v>
      </c>
      <c r="AJ13" s="36">
        <f>VLOOKUP($A13,[29]HISTOOCT24!$A$6:$CB$38,64,0)</f>
        <v>0</v>
      </c>
      <c r="AK13" s="36">
        <f>VLOOKUP($A13,[29]HISTOOCT24!$A$6:$CB$38,65,0)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VLOOKUP($A14,[29]HISTOOCT24!$A$6:$BA$38,48,0)</f>
        <v>0</v>
      </c>
      <c r="F14" s="36">
        <f>MVTSEPT24!I14-E14+L14</f>
        <v>1506000.8433511991</v>
      </c>
      <c r="G14" s="5">
        <f>IF(MVTSEPT24!I14+L14&gt;700000,(MVTSEPT24!I14-E14+L14),0)</f>
        <v>1506000.8433511991</v>
      </c>
      <c r="H14" s="36">
        <f t="shared" si="0"/>
        <v>0</v>
      </c>
      <c r="I14" s="6">
        <f t="shared" si="2"/>
        <v>1506000.8433511991</v>
      </c>
      <c r="J14" s="36">
        <f>VLOOKUP($A14,[29]HISTOOCT24!$A$6:$AQ$42,22,0)</f>
        <v>0</v>
      </c>
      <c r="K14" s="36">
        <f>VLOOKUP($A14,[29]HISTOOCT24!$A$6:$AU$38,45,0)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VLOOKUP($A14,[29]HISTOOCT24!$A$6:$AU$38,7,0)</f>
        <v>0</v>
      </c>
      <c r="Q14" s="36">
        <f>VLOOKUP($A14,[29]HISTOOCT24!$A$6:$AU$38,23,0)</f>
        <v>0</v>
      </c>
      <c r="R14" s="36">
        <f>VLOOKUP($A14,[29]HISTOOCT24!$A$6:$AU$38,46,0)</f>
        <v>0</v>
      </c>
      <c r="S14" s="36">
        <f>VLOOKUP($A14,[29]HISTOOCT24!$A$6:$AU$38,26,0)</f>
        <v>0</v>
      </c>
      <c r="T14" s="36">
        <f>VLOOKUP($A14,[29]HISTOOCT24!$A$6:$BG$38,58,0)</f>
        <v>0</v>
      </c>
      <c r="U14" s="36">
        <f>VLOOKUP($A14,[29]HISTOOCT24!$A$6:$AU$38,28,0)</f>
        <v>0</v>
      </c>
      <c r="V14" s="36">
        <f>VLOOKUP($A14,[29]HISTOOCT24!$A$6:$AU$38,19,0)</f>
        <v>0</v>
      </c>
      <c r="W14" s="36">
        <f>VLOOKUP($A14,[29]HISTOOCT24!$A$6:$AU$38,20,0)</f>
        <v>0</v>
      </c>
      <c r="X14" s="36">
        <f>VLOOKUP($A14,[29]HISTOOCT24!$A$6:$AU$38,27,0)</f>
        <v>0</v>
      </c>
      <c r="Y14" s="36">
        <f>VLOOKUP($A14,[29]HISTOOCT24!$A$6:$BM$38,33,0)</f>
        <v>0</v>
      </c>
      <c r="Z14" s="36">
        <f>VLOOKUP($A14,[29]HISTOOCT24!$A$6:$BM$38,65,0)</f>
        <v>0</v>
      </c>
      <c r="AA14" s="36"/>
      <c r="AB14" s="36">
        <f>VLOOKUP($A14,[29]HISTOOCT24!$A$6:$AU$38,43,0)</f>
        <v>0</v>
      </c>
      <c r="AC14" s="36">
        <f>VLOOKUP($A14,[29]HISTOOCT24!$A$6:$AU$38,44,0)</f>
        <v>0</v>
      </c>
      <c r="AD14" s="36">
        <f>VLOOKUP($A14,[29]HISTOOCT24!$A$6:$AU$38,47,0)</f>
        <v>0</v>
      </c>
      <c r="AE14" s="36">
        <f>VLOOKUP(A14,[29]HISTOOCT24!$A$6:$BB$38,54,0)</f>
        <v>0</v>
      </c>
      <c r="AF14" s="36">
        <f>VLOOKUP($A14,[29]HISTOOCT24!$A$6:$CB$38,60,0)</f>
        <v>0</v>
      </c>
      <c r="AG14" s="36">
        <f>VLOOKUP($A14,[29]HISTOOCT24!$A$6:$CB$38,61,0)</f>
        <v>0</v>
      </c>
      <c r="AH14" s="36">
        <f>VLOOKUP($A14,[29]HISTOOCT24!$A$6:$CB$38,62,0)</f>
        <v>0</v>
      </c>
      <c r="AI14" s="36">
        <f>VLOOKUP($A14,[29]HISTOOCT24!$A$6:$CB$38,63,0)</f>
        <v>0</v>
      </c>
      <c r="AJ14" s="36">
        <f>VLOOKUP($A14,[29]HISTOOCT24!$A$6:$CB$38,64,0)</f>
        <v>0</v>
      </c>
      <c r="AK14" s="36">
        <f>VLOOKUP($A14,[29]HISTOOCT24!$A$6:$CB$38,65,0)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VLOOKUP($A15,[29]HISTOOCT24!$A$6:$BA$38,48,0)</f>
        <v>0</v>
      </c>
      <c r="F15" s="36">
        <f>MVTSEPT24!I15-E15+L15</f>
        <v>1009556.26032111</v>
      </c>
      <c r="G15" s="5">
        <f>IF(MVTSEPT24!I15+L15&gt;700000,(MVTSEPT24!I15-E15+L15),0)</f>
        <v>1009556.26032111</v>
      </c>
      <c r="H15" s="36">
        <f t="shared" si="0"/>
        <v>0</v>
      </c>
      <c r="I15" s="6">
        <f t="shared" si="2"/>
        <v>1009556.26032111</v>
      </c>
      <c r="J15" s="36">
        <f>VLOOKUP($A15,[29]HISTOOCT24!$A$6:$AQ$42,22,0)</f>
        <v>0</v>
      </c>
      <c r="K15" s="36">
        <f>VLOOKUP($A15,[29]HISTOOCT24!$A$6:$AU$38,45,0)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VLOOKUP($A15,[29]HISTOOCT24!$A$6:$AU$38,7,0)</f>
        <v>0</v>
      </c>
      <c r="Q15" s="36">
        <f>VLOOKUP($A15,[29]HISTOOCT24!$A$6:$AU$38,23,0)</f>
        <v>0</v>
      </c>
      <c r="R15" s="36">
        <f>VLOOKUP($A15,[29]HISTOOCT24!$A$6:$AU$38,46,0)</f>
        <v>0</v>
      </c>
      <c r="S15" s="36">
        <f>VLOOKUP($A15,[29]HISTOOCT24!$A$6:$AU$38,26,0)</f>
        <v>0</v>
      </c>
      <c r="T15" s="36">
        <f>VLOOKUP($A15,[29]HISTOOCT24!$A$6:$BG$38,58,0)</f>
        <v>0</v>
      </c>
      <c r="U15" s="36">
        <f>VLOOKUP($A15,[29]HISTOOCT24!$A$6:$AU$38,28,0)</f>
        <v>0</v>
      </c>
      <c r="V15" s="36">
        <f>VLOOKUP($A15,[29]HISTOOCT24!$A$6:$AU$38,19,0)</f>
        <v>0</v>
      </c>
      <c r="W15" s="36">
        <f>VLOOKUP($A15,[29]HISTOOCT24!$A$6:$AU$38,20,0)</f>
        <v>0</v>
      </c>
      <c r="X15" s="36">
        <f>VLOOKUP($A15,[29]HISTOOCT24!$A$6:$AU$38,27,0)</f>
        <v>0</v>
      </c>
      <c r="Y15" s="36">
        <f>VLOOKUP($A15,[29]HISTOOCT24!$A$6:$BM$38,33,0)</f>
        <v>0</v>
      </c>
      <c r="Z15" s="36">
        <f>VLOOKUP($A15,[29]HISTOOCT24!$A$6:$BM$38,65,0)</f>
        <v>0</v>
      </c>
      <c r="AA15" s="36"/>
      <c r="AB15" s="36">
        <f>VLOOKUP($A15,[29]HISTOOCT24!$A$6:$AU$38,43,0)</f>
        <v>0</v>
      </c>
      <c r="AC15" s="36">
        <f>VLOOKUP($A15,[29]HISTOOCT24!$A$6:$AU$38,44,0)</f>
        <v>0</v>
      </c>
      <c r="AD15" s="36">
        <f>VLOOKUP($A15,[29]HISTOOCT24!$A$6:$AU$38,47,0)</f>
        <v>0</v>
      </c>
      <c r="AE15" s="36">
        <f>VLOOKUP(A15,[29]HISTOOCT24!$A$6:$BB$38,54,0)</f>
        <v>0</v>
      </c>
      <c r="AF15" s="36">
        <f>VLOOKUP($A15,[29]HISTOOCT24!$A$6:$CB$38,60,0)</f>
        <v>0</v>
      </c>
      <c r="AG15" s="36">
        <f>VLOOKUP($A15,[29]HISTOOCT24!$A$6:$CB$38,61,0)</f>
        <v>0</v>
      </c>
      <c r="AH15" s="36">
        <f>VLOOKUP($A15,[29]HISTOOCT24!$A$6:$CB$38,62,0)</f>
        <v>0</v>
      </c>
      <c r="AI15" s="36">
        <f>VLOOKUP($A15,[29]HISTOOCT24!$A$6:$CB$38,63,0)</f>
        <v>0</v>
      </c>
      <c r="AJ15" s="36">
        <f>VLOOKUP($A15,[29]HISTOOCT24!$A$6:$CB$38,64,0)</f>
        <v>0</v>
      </c>
      <c r="AK15" s="36">
        <f>VLOOKUP($A15,[29]HISTOOCT24!$A$6:$CB$38,65,0)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VLOOKUP($A16,[29]HISTOOCT24!$A$6:$BA$38,48,0)</f>
        <v>0</v>
      </c>
      <c r="F16" s="36">
        <f>MVTSEPT24!I16-E16+L16</f>
        <v>1281372.0816398228</v>
      </c>
      <c r="G16" s="5">
        <f>IF(MVTSEPT24!I16+L16&gt;700000,(MVTSEPT24!I16-E16+L16),0)</f>
        <v>1281372.0816398228</v>
      </c>
      <c r="H16" s="36">
        <f t="shared" si="0"/>
        <v>0</v>
      </c>
      <c r="I16" s="6">
        <f t="shared" si="2"/>
        <v>1281372.0816398228</v>
      </c>
      <c r="J16" s="36">
        <f>VLOOKUP($A16,[29]HISTOOCT24!$A$6:$AQ$42,22,0)</f>
        <v>0</v>
      </c>
      <c r="K16" s="36">
        <f>VLOOKUP($A16,[29]HISTOOCT24!$A$6:$AU$38,45,0)</f>
        <v>40000</v>
      </c>
      <c r="L16" s="36">
        <f t="shared" si="3"/>
        <v>34000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VLOOKUP($A16,[29]HISTOOCT24!$A$6:$AU$38,7,0)</f>
        <v>0</v>
      </c>
      <c r="Q16" s="36">
        <f>VLOOKUP($A16,[29]HISTOOCT24!$A$6:$AU$38,23,0)</f>
        <v>0</v>
      </c>
      <c r="R16" s="36">
        <f>VLOOKUP($A16,[29]HISTOOCT24!$A$6:$AU$38,46,0)</f>
        <v>0</v>
      </c>
      <c r="S16" s="36">
        <f>VLOOKUP($A16,[29]HISTOOCT24!$A$6:$AU$38,26,0)</f>
        <v>0</v>
      </c>
      <c r="T16" s="36">
        <f>VLOOKUP($A16,[29]HISTOOCT24!$A$6:$BG$38,58,0)</f>
        <v>0</v>
      </c>
      <c r="U16" s="36">
        <f>VLOOKUP($A16,[29]HISTOOCT24!$A$6:$AU$38,28,0)</f>
        <v>0</v>
      </c>
      <c r="V16" s="36">
        <f>VLOOKUP($A16,[29]HISTOOCT24!$A$6:$AU$38,19,0)</f>
        <v>0</v>
      </c>
      <c r="W16" s="36">
        <f>VLOOKUP($A16,[29]HISTOOCT24!$A$6:$AU$38,20,0)</f>
        <v>0</v>
      </c>
      <c r="X16" s="36">
        <f>VLOOKUP($A16,[29]HISTOOCT24!$A$6:$AU$38,27,0)</f>
        <v>0</v>
      </c>
      <c r="Y16" s="36">
        <f>VLOOKUP($A16,[29]HISTOOCT24!$A$6:$BM$38,33,0)</f>
        <v>0</v>
      </c>
      <c r="Z16" s="36">
        <f>VLOOKUP($A16,[29]HISTOOCT24!$A$6:$BM$38,65,0)</f>
        <v>0</v>
      </c>
      <c r="AA16" s="36"/>
      <c r="AB16" s="36">
        <f>VLOOKUP($A16,[29]HISTOOCT24!$A$6:$AU$38,43,0)</f>
        <v>0</v>
      </c>
      <c r="AC16" s="36">
        <f>VLOOKUP($A16,[29]HISTOOCT24!$A$6:$AU$38,44,0)</f>
        <v>0</v>
      </c>
      <c r="AD16" s="36">
        <f>VLOOKUP($A16,[29]HISTOOCT24!$A$6:$AU$38,47,0)</f>
        <v>0</v>
      </c>
      <c r="AE16" s="36">
        <f>VLOOKUP(A16,[29]HISTOOCT24!$A$6:$BB$38,54,0)</f>
        <v>0</v>
      </c>
      <c r="AF16" s="36">
        <f>VLOOKUP($A16,[29]HISTOOCT24!$A$6:$CB$38,60,0)</f>
        <v>0</v>
      </c>
      <c r="AG16" s="36">
        <f>VLOOKUP($A16,[29]HISTOOCT24!$A$6:$CB$38,61,0)</f>
        <v>0</v>
      </c>
      <c r="AH16" s="36">
        <f>VLOOKUP($A16,[29]HISTOOCT24!$A$6:$CB$38,62,0)</f>
        <v>0</v>
      </c>
      <c r="AI16" s="36">
        <f>VLOOKUP($A16,[29]HISTOOCT24!$A$6:$CB$38,63,0)</f>
        <v>0</v>
      </c>
      <c r="AJ16" s="36">
        <f>VLOOKUP($A16,[29]HISTOOCT24!$A$6:$CB$38,64,0)</f>
        <v>0</v>
      </c>
      <c r="AK16" s="36">
        <f>VLOOKUP($A16,[29]HISTOOCT24!$A$6:$CB$38,65,0)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VLOOKUP($A17,[29]HISTOOCT24!$A$6:$BA$38,48,0)</f>
        <v>0</v>
      </c>
      <c r="F17" s="36">
        <f>MVTSEPT24!I17-E17+L17</f>
        <v>947581.42189074657</v>
      </c>
      <c r="G17" s="5">
        <f>IF(MVTSEPT24!I17+L17&gt;700000,(MVTSEPT24!I17-E17+L17),0)</f>
        <v>947581.42189074657</v>
      </c>
      <c r="H17" s="36">
        <f t="shared" si="0"/>
        <v>0</v>
      </c>
      <c r="I17" s="6">
        <f t="shared" si="2"/>
        <v>947581.42189074657</v>
      </c>
      <c r="J17" s="36">
        <f>VLOOKUP($A17,[29]HISTOOCT24!$A$6:$AQ$42,22,0)</f>
        <v>0</v>
      </c>
      <c r="K17" s="36">
        <f>VLOOKUP($A17,[29]HISTOOCT24!$A$6:$AU$38,45,0)</f>
        <v>25500</v>
      </c>
      <c r="L17" s="36">
        <f t="shared" si="3"/>
        <v>19500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VLOOKUP($A17,[29]HISTOOCT24!$A$6:$AU$38,7,0)</f>
        <v>0</v>
      </c>
      <c r="Q17" s="36">
        <f>VLOOKUP($A17,[29]HISTOOCT24!$A$6:$AU$38,23,0)</f>
        <v>0</v>
      </c>
      <c r="R17" s="36">
        <f>VLOOKUP($A17,[29]HISTOOCT24!$A$6:$AU$38,46,0)</f>
        <v>0</v>
      </c>
      <c r="S17" s="36">
        <f>VLOOKUP($A17,[29]HISTOOCT24!$A$6:$AU$38,26,0)</f>
        <v>0</v>
      </c>
      <c r="T17" s="36">
        <f>VLOOKUP($A17,[29]HISTOOCT24!$A$6:$BG$38,58,0)</f>
        <v>0</v>
      </c>
      <c r="U17" s="36">
        <f>VLOOKUP($A17,[29]HISTOOCT24!$A$6:$AU$38,28,0)</f>
        <v>0</v>
      </c>
      <c r="V17" s="36">
        <f>VLOOKUP($A17,[29]HISTOOCT24!$A$6:$AU$38,19,0)</f>
        <v>0</v>
      </c>
      <c r="W17" s="36">
        <f>VLOOKUP($A17,[29]HISTOOCT24!$A$6:$AU$38,20,0)</f>
        <v>0</v>
      </c>
      <c r="X17" s="36">
        <f>VLOOKUP($A17,[29]HISTOOCT24!$A$6:$AU$38,27,0)</f>
        <v>0</v>
      </c>
      <c r="Y17" s="36">
        <f>VLOOKUP($A17,[29]HISTOOCT24!$A$6:$BM$38,33,0)</f>
        <v>0</v>
      </c>
      <c r="Z17" s="36">
        <f>VLOOKUP($A17,[29]HISTOOCT24!$A$6:$BM$38,65,0)</f>
        <v>0</v>
      </c>
      <c r="AA17" s="36"/>
      <c r="AB17" s="36">
        <f>VLOOKUP($A17,[29]HISTOOCT24!$A$6:$AU$38,43,0)</f>
        <v>0</v>
      </c>
      <c r="AC17" s="36">
        <f>VLOOKUP($A17,[29]HISTOOCT24!$A$6:$AU$38,44,0)</f>
        <v>0</v>
      </c>
      <c r="AD17" s="36">
        <f>VLOOKUP($A17,[29]HISTOOCT24!$A$6:$AU$38,47,0)</f>
        <v>0</v>
      </c>
      <c r="AE17" s="36">
        <f>VLOOKUP(A17,[29]HISTOOCT24!$A$6:$BB$38,54,0)</f>
        <v>0</v>
      </c>
      <c r="AF17" s="36">
        <f>VLOOKUP($A17,[29]HISTOOCT24!$A$6:$CB$38,60,0)</f>
        <v>0</v>
      </c>
      <c r="AG17" s="36">
        <f>VLOOKUP($A17,[29]HISTOOCT24!$A$6:$CB$38,61,0)</f>
        <v>0</v>
      </c>
      <c r="AH17" s="36">
        <f>VLOOKUP($A17,[29]HISTOOCT24!$A$6:$CB$38,62,0)</f>
        <v>0</v>
      </c>
      <c r="AI17" s="36">
        <f>VLOOKUP($A17,[29]HISTOOCT24!$A$6:$CB$38,63,0)</f>
        <v>0</v>
      </c>
      <c r="AJ17" s="36">
        <f>VLOOKUP($A17,[29]HISTOOCT24!$A$6:$CB$38,64,0)</f>
        <v>0</v>
      </c>
      <c r="AK17" s="36">
        <f>VLOOKUP($A17,[29]HISTOOCT24!$A$6:$CB$38,65,0)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VLOOKUP($A18,[29]HISTOOCT24!$A$6:$BA$38,48,0)</f>
        <v>0</v>
      </c>
      <c r="F18" s="36">
        <f>MVTSEPT24!I18-E18+L18</f>
        <v>1052170.1231270968</v>
      </c>
      <c r="G18" s="5">
        <f>IF(MVTSEPT24!I18+L18&gt;700000,(MVTSEPT24!I18-E18+L18),0)</f>
        <v>1052170.1231270968</v>
      </c>
      <c r="H18" s="36">
        <f t="shared" si="0"/>
        <v>0</v>
      </c>
      <c r="I18" s="6">
        <f t="shared" si="2"/>
        <v>1052170.1231270968</v>
      </c>
      <c r="J18" s="36">
        <f>VLOOKUP($A18,[29]HISTOOCT24!$A$6:$AQ$42,22,0)</f>
        <v>0</v>
      </c>
      <c r="K18" s="36">
        <f>VLOOKUP($A18,[29]HISTOOCT24!$A$6:$AU$38,45,0)</f>
        <v>25000</v>
      </c>
      <c r="L18" s="36">
        <f t="shared" si="3"/>
        <v>19000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VLOOKUP($A18,[29]HISTOOCT24!$A$6:$AU$38,7,0)</f>
        <v>0</v>
      </c>
      <c r="Q18" s="36">
        <f>VLOOKUP($A18,[29]HISTOOCT24!$A$6:$AU$38,23,0)</f>
        <v>0</v>
      </c>
      <c r="R18" s="36">
        <f>VLOOKUP($A18,[29]HISTOOCT24!$A$6:$AU$38,46,0)</f>
        <v>0</v>
      </c>
      <c r="S18" s="36">
        <f>VLOOKUP($A18,[29]HISTOOCT24!$A$6:$AU$38,26,0)</f>
        <v>0</v>
      </c>
      <c r="T18" s="36">
        <f>VLOOKUP($A18,[29]HISTOOCT24!$A$6:$BG$38,58,0)</f>
        <v>0</v>
      </c>
      <c r="U18" s="36">
        <f>VLOOKUP($A18,[29]HISTOOCT24!$A$6:$AU$38,28,0)</f>
        <v>0</v>
      </c>
      <c r="V18" s="36">
        <f>VLOOKUP($A18,[29]HISTOOCT24!$A$6:$AU$38,19,0)</f>
        <v>0</v>
      </c>
      <c r="W18" s="36">
        <f>VLOOKUP($A18,[29]HISTOOCT24!$A$6:$AU$38,20,0)</f>
        <v>0</v>
      </c>
      <c r="X18" s="36">
        <f>VLOOKUP($A18,[29]HISTOOCT24!$A$6:$AU$38,27,0)</f>
        <v>0</v>
      </c>
      <c r="Y18" s="36">
        <f>VLOOKUP($A18,[29]HISTOOCT24!$A$6:$BM$38,33,0)</f>
        <v>0</v>
      </c>
      <c r="Z18" s="36">
        <f>VLOOKUP($A18,[29]HISTOOCT24!$A$6:$BM$38,65,0)</f>
        <v>0</v>
      </c>
      <c r="AA18" s="36"/>
      <c r="AB18" s="36">
        <f>VLOOKUP($A18,[29]HISTOOCT24!$A$6:$AU$38,43,0)</f>
        <v>0</v>
      </c>
      <c r="AC18" s="36">
        <f>VLOOKUP($A18,[29]HISTOOCT24!$A$6:$AU$38,44,0)</f>
        <v>0</v>
      </c>
      <c r="AD18" s="36">
        <f>VLOOKUP($A18,[29]HISTOOCT24!$A$6:$AU$38,47,0)</f>
        <v>0</v>
      </c>
      <c r="AE18" s="36">
        <f>VLOOKUP(A18,[29]HISTOOCT24!$A$6:$BB$38,54,0)</f>
        <v>0</v>
      </c>
      <c r="AF18" s="36">
        <f>VLOOKUP($A18,[29]HISTOOCT24!$A$6:$CB$38,60,0)</f>
        <v>0</v>
      </c>
      <c r="AG18" s="36">
        <f>VLOOKUP($A18,[29]HISTOOCT24!$A$6:$CB$38,61,0)</f>
        <v>0</v>
      </c>
      <c r="AH18" s="36">
        <f>VLOOKUP($A18,[29]HISTOOCT24!$A$6:$CB$38,62,0)</f>
        <v>0</v>
      </c>
      <c r="AI18" s="36">
        <f>VLOOKUP($A18,[29]HISTOOCT24!$A$6:$CB$38,63,0)</f>
        <v>0</v>
      </c>
      <c r="AJ18" s="36">
        <f>VLOOKUP($A18,[29]HISTOOCT24!$A$6:$CB$38,64,0)</f>
        <v>0</v>
      </c>
      <c r="AK18" s="36">
        <f>VLOOKUP($A18,[29]HISTOOCT24!$A$6:$CB$38,65,0)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MVTSEPT24!I19-E19+L19</f>
        <v>676217</v>
      </c>
      <c r="G19" s="5">
        <f>IF(MVTSEPT24!I19+L19&gt;700000,(MVTSEPT24!I19-E19+L19),0)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MVTSEPT24!I20-E20+L20</f>
        <v>190000</v>
      </c>
      <c r="G20" s="5">
        <f>IF(MVTSEPT24!I20+L20&gt;700000,(MVTSEPT24!I20-E20+L20),0)</f>
        <v>0</v>
      </c>
      <c r="H20" s="36">
        <f t="shared" si="0"/>
        <v>0</v>
      </c>
      <c r="I20" s="6">
        <f t="shared" si="2"/>
        <v>190000</v>
      </c>
      <c r="J20" s="36">
        <f>VLOOKUP($A20,[29]HISTOOCT24!$A$6:$AQ$42,22,0)</f>
        <v>0</v>
      </c>
      <c r="K20" s="36">
        <f>VLOOKUP($A20,[29]HISTOOCT24!$A$6:$AU$38,45,0)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VLOOKUP($A20,[29]HISTOOCT24!$A$6:$AU$38,7,0)</f>
        <v>0</v>
      </c>
      <c r="Q20" s="36">
        <f>VLOOKUP($A20,[29]HISTOOCT24!$A$6:$AU$38,23,0)</f>
        <v>0</v>
      </c>
      <c r="R20" s="36">
        <f>VLOOKUP($A20,[29]HISTOOCT24!$A$6:$AU$38,46,0)</f>
        <v>0</v>
      </c>
      <c r="S20" s="36">
        <f>VLOOKUP($A20,[29]HISTOOCT24!$A$6:$AU$38,26,0)</f>
        <v>0</v>
      </c>
      <c r="T20" s="36">
        <f>VLOOKUP($A20,[29]HISTOOCT24!$A$6:$BG$38,58,0)</f>
        <v>0</v>
      </c>
      <c r="U20" s="36">
        <f>VLOOKUP($A20,[29]HISTOOCT24!$A$6:$AU$38,28,0)</f>
        <v>0</v>
      </c>
      <c r="V20" s="36">
        <f>VLOOKUP($A20,[29]HISTOOCT24!$A$6:$AU$38,19,0)</f>
        <v>0</v>
      </c>
      <c r="W20" s="36">
        <f>VLOOKUP($A20,[29]HISTOOCT24!$A$6:$AU$38,20,0)</f>
        <v>0</v>
      </c>
      <c r="X20" s="36">
        <f>VLOOKUP($A20,[29]HISTOOCT24!$A$6:$AU$38,27,0)</f>
        <v>0</v>
      </c>
      <c r="Y20" s="36">
        <f>VLOOKUP($A20,[29]HISTOOCT24!$A$6:$BM$38,33,0)</f>
        <v>0</v>
      </c>
      <c r="Z20" s="36">
        <f>VLOOKUP($A20,[29]HISTOOCT24!$A$6:$BM$38,65,0)</f>
        <v>0</v>
      </c>
      <c r="AA20" s="36"/>
      <c r="AB20" s="36">
        <f>VLOOKUP($A20,[29]HISTOOCT24!$A$6:$AU$38,43,0)</f>
        <v>0</v>
      </c>
      <c r="AC20" s="36">
        <f>VLOOKUP($A20,[29]HISTOOCT24!$A$6:$AU$38,44,0)</f>
        <v>0</v>
      </c>
      <c r="AD20" s="36">
        <f>VLOOKUP($A20,[29]HISTOOCT24!$A$6:$AU$38,47,0)</f>
        <v>0</v>
      </c>
      <c r="AE20" s="36">
        <f>VLOOKUP(A20,[29]HISTOOCT24!$A$6:$BB$38,54,0)</f>
        <v>0</v>
      </c>
      <c r="AF20" s="36">
        <f>VLOOKUP($A20,[29]HISTOOCT24!$A$6:$CB$38,60,0)</f>
        <v>0</v>
      </c>
      <c r="AG20" s="36">
        <f>VLOOKUP($A20,[29]HISTOOCT24!$A$6:$CB$38,61,0)</f>
        <v>0</v>
      </c>
      <c r="AH20" s="36">
        <f>VLOOKUP($A20,[29]HISTOOCT24!$A$6:$CB$38,62,0)</f>
        <v>0</v>
      </c>
      <c r="AI20" s="36">
        <f>VLOOKUP($A20,[29]HISTOOCT24!$A$6:$CB$38,63,0)</f>
        <v>0</v>
      </c>
      <c r="AJ20" s="36">
        <f>VLOOKUP($A20,[29]HISTOOCT24!$A$6:$CB$38,64,0)</f>
        <v>0</v>
      </c>
      <c r="AK20" s="36">
        <f>VLOOKUP($A20,[29]HISTOOCT24!$A$6:$CB$38,65,0)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MVTSEPT24!I21-E21+L21</f>
        <v>979780.93650222523</v>
      </c>
      <c r="G21" s="5">
        <f>IF(MVTSEPT24!I21+L21&gt;700000,(MVTSEPT24!I21-E21+L21),0)</f>
        <v>979780.93650222523</v>
      </c>
      <c r="H21" s="36">
        <f t="shared" si="0"/>
        <v>0</v>
      </c>
      <c r="I21" s="6">
        <f t="shared" si="2"/>
        <v>979780.93650222523</v>
      </c>
      <c r="J21" s="36">
        <f>VLOOKUP($A21,[29]HISTOOCT24!$A$6:$AQ$42,22,0)</f>
        <v>0</v>
      </c>
      <c r="K21" s="36">
        <f>VLOOKUP($A21,[29]HISTOOCT24!$A$6:$AU$38,45,0)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VLOOKUP($A21,[29]HISTOOCT24!$A$6:$AU$38,7,0)</f>
        <v>0</v>
      </c>
      <c r="Q21" s="36">
        <f>VLOOKUP($A21,[29]HISTOOCT24!$A$6:$AU$38,23,0)</f>
        <v>0</v>
      </c>
      <c r="R21" s="36">
        <f>VLOOKUP($A21,[29]HISTOOCT24!$A$6:$AU$38,46,0)</f>
        <v>0</v>
      </c>
      <c r="S21" s="36">
        <f>VLOOKUP($A21,[29]HISTOOCT24!$A$6:$AU$38,26,0)</f>
        <v>0</v>
      </c>
      <c r="T21" s="36">
        <f>VLOOKUP($A21,[29]HISTOOCT24!$A$6:$BG$38,58,0)</f>
        <v>0</v>
      </c>
      <c r="U21" s="36">
        <f>VLOOKUP($A21,[29]HISTOOCT24!$A$6:$AU$38,28,0)</f>
        <v>0</v>
      </c>
      <c r="V21" s="36">
        <f>VLOOKUP($A21,[29]HISTOOCT24!$A$6:$AU$38,19,0)</f>
        <v>0</v>
      </c>
      <c r="W21" s="36">
        <f>VLOOKUP($A21,[29]HISTOOCT24!$A$6:$AU$38,20,0)</f>
        <v>0</v>
      </c>
      <c r="X21" s="36">
        <f>VLOOKUP($A21,[29]HISTOOCT24!$A$6:$AU$38,27,0)</f>
        <v>0</v>
      </c>
      <c r="Y21" s="36">
        <f>VLOOKUP($A21,[29]HISTOOCT24!$A$6:$BM$38,33,0)</f>
        <v>0</v>
      </c>
      <c r="Z21" s="36">
        <f>VLOOKUP($A21,[29]HISTOOCT24!$A$6:$BM$38,65,0)</f>
        <v>0</v>
      </c>
      <c r="AA21" s="36"/>
      <c r="AB21" s="36">
        <f>VLOOKUP($A21,[29]HISTOOCT24!$A$6:$AU$38,43,0)</f>
        <v>0</v>
      </c>
      <c r="AC21" s="36">
        <f>VLOOKUP($A21,[29]HISTOOCT24!$A$6:$AU$38,44,0)</f>
        <v>0</v>
      </c>
      <c r="AD21" s="36">
        <f>VLOOKUP($A21,[29]HISTOOCT24!$A$6:$AU$38,47,0)</f>
        <v>0</v>
      </c>
      <c r="AE21" s="36">
        <f>VLOOKUP(A21,[29]HISTOOCT24!$A$6:$BB$38,54,0)</f>
        <v>0</v>
      </c>
      <c r="AF21" s="36">
        <f>VLOOKUP($A21,[29]HISTOOCT24!$A$6:$CB$38,60,0)</f>
        <v>0</v>
      </c>
      <c r="AG21" s="36">
        <f>VLOOKUP($A21,[29]HISTOOCT24!$A$6:$CB$38,61,0)</f>
        <v>0</v>
      </c>
      <c r="AH21" s="36">
        <f>VLOOKUP($A21,[29]HISTOOCT24!$A$6:$CB$38,62,0)</f>
        <v>0</v>
      </c>
      <c r="AI21" s="36">
        <f>VLOOKUP($A21,[29]HISTOOCT24!$A$6:$CB$38,63,0)</f>
        <v>0</v>
      </c>
      <c r="AJ21" s="36">
        <f>VLOOKUP($A21,[29]HISTOOCT24!$A$6:$CB$38,64,0)</f>
        <v>0</v>
      </c>
      <c r="AK21" s="36">
        <f>VLOOKUP($A21,[29]HISTOOCT24!$A$6:$CB$38,65,0)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MVTSEPT24!I22-E22+L22</f>
        <v>948328.45476362517</v>
      </c>
      <c r="G22" s="5">
        <f>IF(MVTSEPT24!I22+L22&gt;700000,(MVTSEPT24!I22-E22+L22),0)</f>
        <v>948328.45476362517</v>
      </c>
      <c r="H22" s="36">
        <f t="shared" si="0"/>
        <v>0</v>
      </c>
      <c r="I22" s="6">
        <f t="shared" si="2"/>
        <v>948328.45476362517</v>
      </c>
      <c r="J22" s="36">
        <f>VLOOKUP($A22,[29]HISTOOCT24!$A$6:$AQ$42,22,0)</f>
        <v>0</v>
      </c>
      <c r="K22" s="36">
        <f>VLOOKUP($A22,[29]HISTOOCT24!$A$6:$AU$38,45,0)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VLOOKUP($A22,[29]HISTOOCT24!$A$6:$AU$38,7,0)</f>
        <v>0</v>
      </c>
      <c r="Q22" s="36">
        <f>VLOOKUP($A22,[29]HISTOOCT24!$A$6:$AU$38,23,0)</f>
        <v>0</v>
      </c>
      <c r="R22" s="36">
        <f>VLOOKUP($A22,[29]HISTOOCT24!$A$6:$AU$38,46,0)</f>
        <v>0</v>
      </c>
      <c r="S22" s="36">
        <f>VLOOKUP($A22,[29]HISTOOCT24!$A$6:$AU$38,26,0)</f>
        <v>0</v>
      </c>
      <c r="T22" s="36">
        <f>VLOOKUP($A22,[29]HISTOOCT24!$A$6:$BG$38,58,0)</f>
        <v>0</v>
      </c>
      <c r="U22" s="36">
        <f>VLOOKUP($A22,[29]HISTOOCT24!$A$6:$AU$38,28,0)</f>
        <v>0</v>
      </c>
      <c r="V22" s="36">
        <f>VLOOKUP($A22,[29]HISTOOCT24!$A$6:$AU$38,19,0)</f>
        <v>0</v>
      </c>
      <c r="W22" s="36">
        <f>VLOOKUP($A22,[29]HISTOOCT24!$A$6:$AU$38,20,0)</f>
        <v>0</v>
      </c>
      <c r="X22" s="36">
        <f>VLOOKUP($A22,[29]HISTOOCT24!$A$6:$AU$38,27,0)</f>
        <v>0</v>
      </c>
      <c r="Y22" s="36">
        <f>VLOOKUP($A22,[29]HISTOOCT24!$A$6:$BM$38,33,0)</f>
        <v>0</v>
      </c>
      <c r="Z22" s="36">
        <f>VLOOKUP($A22,[29]HISTOOCT24!$A$6:$BM$38,65,0)</f>
        <v>0</v>
      </c>
      <c r="AA22" s="36"/>
      <c r="AB22" s="36">
        <f>VLOOKUP($A22,[29]HISTOOCT24!$A$6:$AU$38,43,0)</f>
        <v>0</v>
      </c>
      <c r="AC22" s="36">
        <f>VLOOKUP($A22,[29]HISTOOCT24!$A$6:$AU$38,44,0)</f>
        <v>0</v>
      </c>
      <c r="AD22" s="36">
        <f>VLOOKUP($A22,[29]HISTOOCT24!$A$6:$AU$38,47,0)</f>
        <v>0</v>
      </c>
      <c r="AE22" s="36">
        <f>VLOOKUP(A22,[29]HISTOOCT24!$A$6:$BB$38,54,0)</f>
        <v>0</v>
      </c>
      <c r="AF22" s="36">
        <f>VLOOKUP($A22,[29]HISTOOCT24!$A$6:$CB$38,60,0)</f>
        <v>0</v>
      </c>
      <c r="AG22" s="36">
        <f>VLOOKUP($A22,[29]HISTOOCT24!$A$6:$CB$38,61,0)</f>
        <v>0</v>
      </c>
      <c r="AH22" s="36">
        <f>VLOOKUP($A22,[29]HISTOOCT24!$A$6:$CB$38,62,0)</f>
        <v>0</v>
      </c>
      <c r="AI22" s="36">
        <f>VLOOKUP($A22,[29]HISTOOCT24!$A$6:$CB$38,63,0)</f>
        <v>0</v>
      </c>
      <c r="AJ22" s="36">
        <f>VLOOKUP($A22,[29]HISTOOCT24!$A$6:$CB$38,64,0)</f>
        <v>0</v>
      </c>
      <c r="AK22" s="36">
        <f>VLOOKUP($A22,[29]HISTOOCT24!$A$6:$CB$38,65,0)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MVTSEPT24!I23-E23+L23</f>
        <v>1055413.1344334492</v>
      </c>
      <c r="G23" s="5">
        <f>IF(MVTSEPT24!I23+L23&gt;700000,(MVTSEPT24!I23-E23+L23),0)</f>
        <v>1055413.1344334492</v>
      </c>
      <c r="H23" s="36">
        <f t="shared" si="0"/>
        <v>0</v>
      </c>
      <c r="I23" s="6">
        <f t="shared" si="2"/>
        <v>1055413.1344334492</v>
      </c>
      <c r="J23" s="36">
        <f>VLOOKUP($A23,[29]HISTOOCT24!$A$6:$AQ$42,22,0)</f>
        <v>0</v>
      </c>
      <c r="K23" s="36">
        <f>VLOOKUP($A23,[29]HISTOOCT24!$A$6:$AU$38,45,0)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VLOOKUP($A23,[29]HISTOOCT24!$A$6:$AU$38,7,0)</f>
        <v>0</v>
      </c>
      <c r="Q23" s="36">
        <f>VLOOKUP($A23,[29]HISTOOCT24!$A$6:$AU$38,23,0)</f>
        <v>0</v>
      </c>
      <c r="R23" s="36">
        <f>VLOOKUP($A23,[29]HISTOOCT24!$A$6:$AU$38,46,0)</f>
        <v>0</v>
      </c>
      <c r="S23" s="36">
        <f>VLOOKUP($A23,[29]HISTOOCT24!$A$6:$AU$38,26,0)</f>
        <v>0</v>
      </c>
      <c r="T23" s="36">
        <f>VLOOKUP($A23,[29]HISTOOCT24!$A$6:$BG$38,58,0)</f>
        <v>0</v>
      </c>
      <c r="U23" s="36">
        <f>VLOOKUP($A23,[29]HISTOOCT24!$A$6:$AU$38,28,0)</f>
        <v>0</v>
      </c>
      <c r="V23" s="36">
        <f>VLOOKUP($A23,[29]HISTOOCT24!$A$6:$AU$38,19,0)</f>
        <v>0</v>
      </c>
      <c r="W23" s="36">
        <f>VLOOKUP($A23,[29]HISTOOCT24!$A$6:$AU$38,20,0)</f>
        <v>0</v>
      </c>
      <c r="X23" s="36">
        <f>VLOOKUP($A23,[29]HISTOOCT24!$A$6:$AU$38,27,0)</f>
        <v>0</v>
      </c>
      <c r="Y23" s="36">
        <f>VLOOKUP($A23,[29]HISTOOCT24!$A$6:$BM$38,33,0)</f>
        <v>0</v>
      </c>
      <c r="Z23" s="36">
        <f>VLOOKUP($A23,[29]HISTOOCT24!$A$6:$BM$38,65,0)</f>
        <v>0</v>
      </c>
      <c r="AA23" s="36"/>
      <c r="AB23" s="36">
        <f>VLOOKUP($A23,[29]HISTOOCT24!$A$6:$AU$38,43,0)</f>
        <v>0</v>
      </c>
      <c r="AC23" s="36">
        <f>VLOOKUP($A23,[29]HISTOOCT24!$A$6:$AU$38,44,0)</f>
        <v>0</v>
      </c>
      <c r="AD23" s="36">
        <f>VLOOKUP($A23,[29]HISTOOCT24!$A$6:$AU$38,47,0)</f>
        <v>0</v>
      </c>
      <c r="AE23" s="36">
        <f>VLOOKUP(A23,[29]HISTOOCT24!$A$6:$BB$38,54,0)</f>
        <v>0</v>
      </c>
      <c r="AF23" s="36">
        <f>VLOOKUP($A23,[29]HISTOOCT24!$A$6:$CB$38,60,0)</f>
        <v>0</v>
      </c>
      <c r="AG23" s="36">
        <f>VLOOKUP($A23,[29]HISTOOCT24!$A$6:$CB$38,61,0)</f>
        <v>0</v>
      </c>
      <c r="AH23" s="36">
        <f>VLOOKUP($A23,[29]HISTOOCT24!$A$6:$CB$38,62,0)</f>
        <v>0</v>
      </c>
      <c r="AI23" s="36">
        <f>VLOOKUP($A23,[29]HISTOOCT24!$A$6:$CB$38,63,0)</f>
        <v>0</v>
      </c>
      <c r="AJ23" s="36">
        <f>VLOOKUP($A23,[29]HISTOOCT24!$A$6:$CB$38,64,0)</f>
        <v>0</v>
      </c>
      <c r="AK23" s="36">
        <f>VLOOKUP($A23,[29]HISTOOCT24!$A$6:$CB$38,65,0)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MVTSEPT24!I24-E24+L24</f>
        <v>1310958.3213542646</v>
      </c>
      <c r="G24" s="5">
        <f>IF(MVTSEPT24!I24+L24&gt;700000,(MVTSEPT24!I24-E24+L24),0)</f>
        <v>1310958.3213542646</v>
      </c>
      <c r="H24" s="36">
        <f t="shared" si="0"/>
        <v>0</v>
      </c>
      <c r="I24" s="6">
        <f t="shared" si="2"/>
        <v>1310958.3213542646</v>
      </c>
      <c r="J24" s="36">
        <f>VLOOKUP($A24,[29]HISTOOCT24!$A$6:$AQ$42,22,0)</f>
        <v>0</v>
      </c>
      <c r="K24" s="36">
        <f>VLOOKUP($A24,[29]HISTOOCT24!$A$6:$AU$38,45,0)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VLOOKUP($A24,[29]HISTOOCT24!$A$6:$AU$38,7,0)</f>
        <v>0</v>
      </c>
      <c r="Q24" s="36">
        <f>VLOOKUP($A24,[29]HISTOOCT24!$A$6:$AU$38,23,0)</f>
        <v>0</v>
      </c>
      <c r="R24" s="36">
        <f>VLOOKUP($A24,[29]HISTOOCT24!$A$6:$AU$38,46,0)</f>
        <v>0</v>
      </c>
      <c r="S24" s="36">
        <f>VLOOKUP($A24,[29]HISTOOCT24!$A$6:$AU$38,26,0)</f>
        <v>0</v>
      </c>
      <c r="T24" s="36">
        <f>VLOOKUP($A24,[29]HISTOOCT24!$A$6:$BG$38,58,0)</f>
        <v>0</v>
      </c>
      <c r="U24" s="36">
        <f>VLOOKUP($A24,[29]HISTOOCT24!$A$6:$AU$38,28,0)</f>
        <v>0</v>
      </c>
      <c r="V24" s="36">
        <f>VLOOKUP($A24,[29]HISTOOCT24!$A$6:$AU$38,19,0)</f>
        <v>0</v>
      </c>
      <c r="W24" s="36">
        <f>VLOOKUP($A24,[29]HISTOOCT24!$A$6:$AU$38,20,0)</f>
        <v>0</v>
      </c>
      <c r="X24" s="36">
        <f>VLOOKUP($A24,[29]HISTOOCT24!$A$6:$AU$38,27,0)</f>
        <v>0</v>
      </c>
      <c r="Y24" s="36">
        <f>VLOOKUP($A24,[29]HISTOOCT24!$A$6:$BM$38,33,0)</f>
        <v>0</v>
      </c>
      <c r="Z24" s="36">
        <f>VLOOKUP($A24,[29]HISTOOCT24!$A$6:$BM$38,65,0)</f>
        <v>0</v>
      </c>
      <c r="AA24" s="36"/>
      <c r="AB24" s="36">
        <f>VLOOKUP($A24,[29]HISTOOCT24!$A$6:$AU$38,43,0)</f>
        <v>0</v>
      </c>
      <c r="AC24" s="36">
        <f>VLOOKUP($A24,[29]HISTOOCT24!$A$6:$AU$38,44,0)</f>
        <v>0</v>
      </c>
      <c r="AD24" s="36">
        <f>VLOOKUP($A24,[29]HISTOOCT24!$A$6:$AU$38,47,0)</f>
        <v>0</v>
      </c>
      <c r="AE24" s="36">
        <f>VLOOKUP(A24,[29]HISTOOCT24!$A$6:$BB$38,54,0)</f>
        <v>0</v>
      </c>
      <c r="AF24" s="36">
        <f>VLOOKUP($A24,[29]HISTOOCT24!$A$6:$CB$38,60,0)</f>
        <v>0</v>
      </c>
      <c r="AG24" s="36">
        <f>VLOOKUP($A24,[29]HISTOOCT24!$A$6:$CB$38,61,0)</f>
        <v>0</v>
      </c>
      <c r="AH24" s="36">
        <f>VLOOKUP($A24,[29]HISTOOCT24!$A$6:$CB$38,62,0)</f>
        <v>0</v>
      </c>
      <c r="AI24" s="36">
        <f>VLOOKUP($A24,[29]HISTOOCT24!$A$6:$CB$38,63,0)</f>
        <v>0</v>
      </c>
      <c r="AJ24" s="36">
        <f>VLOOKUP($A24,[29]HISTOOCT24!$A$6:$CB$38,64,0)</f>
        <v>0</v>
      </c>
      <c r="AK24" s="36">
        <f>VLOOKUP($A24,[29]HISTOOCT24!$A$6:$CB$38,65,0)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MVTSEPT24!I25-E25+L25</f>
        <v>1147568.0339793954</v>
      </c>
      <c r="G25" s="5">
        <f>IF(MVTSEPT24!I25+L25&gt;700000,(MVTSEPT24!I25-E25+L25),0)</f>
        <v>1147568.0339793954</v>
      </c>
      <c r="H25" s="36">
        <f t="shared" si="0"/>
        <v>0</v>
      </c>
      <c r="I25" s="6">
        <f t="shared" si="2"/>
        <v>1147568.0339793954</v>
      </c>
      <c r="J25" s="36">
        <f>VLOOKUP($A25,[29]HISTOOCT24!$A$6:$AQ$42,22,0)</f>
        <v>0</v>
      </c>
      <c r="K25" s="36">
        <f>VLOOKUP($A25,[29]HISTOOCT24!$A$6:$AU$38,45,0)</f>
        <v>25000</v>
      </c>
      <c r="L25" s="36">
        <f t="shared" si="3"/>
        <v>19000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VLOOKUP($A25,[29]HISTOOCT24!$A$6:$AU$38,7,0)</f>
        <v>3000</v>
      </c>
      <c r="Q25" s="36">
        <f>VLOOKUP($A25,[29]HISTOOCT24!$A$6:$AU$38,23,0)</f>
        <v>0</v>
      </c>
      <c r="R25" s="36">
        <f>VLOOKUP($A25,[29]HISTOOCT24!$A$6:$AU$38,46,0)</f>
        <v>0</v>
      </c>
      <c r="S25" s="36">
        <f>VLOOKUP($A25,[29]HISTOOCT24!$A$6:$AU$38,26,0)</f>
        <v>0</v>
      </c>
      <c r="T25" s="36">
        <f>VLOOKUP($A25,[29]HISTOOCT24!$A$6:$BG$38,58,0)</f>
        <v>0</v>
      </c>
      <c r="U25" s="36">
        <f>VLOOKUP($A25,[29]HISTOOCT24!$A$6:$AU$38,28,0)</f>
        <v>0</v>
      </c>
      <c r="V25" s="36">
        <f>VLOOKUP($A25,[29]HISTOOCT24!$A$6:$AU$38,19,0)</f>
        <v>0</v>
      </c>
      <c r="W25" s="36">
        <f>VLOOKUP($A25,[29]HISTOOCT24!$A$6:$AU$38,20,0)</f>
        <v>0</v>
      </c>
      <c r="X25" s="36">
        <f>VLOOKUP($A25,[29]HISTOOCT24!$A$6:$AU$38,27,0)</f>
        <v>0</v>
      </c>
      <c r="Y25" s="36">
        <f>VLOOKUP($A25,[29]HISTOOCT24!$A$6:$BM$38,33,0)</f>
        <v>0</v>
      </c>
      <c r="Z25" s="36">
        <f>VLOOKUP($A25,[29]HISTOOCT24!$A$6:$BM$38,65,0)</f>
        <v>0</v>
      </c>
      <c r="AA25" s="36"/>
      <c r="AB25" s="36">
        <f>VLOOKUP($A25,[29]HISTOOCT24!$A$6:$AU$38,43,0)</f>
        <v>0</v>
      </c>
      <c r="AC25" s="36">
        <f>VLOOKUP($A25,[29]HISTOOCT24!$A$6:$AU$38,44,0)</f>
        <v>0</v>
      </c>
      <c r="AD25" s="36">
        <f>VLOOKUP($A25,[29]HISTOOCT24!$A$6:$AU$38,47,0)</f>
        <v>0</v>
      </c>
      <c r="AE25" s="36">
        <f>VLOOKUP(A25,[29]HISTOOCT24!$A$6:$BB$38,54,0)</f>
        <v>0</v>
      </c>
      <c r="AF25" s="36">
        <f>VLOOKUP($A25,[29]HISTOOCT24!$A$6:$CB$38,60,0)</f>
        <v>0</v>
      </c>
      <c r="AG25" s="36">
        <f>VLOOKUP($A25,[29]HISTOOCT24!$A$6:$CB$38,61,0)</f>
        <v>0</v>
      </c>
      <c r="AH25" s="36">
        <f>VLOOKUP($A25,[29]HISTOOCT24!$A$6:$CB$38,62,0)</f>
        <v>0</v>
      </c>
      <c r="AI25" s="36">
        <f>VLOOKUP($A25,[29]HISTOOCT24!$A$6:$CB$38,63,0)</f>
        <v>0</v>
      </c>
      <c r="AJ25" s="36">
        <f>VLOOKUP($A25,[29]HISTOOCT24!$A$6:$CB$38,64,0)</f>
        <v>0</v>
      </c>
      <c r="AK25" s="36">
        <f>VLOOKUP($A25,[29]HISTOOCT24!$A$6:$CB$38,65,0)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MVTSEPT24!I26-E26+L26</f>
        <v>957594.46576428716</v>
      </c>
      <c r="G26" s="5">
        <f>IF(MVTSEPT24!I26+L26&gt;700000,(MVTSEPT24!I26-E26+L26),0)</f>
        <v>957594.46576428716</v>
      </c>
      <c r="H26" s="36">
        <f t="shared" si="0"/>
        <v>0</v>
      </c>
      <c r="I26" s="6">
        <f t="shared" si="2"/>
        <v>957594.46576428716</v>
      </c>
      <c r="J26" s="36">
        <f>VLOOKUP($A26,[29]HISTOOCT24!$A$6:$AQ$42,22,0)</f>
        <v>0</v>
      </c>
      <c r="K26" s="36">
        <f>VLOOKUP($A26,[29]HISTOOCT24!$A$6:$AU$38,45,0)</f>
        <v>14000</v>
      </c>
      <c r="L26" s="36">
        <f t="shared" si="3"/>
        <v>8000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VLOOKUP($A26,[29]HISTOOCT24!$A$6:$AU$38,7,0)</f>
        <v>0</v>
      </c>
      <c r="Q26" s="36">
        <f>VLOOKUP($A26,[29]HISTOOCT24!$A$6:$AU$38,23,0)</f>
        <v>0</v>
      </c>
      <c r="R26" s="36">
        <f>VLOOKUP($A26,[29]HISTOOCT24!$A$6:$AU$38,46,0)</f>
        <v>0</v>
      </c>
      <c r="S26" s="36">
        <f>VLOOKUP($A26,[29]HISTOOCT24!$A$6:$AU$38,26,0)</f>
        <v>0</v>
      </c>
      <c r="T26" s="36">
        <f>VLOOKUP($A26,[29]HISTOOCT24!$A$6:$BG$38,58,0)</f>
        <v>0</v>
      </c>
      <c r="U26" s="36">
        <f>VLOOKUP($A26,[29]HISTOOCT24!$A$6:$AU$38,28,0)</f>
        <v>0</v>
      </c>
      <c r="V26" s="36">
        <f>VLOOKUP($A26,[29]HISTOOCT24!$A$6:$AU$38,19,0)</f>
        <v>0</v>
      </c>
      <c r="W26" s="36">
        <f>VLOOKUP($A26,[29]HISTOOCT24!$A$6:$AU$38,20,0)</f>
        <v>0</v>
      </c>
      <c r="X26" s="36">
        <f>VLOOKUP($A26,[29]HISTOOCT24!$A$6:$AU$38,27,0)</f>
        <v>0</v>
      </c>
      <c r="Y26" s="36">
        <f>VLOOKUP($A26,[29]HISTOOCT24!$A$6:$BM$38,33,0)</f>
        <v>0</v>
      </c>
      <c r="Z26" s="36">
        <f>VLOOKUP($A26,[29]HISTOOCT24!$A$6:$BM$38,65,0)</f>
        <v>0</v>
      </c>
      <c r="AA26" s="36"/>
      <c r="AB26" s="36">
        <f>VLOOKUP($A26,[29]HISTOOCT24!$A$6:$AU$38,43,0)</f>
        <v>0</v>
      </c>
      <c r="AC26" s="36">
        <f>VLOOKUP($A26,[29]HISTOOCT24!$A$6:$AU$38,44,0)</f>
        <v>0</v>
      </c>
      <c r="AD26" s="36">
        <f>VLOOKUP($A26,[29]HISTOOCT24!$A$6:$AU$38,47,0)</f>
        <v>0</v>
      </c>
      <c r="AE26" s="36">
        <f>VLOOKUP(A26,[29]HISTOOCT24!$A$6:$BB$38,54,0)</f>
        <v>0</v>
      </c>
      <c r="AF26" s="36">
        <f>VLOOKUP($A26,[29]HISTOOCT24!$A$6:$CB$38,60,0)</f>
        <v>0</v>
      </c>
      <c r="AG26" s="36">
        <f>VLOOKUP($A26,[29]HISTOOCT24!$A$6:$CB$38,61,0)</f>
        <v>0</v>
      </c>
      <c r="AH26" s="36">
        <f>VLOOKUP($A26,[29]HISTOOCT24!$A$6:$CB$38,62,0)</f>
        <v>0</v>
      </c>
      <c r="AI26" s="36">
        <f>VLOOKUP($A26,[29]HISTOOCT24!$A$6:$CB$38,63,0)</f>
        <v>0</v>
      </c>
      <c r="AJ26" s="36">
        <f>VLOOKUP($A26,[29]HISTOOCT24!$A$6:$CB$38,64,0)</f>
        <v>0</v>
      </c>
      <c r="AK26" s="36">
        <f>VLOOKUP($A26,[29]HISTOOCT24!$A$6:$CB$38,65,0)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MVTSEPT24!I27-E27+L27</f>
        <v>969125.90438113711</v>
      </c>
      <c r="G27" s="5">
        <f>IF(MVTSEPT24!I27+L27&gt;700000,(MVTSEPT24!I27-E27+L27),0)</f>
        <v>969125.90438113711</v>
      </c>
      <c r="H27" s="36">
        <f t="shared" si="0"/>
        <v>0</v>
      </c>
      <c r="I27" s="6">
        <f t="shared" si="2"/>
        <v>969125.90438113711</v>
      </c>
      <c r="J27" s="36">
        <f>VLOOKUP($A27,[29]HISTOOCT24!$A$6:$AQ$42,22,0)</f>
        <v>0</v>
      </c>
      <c r="K27" s="36">
        <f>VLOOKUP($A27,[29]HISTOOCT24!$A$6:$AU$38,45,0)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VLOOKUP($A27,[29]HISTOOCT24!$A$6:$AU$38,7,0)</f>
        <v>0</v>
      </c>
      <c r="Q27" s="36">
        <f>VLOOKUP($A27,[29]HISTOOCT24!$A$6:$AU$38,23,0)</f>
        <v>0</v>
      </c>
      <c r="R27" s="36">
        <f>VLOOKUP($A27,[29]HISTOOCT24!$A$6:$AU$38,46,0)</f>
        <v>0</v>
      </c>
      <c r="S27" s="36">
        <f>VLOOKUP($A27,[29]HISTOOCT24!$A$6:$AU$38,26,0)</f>
        <v>0</v>
      </c>
      <c r="T27" s="36">
        <f>VLOOKUP($A27,[29]HISTOOCT24!$A$6:$BG$38,58,0)</f>
        <v>0</v>
      </c>
      <c r="U27" s="36">
        <f>VLOOKUP($A27,[29]HISTOOCT24!$A$6:$AU$38,28,0)</f>
        <v>0</v>
      </c>
      <c r="V27" s="36">
        <f>VLOOKUP($A27,[29]HISTOOCT24!$A$6:$AU$38,19,0)</f>
        <v>0</v>
      </c>
      <c r="W27" s="36">
        <f>VLOOKUP($A27,[29]HISTOOCT24!$A$6:$AU$38,20,0)</f>
        <v>0</v>
      </c>
      <c r="X27" s="36">
        <f>VLOOKUP($A27,[29]HISTOOCT24!$A$6:$AU$38,27,0)</f>
        <v>0</v>
      </c>
      <c r="Y27" s="36">
        <f>VLOOKUP($A27,[29]HISTOOCT24!$A$6:$BM$38,33,0)</f>
        <v>0</v>
      </c>
      <c r="Z27" s="36">
        <f>VLOOKUP($A27,[29]HISTOOCT24!$A$6:$BM$38,65,0)</f>
        <v>0</v>
      </c>
      <c r="AA27" s="36"/>
      <c r="AB27" s="36">
        <f>VLOOKUP($A27,[29]HISTOOCT24!$A$6:$AU$38,43,0)</f>
        <v>0</v>
      </c>
      <c r="AC27" s="36">
        <f>VLOOKUP($A27,[29]HISTOOCT24!$A$6:$AU$38,44,0)</f>
        <v>0</v>
      </c>
      <c r="AD27" s="36">
        <f>VLOOKUP($A27,[29]HISTOOCT24!$A$6:$AU$38,47,0)</f>
        <v>0</v>
      </c>
      <c r="AE27" s="36">
        <f>VLOOKUP(A27,[29]HISTOOCT24!$A$6:$BB$38,54,0)</f>
        <v>0</v>
      </c>
      <c r="AF27" s="36">
        <f>VLOOKUP($A27,[29]HISTOOCT24!$A$6:$CB$38,60,0)</f>
        <v>0</v>
      </c>
      <c r="AG27" s="36">
        <f>VLOOKUP($A27,[29]HISTOOCT24!$A$6:$CB$38,61,0)</f>
        <v>0</v>
      </c>
      <c r="AH27" s="36">
        <f>VLOOKUP($A27,[29]HISTOOCT24!$A$6:$CB$38,62,0)</f>
        <v>0</v>
      </c>
      <c r="AI27" s="36">
        <f>VLOOKUP($A27,[29]HISTOOCT24!$A$6:$CB$38,63,0)</f>
        <v>0</v>
      </c>
      <c r="AJ27" s="36">
        <f>VLOOKUP($A27,[29]HISTOOCT24!$A$6:$CB$38,64,0)</f>
        <v>0</v>
      </c>
      <c r="AK27" s="36">
        <f>VLOOKUP($A27,[29]HISTOOCT24!$A$6:$CB$38,65,0)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MVTSEPT24!I28-E28+L28</f>
        <v>868776.77366432885</v>
      </c>
      <c r="G28" s="5">
        <f>IF(MVTSEPT24!I28+L28&gt;700000,(MVTSEPT24!I28-E28+L28),0)</f>
        <v>868776.77366432885</v>
      </c>
      <c r="H28" s="36">
        <f t="shared" si="0"/>
        <v>0</v>
      </c>
      <c r="I28" s="6">
        <f t="shared" si="2"/>
        <v>868776.77366432885</v>
      </c>
      <c r="J28" s="36">
        <f>VLOOKUP($A28,[29]HISTOOCT24!$A$6:$AQ$42,22,0)</f>
        <v>0</v>
      </c>
      <c r="K28" s="36">
        <f>VLOOKUP($A28,[29]HISTOOCT24!$A$6:$AU$38,45,0)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VLOOKUP($A28,[29]HISTOOCT24!$A$6:$AU$38,7,0)</f>
        <v>0</v>
      </c>
      <c r="Q28" s="36">
        <f>VLOOKUP($A28,[29]HISTOOCT24!$A$6:$AU$38,23,0)</f>
        <v>0</v>
      </c>
      <c r="R28" s="36">
        <f>VLOOKUP($A28,[29]HISTOOCT24!$A$6:$AU$38,46,0)</f>
        <v>0</v>
      </c>
      <c r="S28" s="36">
        <f>VLOOKUP($A28,[29]HISTOOCT24!$A$6:$AU$38,26,0)</f>
        <v>0</v>
      </c>
      <c r="T28" s="36">
        <f>VLOOKUP($A28,[29]HISTOOCT24!$A$6:$BG$38,58,0)</f>
        <v>0</v>
      </c>
      <c r="U28" s="36">
        <f>VLOOKUP($A28,[29]HISTOOCT24!$A$6:$AU$38,28,0)</f>
        <v>0</v>
      </c>
      <c r="V28" s="36">
        <f>VLOOKUP($A28,[29]HISTOOCT24!$A$6:$AU$38,19,0)</f>
        <v>0</v>
      </c>
      <c r="W28" s="36">
        <f>VLOOKUP($A28,[29]HISTOOCT24!$A$6:$AU$38,20,0)</f>
        <v>0</v>
      </c>
      <c r="X28" s="36">
        <f>VLOOKUP($A28,[29]HISTOOCT24!$A$6:$AU$38,27,0)</f>
        <v>0</v>
      </c>
      <c r="Y28" s="36">
        <f>VLOOKUP($A28,[29]HISTOOCT24!$A$6:$BM$38,33,0)</f>
        <v>0</v>
      </c>
      <c r="Z28" s="36">
        <f>VLOOKUP($A28,[29]HISTOOCT24!$A$6:$BM$38,65,0)</f>
        <v>0</v>
      </c>
      <c r="AA28" s="36"/>
      <c r="AB28" s="36">
        <f>VLOOKUP($A28,[29]HISTOOCT24!$A$6:$AU$38,43,0)</f>
        <v>0</v>
      </c>
      <c r="AC28" s="36">
        <f>VLOOKUP($A28,[29]HISTOOCT24!$A$6:$AU$38,44,0)</f>
        <v>0</v>
      </c>
      <c r="AD28" s="36">
        <f>VLOOKUP($A28,[29]HISTOOCT24!$A$6:$AU$38,47,0)</f>
        <v>0</v>
      </c>
      <c r="AE28" s="36">
        <f>VLOOKUP(A28,[29]HISTOOCT24!$A$6:$BB$38,54,0)</f>
        <v>20000</v>
      </c>
      <c r="AF28" s="36">
        <f>VLOOKUP($A28,[29]HISTOOCT24!$A$6:$CB$38,60,0)</f>
        <v>0</v>
      </c>
      <c r="AG28" s="36">
        <f>VLOOKUP($A28,[29]HISTOOCT24!$A$6:$CB$38,61,0)</f>
        <v>0</v>
      </c>
      <c r="AH28" s="36">
        <f>VLOOKUP($A28,[29]HISTOOCT24!$A$6:$CB$38,62,0)</f>
        <v>0</v>
      </c>
      <c r="AI28" s="36">
        <f>VLOOKUP($A28,[29]HISTOOCT24!$A$6:$CB$38,63,0)</f>
        <v>0</v>
      </c>
      <c r="AJ28" s="36">
        <f>VLOOKUP($A28,[29]HISTOOCT24!$A$6:$CB$38,64,0)</f>
        <v>0</v>
      </c>
      <c r="AK28" s="36">
        <f>VLOOKUP($A28,[29]HISTOOCT24!$A$6:$CB$38,65,0)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MVTSEPT24!I29-E29+L29</f>
        <v>994233.52775813069</v>
      </c>
      <c r="G29" s="5">
        <f>IF(MVTSEPT24!I29+L29&gt;700000,(MVTSEPT24!I29-E29+L29),0)</f>
        <v>994233.52775813069</v>
      </c>
      <c r="H29" s="36">
        <f t="shared" si="0"/>
        <v>0</v>
      </c>
      <c r="I29" s="6">
        <f t="shared" si="2"/>
        <v>994233.52775813069</v>
      </c>
      <c r="J29" s="36">
        <f>VLOOKUP($A29,[29]HISTOOCT24!$A$6:$AQ$42,22,0)</f>
        <v>0</v>
      </c>
      <c r="K29" s="36">
        <f>VLOOKUP($A29,[29]HISTOOCT24!$A$6:$AU$38,45,0)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VLOOKUP($A29,[29]HISTOOCT24!$A$6:$AU$38,7,0)</f>
        <v>0</v>
      </c>
      <c r="Q29" s="36">
        <f>VLOOKUP($A29,[29]HISTOOCT24!$A$6:$AU$38,23,0)</f>
        <v>0</v>
      </c>
      <c r="R29" s="36">
        <f>VLOOKUP($A29,[29]HISTOOCT24!$A$6:$AU$38,46,0)</f>
        <v>0</v>
      </c>
      <c r="S29" s="36">
        <f>VLOOKUP($A29,[29]HISTOOCT24!$A$6:$AU$38,26,0)</f>
        <v>0</v>
      </c>
      <c r="T29" s="36">
        <f>VLOOKUP($A29,[29]HISTOOCT24!$A$6:$BG$38,58,0)</f>
        <v>0</v>
      </c>
      <c r="U29" s="36">
        <f>VLOOKUP($A29,[29]HISTOOCT24!$A$6:$AU$38,28,0)</f>
        <v>0</v>
      </c>
      <c r="V29" s="36">
        <f>VLOOKUP($A29,[29]HISTOOCT24!$A$6:$AU$38,19,0)</f>
        <v>0</v>
      </c>
      <c r="W29" s="36">
        <f>VLOOKUP($A29,[29]HISTOOCT24!$A$6:$AU$38,20,0)</f>
        <v>0</v>
      </c>
      <c r="X29" s="36">
        <f>VLOOKUP($A29,[29]HISTOOCT24!$A$6:$AU$38,27,0)</f>
        <v>0</v>
      </c>
      <c r="Y29" s="36">
        <f>VLOOKUP($A29,[29]HISTOOCT24!$A$6:$BM$38,33,0)</f>
        <v>0</v>
      </c>
      <c r="Z29" s="36">
        <f>VLOOKUP($A29,[29]HISTOOCT24!$A$6:$BM$38,65,0)</f>
        <v>0</v>
      </c>
      <c r="AA29" s="36"/>
      <c r="AB29" s="36">
        <f>VLOOKUP($A29,[29]HISTOOCT24!$A$6:$AU$38,43,0)</f>
        <v>0</v>
      </c>
      <c r="AC29" s="36">
        <f>VLOOKUP($A29,[29]HISTOOCT24!$A$6:$AU$38,44,0)</f>
        <v>0</v>
      </c>
      <c r="AD29" s="36">
        <f>VLOOKUP($A29,[29]HISTOOCT24!$A$6:$AU$38,47,0)</f>
        <v>0</v>
      </c>
      <c r="AE29" s="36">
        <f>VLOOKUP(A29,[29]HISTOOCT24!$A$6:$BB$38,54,0)</f>
        <v>0</v>
      </c>
      <c r="AF29" s="36">
        <f>VLOOKUP($A29,[29]HISTOOCT24!$A$6:$CB$38,60,0)</f>
        <v>0</v>
      </c>
      <c r="AG29" s="36">
        <f>VLOOKUP($A29,[29]HISTOOCT24!$A$6:$CB$38,61,0)</f>
        <v>0</v>
      </c>
      <c r="AH29" s="36">
        <f>VLOOKUP($A29,[29]HISTOOCT24!$A$6:$CB$38,62,0)</f>
        <v>0</v>
      </c>
      <c r="AI29" s="36">
        <f>VLOOKUP($A29,[29]HISTOOCT24!$A$6:$CB$38,63,0)</f>
        <v>0</v>
      </c>
      <c r="AJ29" s="36">
        <f>VLOOKUP($A29,[29]HISTOOCT24!$A$6:$CB$38,64,0)</f>
        <v>0</v>
      </c>
      <c r="AK29" s="36">
        <f>VLOOKUP($A29,[29]HISTOOCT24!$A$6:$CB$38,65,0)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MVTSEPT24!I30-E30+L30</f>
        <v>898746.60333112802</v>
      </c>
      <c r="G30" s="5">
        <f>IF(MVTSEPT24!I30+L30&gt;700000,(MVTSEPT24!I30-E30+L30),0)</f>
        <v>898746.60333112802</v>
      </c>
      <c r="H30" s="36">
        <f t="shared" si="0"/>
        <v>0</v>
      </c>
      <c r="I30" s="6">
        <f t="shared" si="2"/>
        <v>898746.60333112802</v>
      </c>
      <c r="J30" s="36">
        <f>VLOOKUP($A30,[29]HISTOOCT24!$A$6:$AQ$42,22,0)</f>
        <v>0</v>
      </c>
      <c r="K30" s="36">
        <f>VLOOKUP($A30,[29]HISTOOCT24!$A$6:$AU$38,45,0)</f>
        <v>25000</v>
      </c>
      <c r="L30" s="36">
        <f t="shared" si="3"/>
        <v>19000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VLOOKUP($A30,[29]HISTOOCT24!$A$6:$AU$38,7,0)</f>
        <v>0</v>
      </c>
      <c r="Q30" s="36">
        <f>VLOOKUP($A30,[29]HISTOOCT24!$A$6:$AU$38,23,0)</f>
        <v>0</v>
      </c>
      <c r="R30" s="36">
        <f>VLOOKUP($A30,[29]HISTOOCT24!$A$6:$AU$38,46,0)</f>
        <v>0</v>
      </c>
      <c r="S30" s="36">
        <f>VLOOKUP($A30,[29]HISTOOCT24!$A$6:$AU$38,26,0)</f>
        <v>0</v>
      </c>
      <c r="T30" s="36">
        <f>VLOOKUP($A30,[29]HISTOOCT24!$A$6:$BG$38,58,0)</f>
        <v>0</v>
      </c>
      <c r="U30" s="36">
        <f>VLOOKUP($A30,[29]HISTOOCT24!$A$6:$AU$38,28,0)</f>
        <v>0</v>
      </c>
      <c r="V30" s="36">
        <f>VLOOKUP($A30,[29]HISTOOCT24!$A$6:$AU$38,19,0)</f>
        <v>0</v>
      </c>
      <c r="W30" s="36">
        <f>VLOOKUP($A30,[29]HISTOOCT24!$A$6:$AU$38,20,0)</f>
        <v>0</v>
      </c>
      <c r="X30" s="36">
        <f>VLOOKUP($A30,[29]HISTOOCT24!$A$6:$AU$38,27,0)</f>
        <v>0</v>
      </c>
      <c r="Y30" s="36">
        <f>VLOOKUP($A30,[29]HISTOOCT24!$A$6:$BM$38,33,0)</f>
        <v>0</v>
      </c>
      <c r="Z30" s="36">
        <f>VLOOKUP($A30,[29]HISTOOCT24!$A$6:$BM$38,65,0)</f>
        <v>0</v>
      </c>
      <c r="AA30" s="36"/>
      <c r="AB30" s="36">
        <f>VLOOKUP($A30,[29]HISTOOCT24!$A$6:$AU$38,43,0)</f>
        <v>0</v>
      </c>
      <c r="AC30" s="36">
        <f>VLOOKUP($A30,[29]HISTOOCT24!$A$6:$AU$38,44,0)</f>
        <v>0</v>
      </c>
      <c r="AD30" s="36">
        <f>VLOOKUP($A30,[29]HISTOOCT24!$A$6:$AU$38,47,0)</f>
        <v>0</v>
      </c>
      <c r="AE30" s="36">
        <f>VLOOKUP(A30,[29]HISTOOCT24!$A$6:$BB$38,54,0)</f>
        <v>0</v>
      </c>
      <c r="AF30" s="36">
        <f>VLOOKUP($A30,[29]HISTOOCT24!$A$6:$CB$38,60,0)</f>
        <v>0</v>
      </c>
      <c r="AG30" s="36">
        <f>VLOOKUP($A30,[29]HISTOOCT24!$A$6:$CB$38,61,0)</f>
        <v>0</v>
      </c>
      <c r="AH30" s="36">
        <f>VLOOKUP($A30,[29]HISTOOCT24!$A$6:$CB$38,62,0)</f>
        <v>0</v>
      </c>
      <c r="AI30" s="36">
        <f>VLOOKUP($A30,[29]HISTOOCT24!$A$6:$CB$38,63,0)</f>
        <v>0</v>
      </c>
      <c r="AJ30" s="36">
        <f>VLOOKUP($A30,[29]HISTOOCT24!$A$6:$CB$38,64,0)</f>
        <v>0</v>
      </c>
      <c r="AK30" s="36">
        <f>VLOOKUP($A30,[29]HISTOOCT24!$A$6:$CB$38,65,0)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MVTSEPT24!I31-E31+L31</f>
        <v>1062703.8672143072</v>
      </c>
      <c r="G31" s="5">
        <f>IF(MVTSEPT24!I31+L31&gt;700000,(MVTSEPT24!I31-E31+L31),0)</f>
        <v>1062703.8672143072</v>
      </c>
      <c r="H31" s="36">
        <f t="shared" si="0"/>
        <v>0</v>
      </c>
      <c r="I31" s="6">
        <f t="shared" si="2"/>
        <v>1062703.8672143072</v>
      </c>
      <c r="J31" s="36">
        <f>VLOOKUP($A31,[29]HISTOOCT24!$A$6:$AQ$42,22,0)</f>
        <v>0</v>
      </c>
      <c r="K31" s="36">
        <f>VLOOKUP($A31,[29]HISTOOCT24!$A$6:$AU$38,45,0)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VLOOKUP($A31,[29]HISTOOCT24!$A$6:$AU$38,7,0)</f>
        <v>0</v>
      </c>
      <c r="Q31" s="36">
        <f>VLOOKUP($A31,[29]HISTOOCT24!$A$6:$AU$38,23,0)</f>
        <v>0</v>
      </c>
      <c r="R31" s="36">
        <f>VLOOKUP($A31,[29]HISTOOCT24!$A$6:$AU$38,46,0)</f>
        <v>0</v>
      </c>
      <c r="S31" s="36">
        <f>VLOOKUP($A31,[29]HISTOOCT24!$A$6:$AU$38,26,0)</f>
        <v>0</v>
      </c>
      <c r="T31" s="36">
        <f>VLOOKUP($A31,[29]HISTOOCT24!$A$6:$BG$38,58,0)</f>
        <v>0</v>
      </c>
      <c r="U31" s="36">
        <f>VLOOKUP($A31,[29]HISTOOCT24!$A$6:$AU$38,28,0)</f>
        <v>0</v>
      </c>
      <c r="V31" s="36">
        <f>VLOOKUP($A31,[29]HISTOOCT24!$A$6:$AU$38,19,0)</f>
        <v>0</v>
      </c>
      <c r="W31" s="36">
        <f>VLOOKUP($A31,[29]HISTOOCT24!$A$6:$AU$38,20,0)</f>
        <v>0</v>
      </c>
      <c r="X31" s="36">
        <f>VLOOKUP($A31,[29]HISTOOCT24!$A$6:$AU$38,27,0)</f>
        <v>0</v>
      </c>
      <c r="Y31" s="36">
        <f>VLOOKUP($A31,[29]HISTOOCT24!$A$6:$BM$38,33,0)</f>
        <v>0</v>
      </c>
      <c r="Z31" s="36">
        <f>VLOOKUP($A31,[29]HISTOOCT24!$A$6:$BM$38,65,0)</f>
        <v>0</v>
      </c>
      <c r="AA31" s="36"/>
      <c r="AB31" s="36">
        <f>VLOOKUP($A31,[29]HISTOOCT24!$A$6:$AU$38,43,0)</f>
        <v>0</v>
      </c>
      <c r="AC31" s="36">
        <f>VLOOKUP($A31,[29]HISTOOCT24!$A$6:$AU$38,44,0)</f>
        <v>0</v>
      </c>
      <c r="AD31" s="36">
        <f>VLOOKUP($A31,[29]HISTOOCT24!$A$6:$AU$38,47,0)</f>
        <v>0</v>
      </c>
      <c r="AE31" s="36">
        <f>VLOOKUP(A31,[29]HISTOOCT24!$A$6:$BB$38,54,0)</f>
        <v>0</v>
      </c>
      <c r="AF31" s="36">
        <f>VLOOKUP($A31,[29]HISTOOCT24!$A$6:$CB$38,60,0)</f>
        <v>0</v>
      </c>
      <c r="AG31" s="36">
        <f>VLOOKUP($A31,[29]HISTOOCT24!$A$6:$CB$38,61,0)</f>
        <v>0</v>
      </c>
      <c r="AH31" s="36">
        <f>VLOOKUP($A31,[29]HISTOOCT24!$A$6:$CB$38,62,0)</f>
        <v>0</v>
      </c>
      <c r="AI31" s="36">
        <f>VLOOKUP($A31,[29]HISTOOCT24!$A$6:$CB$38,63,0)</f>
        <v>0</v>
      </c>
      <c r="AJ31" s="36">
        <f>VLOOKUP($A31,[29]HISTOOCT24!$A$6:$CB$38,64,0)</f>
        <v>0</v>
      </c>
      <c r="AK31" s="36">
        <f>VLOOKUP($A31,[29]HISTOOCT24!$A$6:$CB$38,65,0)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MVTSEPT24!I32-E32+L32</f>
        <v>947828.10642654949</v>
      </c>
      <c r="G32" s="5">
        <f>IF(MVTSEPT24!I32+L32&gt;700000,(MVTSEPT24!I32-E32+L32),0)</f>
        <v>947828.10642654949</v>
      </c>
      <c r="H32" s="36">
        <f t="shared" si="0"/>
        <v>0</v>
      </c>
      <c r="I32" s="6">
        <f t="shared" si="2"/>
        <v>947828.10642654949</v>
      </c>
      <c r="J32" s="36">
        <f>VLOOKUP($A32,[29]HISTOOCT24!$A$6:$AQ$42,22,0)</f>
        <v>0</v>
      </c>
      <c r="K32" s="36">
        <f>VLOOKUP($A32,[29]HISTOOCT24!$A$6:$AU$38,45,0)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VLOOKUP($A32,[29]HISTOOCT24!$A$6:$AU$38,7,0)</f>
        <v>0</v>
      </c>
      <c r="Q32" s="36">
        <f>VLOOKUP($A32,[29]HISTOOCT24!$A$6:$AU$38,23,0)</f>
        <v>0</v>
      </c>
      <c r="R32" s="36">
        <f>VLOOKUP($A32,[29]HISTOOCT24!$A$6:$AU$38,46,0)</f>
        <v>0</v>
      </c>
      <c r="S32" s="36">
        <f>VLOOKUP($A32,[29]HISTOOCT24!$A$6:$AU$38,26,0)</f>
        <v>0</v>
      </c>
      <c r="T32" s="36">
        <f>VLOOKUP($A32,[29]HISTOOCT24!$A$6:$BG$38,58,0)</f>
        <v>0</v>
      </c>
      <c r="U32" s="36">
        <f>VLOOKUP($A32,[29]HISTOOCT24!$A$6:$AU$38,28,0)</f>
        <v>0</v>
      </c>
      <c r="V32" s="36">
        <f>VLOOKUP($A32,[29]HISTOOCT24!$A$6:$AU$38,19,0)</f>
        <v>0</v>
      </c>
      <c r="W32" s="36">
        <f>VLOOKUP($A32,[29]HISTOOCT24!$A$6:$AU$38,20,0)</f>
        <v>0</v>
      </c>
      <c r="X32" s="36">
        <f>VLOOKUP($A32,[29]HISTOOCT24!$A$6:$AU$38,27,0)</f>
        <v>0</v>
      </c>
      <c r="Y32" s="36">
        <f>VLOOKUP($A32,[29]HISTOOCT24!$A$6:$BM$38,33,0)</f>
        <v>0</v>
      </c>
      <c r="Z32" s="36">
        <f>VLOOKUP($A32,[29]HISTOOCT24!$A$6:$BM$38,65,0)</f>
        <v>0</v>
      </c>
      <c r="AA32" s="36"/>
      <c r="AB32" s="36">
        <f>VLOOKUP($A32,[29]HISTOOCT24!$A$6:$AU$38,43,0)</f>
        <v>0</v>
      </c>
      <c r="AC32" s="36">
        <f>VLOOKUP($A32,[29]HISTOOCT24!$A$6:$AU$38,44,0)</f>
        <v>0</v>
      </c>
      <c r="AD32" s="36">
        <f>VLOOKUP($A32,[29]HISTOOCT24!$A$6:$AU$38,47,0)</f>
        <v>0</v>
      </c>
      <c r="AE32" s="36">
        <f>VLOOKUP(A32,[29]HISTOOCT24!$A$6:$BB$38,54,0)</f>
        <v>0</v>
      </c>
      <c r="AF32" s="36">
        <f>VLOOKUP($A32,[29]HISTOOCT24!$A$6:$CB$38,60,0)</f>
        <v>0</v>
      </c>
      <c r="AG32" s="36">
        <f>VLOOKUP($A32,[29]HISTOOCT24!$A$6:$CB$38,61,0)</f>
        <v>0</v>
      </c>
      <c r="AH32" s="36">
        <f>VLOOKUP($A32,[29]HISTOOCT24!$A$6:$CB$38,62,0)</f>
        <v>0</v>
      </c>
      <c r="AI32" s="36">
        <f>VLOOKUP($A32,[29]HISTOOCT24!$A$6:$CB$38,63,0)</f>
        <v>0</v>
      </c>
      <c r="AJ32" s="36">
        <f>VLOOKUP($A32,[29]HISTOOCT24!$A$6:$CB$38,64,0)</f>
        <v>0</v>
      </c>
      <c r="AK32" s="36">
        <f>VLOOKUP($A32,[29]HISTOOCT24!$A$6:$CB$38,65,0)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MVTSEPT24!I33-E33+L33</f>
        <v>1953522.8569569683</v>
      </c>
      <c r="G33" s="5">
        <f>IF(MVTSEPT24!I33+L33&gt;700000,(MVTSEPT24!I33-E33+L33),0)</f>
        <v>1953522.8569569683</v>
      </c>
      <c r="H33" s="36">
        <f t="shared" si="0"/>
        <v>0</v>
      </c>
      <c r="I33" s="6">
        <f t="shared" si="2"/>
        <v>1953522.8569569683</v>
      </c>
      <c r="J33" s="36">
        <f>VLOOKUP($A33,[29]HISTOOCT24!$A$6:$AQ$42,22,0)</f>
        <v>0</v>
      </c>
      <c r="K33" s="36">
        <f>VLOOKUP($A33,[29]HISTOOCT24!$A$6:$AU$38,45,0)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VLOOKUP($A33,[29]HISTOOCT24!$A$6:$AU$38,7,0)</f>
        <v>0</v>
      </c>
      <c r="Q33" s="36">
        <f>VLOOKUP($A33,[29]HISTOOCT24!$A$6:$AU$38,23,0)</f>
        <v>0</v>
      </c>
      <c r="R33" s="36">
        <f>VLOOKUP($A33,[29]HISTOOCT24!$A$6:$AU$38,46,0)</f>
        <v>0</v>
      </c>
      <c r="S33" s="36">
        <f>VLOOKUP($A33,[29]HISTOOCT24!$A$6:$AU$38,26,0)</f>
        <v>0</v>
      </c>
      <c r="T33" s="36">
        <f>VLOOKUP($A33,[29]HISTOOCT24!$A$6:$BG$38,58,0)</f>
        <v>0</v>
      </c>
      <c r="U33" s="36">
        <f>VLOOKUP($A33,[29]HISTOOCT24!$A$6:$AU$38,28,0)</f>
        <v>0</v>
      </c>
      <c r="V33" s="36">
        <f>VLOOKUP($A33,[29]HISTOOCT24!$A$6:$AU$38,19,0)</f>
        <v>0</v>
      </c>
      <c r="W33" s="36">
        <f>VLOOKUP($A33,[29]HISTOOCT24!$A$6:$AU$38,20,0)</f>
        <v>0</v>
      </c>
      <c r="X33" s="36">
        <f>VLOOKUP($A33,[29]HISTOOCT24!$A$6:$AU$38,27,0)</f>
        <v>0</v>
      </c>
      <c r="Y33" s="36">
        <f>VLOOKUP($A33,[29]HISTOOCT24!$A$6:$BM$38,33,0)</f>
        <v>0</v>
      </c>
      <c r="Z33" s="36">
        <f>VLOOKUP($A33,[29]HISTOOCT24!$A$6:$BM$38,65,0)</f>
        <v>0</v>
      </c>
      <c r="AA33" s="36"/>
      <c r="AB33" s="36">
        <f>VLOOKUP($A33,[29]HISTOOCT24!$A$6:$AU$38,43,0)</f>
        <v>0</v>
      </c>
      <c r="AC33" s="36">
        <f>VLOOKUP($A33,[29]HISTOOCT24!$A$6:$AU$38,44,0)</f>
        <v>0</v>
      </c>
      <c r="AD33" s="36">
        <f>VLOOKUP($A33,[29]HISTOOCT24!$A$6:$AU$38,47,0)</f>
        <v>0</v>
      </c>
      <c r="AE33" s="36">
        <f>VLOOKUP(A33,[29]HISTOOCT24!$A$6:$BB$38,54,0)</f>
        <v>0</v>
      </c>
      <c r="AF33" s="36">
        <f>VLOOKUP($A33,[29]HISTOOCT24!$A$6:$CB$38,60,0)</f>
        <v>0</v>
      </c>
      <c r="AG33" s="36">
        <f>VLOOKUP($A33,[29]HISTOOCT24!$A$6:$CB$38,61,0)</f>
        <v>0</v>
      </c>
      <c r="AH33" s="36">
        <f>VLOOKUP($A33,[29]HISTOOCT24!$A$6:$CB$38,62,0)</f>
        <v>0</v>
      </c>
      <c r="AI33" s="36">
        <f>VLOOKUP($A33,[29]HISTOOCT24!$A$6:$CB$38,63,0)</f>
        <v>0</v>
      </c>
      <c r="AJ33" s="36">
        <f>VLOOKUP($A33,[29]HISTOOCT24!$A$6:$CB$38,64,0)</f>
        <v>0</v>
      </c>
      <c r="AK33" s="36">
        <f>VLOOKUP($A33,[29]HISTOOCT24!$A$6:$CB$38,65,0)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MVTSEPT24!I34-E34+L34</f>
        <v>914471.67114962125</v>
      </c>
      <c r="G34" s="5">
        <f>IF(MVTSEPT24!I34+L34&gt;700000,(MVTSEPT24!I34-E34+L34),0)</f>
        <v>914471.67114962125</v>
      </c>
      <c r="H34" s="36">
        <f t="shared" si="0"/>
        <v>0</v>
      </c>
      <c r="I34" s="6">
        <f t="shared" si="2"/>
        <v>914471.67114962125</v>
      </c>
      <c r="J34" s="36">
        <f>VLOOKUP($A34,[29]HISTOOCT24!$A$6:$AQ$42,22,0)</f>
        <v>0</v>
      </c>
      <c r="K34" s="36">
        <f>VLOOKUP($A34,[29]HISTOOCT24!$A$6:$AU$38,45,0)</f>
        <v>120000</v>
      </c>
      <c r="L34" s="36">
        <f t="shared" si="3"/>
        <v>114000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VLOOKUP($A34,[29]HISTOOCT24!$A$6:$AU$38,7,0)</f>
        <v>0</v>
      </c>
      <c r="Q34" s="36">
        <f>VLOOKUP($A34,[29]HISTOOCT24!$A$6:$AU$38,23,0)</f>
        <v>0</v>
      </c>
      <c r="R34" s="36">
        <f>VLOOKUP($A34,[29]HISTOOCT24!$A$6:$AU$38,46,0)</f>
        <v>0</v>
      </c>
      <c r="S34" s="36">
        <f>VLOOKUP($A34,[29]HISTOOCT24!$A$6:$AU$38,26,0)</f>
        <v>0</v>
      </c>
      <c r="T34" s="36">
        <f>VLOOKUP($A34,[29]HISTOOCT24!$A$6:$BG$38,58,0)</f>
        <v>0</v>
      </c>
      <c r="U34" s="36">
        <f>VLOOKUP($A34,[29]HISTOOCT24!$A$6:$AU$38,28,0)</f>
        <v>0</v>
      </c>
      <c r="V34" s="36">
        <f>VLOOKUP($A34,[29]HISTOOCT24!$A$6:$AU$38,19,0)</f>
        <v>0</v>
      </c>
      <c r="W34" s="36">
        <f>VLOOKUP($A34,[29]HISTOOCT24!$A$6:$AU$38,20,0)</f>
        <v>0</v>
      </c>
      <c r="X34" s="36">
        <f>VLOOKUP($A34,[29]HISTOOCT24!$A$6:$AU$38,27,0)</f>
        <v>0</v>
      </c>
      <c r="Y34" s="36">
        <f>VLOOKUP($A34,[29]HISTOOCT24!$A$6:$BM$38,33,0)</f>
        <v>0</v>
      </c>
      <c r="Z34" s="36">
        <f>VLOOKUP($A34,[29]HISTOOCT24!$A$6:$BM$38,65,0)</f>
        <v>0</v>
      </c>
      <c r="AA34" s="36"/>
      <c r="AB34" s="36">
        <f>VLOOKUP($A34,[29]HISTOOCT24!$A$6:$AU$38,43,0)</f>
        <v>0</v>
      </c>
      <c r="AC34" s="36">
        <f>VLOOKUP($A34,[29]HISTOOCT24!$A$6:$AU$38,44,0)</f>
        <v>0</v>
      </c>
      <c r="AD34" s="36">
        <f>VLOOKUP($A34,[29]HISTOOCT24!$A$6:$AU$38,47,0)</f>
        <v>0</v>
      </c>
      <c r="AE34" s="36">
        <f>VLOOKUP(A34,[29]HISTOOCT24!$A$6:$BB$38,54,0)</f>
        <v>0</v>
      </c>
      <c r="AF34" s="36">
        <f>VLOOKUP($A34,[29]HISTOOCT24!$A$6:$CB$38,60,0)</f>
        <v>0</v>
      </c>
      <c r="AG34" s="36">
        <f>VLOOKUP($A34,[29]HISTOOCT24!$A$6:$CB$38,61,0)</f>
        <v>0</v>
      </c>
      <c r="AH34" s="36">
        <f>VLOOKUP($A34,[29]HISTOOCT24!$A$6:$CB$38,62,0)</f>
        <v>0</v>
      </c>
      <c r="AI34" s="36">
        <f>VLOOKUP($A34,[29]HISTOOCT24!$A$6:$CB$38,63,0)</f>
        <v>0</v>
      </c>
      <c r="AJ34" s="36">
        <f>VLOOKUP($A34,[29]HISTOOCT24!$A$6:$CB$38,64,0)</f>
        <v>0</v>
      </c>
      <c r="AK34" s="36">
        <f>VLOOKUP($A34,[29]HISTOOCT24!$A$6:$CB$38,65,0)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MVTSEPT24!I35-E35+L35</f>
        <v>296250</v>
      </c>
      <c r="G35" s="5">
        <f>IF(MVTSEPT24!I35+L35&gt;700000,(MVTSEPT24!I35-E35+L35),0)</f>
        <v>0</v>
      </c>
      <c r="H35" s="36">
        <f t="shared" si="0"/>
        <v>0</v>
      </c>
      <c r="I35" s="6">
        <f t="shared" si="2"/>
        <v>296250</v>
      </c>
      <c r="J35" s="36">
        <f>VLOOKUP($A35,[29]HISTOOCT24!$A$6:$AQ$42,22,0)</f>
        <v>0</v>
      </c>
      <c r="K35" s="36">
        <f>VLOOKUP($A35,[29]HISTOOCT24!$A$6:$AU$38,45,0)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VLOOKUP($A35,[29]HISTOOCT24!$A$6:$AU$38,7,0)</f>
        <v>0</v>
      </c>
      <c r="Q35" s="36">
        <f>VLOOKUP($A35,[29]HISTOOCT24!$A$6:$AU$38,23,0)</f>
        <v>0</v>
      </c>
      <c r="R35" s="36">
        <f>VLOOKUP($A35,[29]HISTOOCT24!$A$6:$AU$38,46,0)</f>
        <v>0</v>
      </c>
      <c r="S35" s="36">
        <f>VLOOKUP($A35,[29]HISTOOCT24!$A$6:$AU$38,26,0)</f>
        <v>0</v>
      </c>
      <c r="T35" s="36">
        <f>VLOOKUP($A35,[29]HISTOOCT24!$A$6:$BG$38,58,0)</f>
        <v>0</v>
      </c>
      <c r="U35" s="36">
        <f>VLOOKUP($A35,[29]HISTOOCT24!$A$6:$AU$38,28,0)</f>
        <v>0</v>
      </c>
      <c r="V35" s="36">
        <f>VLOOKUP($A35,[29]HISTOOCT24!$A$6:$AU$38,19,0)</f>
        <v>0</v>
      </c>
      <c r="W35" s="36">
        <f>VLOOKUP($A35,[29]HISTOOCT24!$A$6:$AU$38,20,0)</f>
        <v>0</v>
      </c>
      <c r="X35" s="36">
        <f>VLOOKUP($A35,[29]HISTOOCT24!$A$6:$AU$38,27,0)</f>
        <v>0</v>
      </c>
      <c r="Y35" s="36">
        <f>VLOOKUP($A35,[29]HISTOOCT24!$A$6:$BM$38,33,0)</f>
        <v>0</v>
      </c>
      <c r="Z35" s="36">
        <f>VLOOKUP($A35,[29]HISTOOCT24!$A$6:$BM$38,65,0)</f>
        <v>0</v>
      </c>
      <c r="AA35" s="36"/>
      <c r="AB35" s="36">
        <f>VLOOKUP($A35,[29]HISTOOCT24!$A$6:$AU$38,43,0)</f>
        <v>0</v>
      </c>
      <c r="AC35" s="36">
        <f>VLOOKUP($A35,[29]HISTOOCT24!$A$6:$AU$38,44,0)</f>
        <v>0</v>
      </c>
      <c r="AD35" s="36">
        <f>VLOOKUP($A35,[29]HISTOOCT24!$A$6:$AU$38,47,0)</f>
        <v>0</v>
      </c>
      <c r="AE35" s="36">
        <f>VLOOKUP(A35,[29]HISTOOCT24!$A$6:$BB$38,54,0)</f>
        <v>0</v>
      </c>
      <c r="AF35" s="36">
        <f>VLOOKUP($A35,[29]HISTOOCT24!$A$6:$CB$38,60,0)</f>
        <v>0</v>
      </c>
      <c r="AG35" s="36">
        <f>VLOOKUP($A35,[29]HISTOOCT24!$A$6:$CB$38,61,0)</f>
        <v>0</v>
      </c>
      <c r="AH35" s="36">
        <f>VLOOKUP($A35,[29]HISTOOCT24!$A$6:$CB$38,62,0)</f>
        <v>0</v>
      </c>
      <c r="AI35" s="36">
        <f>VLOOKUP($A35,[29]HISTOOCT24!$A$6:$CB$38,63,0)</f>
        <v>0</v>
      </c>
      <c r="AJ35" s="36">
        <f>VLOOKUP($A35,[29]HISTOOCT24!$A$6:$CB$38,64,0)</f>
        <v>0</v>
      </c>
      <c r="AK35" s="36">
        <f>VLOOKUP($A35,[29]HISTOOCT24!$A$6:$CB$38,65,0)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MVTSEPT24!I36-E36+L36</f>
        <v>1045926.0852413145</v>
      </c>
      <c r="G36" s="5">
        <f>IF(MVTSEPT24!I36+L36&gt;700000,(MVTSEPT24!I36-E36+L36),0)</f>
        <v>1045926.0852413145</v>
      </c>
      <c r="H36" s="36">
        <f t="shared" si="0"/>
        <v>0</v>
      </c>
      <c r="I36" s="6">
        <f t="shared" si="2"/>
        <v>1045926.0852413145</v>
      </c>
      <c r="J36" s="36">
        <f>VLOOKUP($A36,[29]HISTOOCT24!$A$6:$AQ$42,22,0)</f>
        <v>0</v>
      </c>
      <c r="K36" s="36">
        <f>VLOOKUP($A36,[29]HISTOOCT24!$A$6:$AU$38,45,0)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VLOOKUP($A36,[29]HISTOOCT24!$A$6:$AU$38,7,0)</f>
        <v>0</v>
      </c>
      <c r="Q36" s="36">
        <f>VLOOKUP($A36,[29]HISTOOCT24!$A$6:$AU$38,23,0)</f>
        <v>0</v>
      </c>
      <c r="R36" s="36">
        <f>VLOOKUP($A36,[29]HISTOOCT24!$A$6:$AU$38,46,0)</f>
        <v>0</v>
      </c>
      <c r="S36" s="36">
        <f>VLOOKUP($A36,[29]HISTOOCT24!$A$6:$AU$38,26,0)</f>
        <v>0</v>
      </c>
      <c r="T36" s="36">
        <f>VLOOKUP($A36,[29]HISTOOCT24!$A$6:$BG$38,58,0)</f>
        <v>0</v>
      </c>
      <c r="U36" s="36">
        <f>VLOOKUP($A36,[29]HISTOOCT24!$A$6:$AU$38,28,0)</f>
        <v>0</v>
      </c>
      <c r="V36" s="36">
        <f>VLOOKUP($A36,[29]HISTOOCT24!$A$6:$AU$38,19,0)</f>
        <v>0</v>
      </c>
      <c r="W36" s="36">
        <f>VLOOKUP($A36,[29]HISTOOCT24!$A$6:$AU$38,20,0)</f>
        <v>0</v>
      </c>
      <c r="X36" s="36">
        <f>VLOOKUP($A36,[29]HISTOOCT24!$A$6:$AU$38,27,0)</f>
        <v>0</v>
      </c>
      <c r="Y36" s="36">
        <f>VLOOKUP($A36,[29]HISTOOCT24!$A$6:$BM$38,33,0)</f>
        <v>0</v>
      </c>
      <c r="Z36" s="36">
        <f>VLOOKUP($A36,[29]HISTOOCT24!$A$6:$BM$38,65,0)</f>
        <v>0</v>
      </c>
      <c r="AA36" s="36"/>
      <c r="AB36" s="36">
        <f>VLOOKUP($A36,[29]HISTOOCT24!$A$6:$AU$38,43,0)</f>
        <v>0</v>
      </c>
      <c r="AC36" s="36">
        <f>VLOOKUP($A36,[29]HISTOOCT24!$A$6:$AU$38,44,0)</f>
        <v>0</v>
      </c>
      <c r="AD36" s="36">
        <f>VLOOKUP($A36,[29]HISTOOCT24!$A$6:$AU$38,47,0)</f>
        <v>0</v>
      </c>
      <c r="AE36" s="36">
        <f>VLOOKUP(A36,[29]HISTOOCT24!$A$6:$BB$38,54,0)</f>
        <v>0</v>
      </c>
      <c r="AF36" s="36">
        <f>VLOOKUP($A36,[29]HISTOOCT24!$A$6:$CB$38,60,0)</f>
        <v>0</v>
      </c>
      <c r="AG36" s="36">
        <f>VLOOKUP($A36,[29]HISTOOCT24!$A$6:$CB$38,61,0)</f>
        <v>0</v>
      </c>
      <c r="AH36" s="36">
        <f>VLOOKUP($A36,[29]HISTOOCT24!$A$6:$CB$38,62,0)</f>
        <v>0</v>
      </c>
      <c r="AI36" s="36">
        <f>VLOOKUP($A36,[29]HISTOOCT24!$A$6:$CB$38,63,0)</f>
        <v>0</v>
      </c>
      <c r="AJ36" s="36">
        <f>VLOOKUP($A36,[29]HISTOOCT24!$A$6:$CB$38,64,0)</f>
        <v>0</v>
      </c>
      <c r="AK36" s="36">
        <f>VLOOKUP($A36,[29]HISTOOCT24!$A$6:$CB$38,65,0)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MVTSEPT24!I37-E37+L37</f>
        <v>2029595.1899778545</v>
      </c>
      <c r="G37" s="5">
        <f>IF(MVTSEPT24!I37+L37&gt;700000,(MVTSEPT24!I37-E37+L37),0)</f>
        <v>2029595.1899778545</v>
      </c>
      <c r="H37" s="36">
        <f t="shared" si="0"/>
        <v>0</v>
      </c>
      <c r="I37" s="6">
        <f t="shared" si="2"/>
        <v>2029595.1899778545</v>
      </c>
      <c r="J37" s="36">
        <f>VLOOKUP($A37,[29]HISTOOCT24!$A$6:$AQ$42,22,0)</f>
        <v>0</v>
      </c>
      <c r="K37" s="36">
        <f>VLOOKUP($A37,[29]HISTOOCT24!$A$6:$AU$38,45,0)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VLOOKUP($A37,[29]HISTOOCT24!$A$6:$AU$38,7,0)</f>
        <v>0</v>
      </c>
      <c r="Q37" s="36">
        <f>VLOOKUP($A37,[29]HISTOOCT24!$A$6:$AU$38,23,0)</f>
        <v>0</v>
      </c>
      <c r="R37" s="36">
        <f>VLOOKUP($A37,[29]HISTOOCT24!$A$6:$AU$38,46,0)</f>
        <v>0</v>
      </c>
      <c r="S37" s="36">
        <f>VLOOKUP($A37,[29]HISTOOCT24!$A$6:$AU$38,26,0)</f>
        <v>0</v>
      </c>
      <c r="T37" s="36">
        <f>VLOOKUP($A37,[29]HISTOOCT24!$A$6:$BG$38,58,0)</f>
        <v>0</v>
      </c>
      <c r="U37" s="36">
        <f>VLOOKUP($A37,[29]HISTOOCT24!$A$6:$AU$38,28,0)</f>
        <v>0</v>
      </c>
      <c r="V37" s="36">
        <f>VLOOKUP($A37,[29]HISTOOCT24!$A$6:$AU$38,19,0)</f>
        <v>0</v>
      </c>
      <c r="W37" s="36">
        <f>VLOOKUP($A37,[29]HISTOOCT24!$A$6:$AU$38,20,0)</f>
        <v>0</v>
      </c>
      <c r="X37" s="36">
        <f>VLOOKUP($A37,[29]HISTOOCT24!$A$6:$AU$38,27,0)</f>
        <v>0</v>
      </c>
      <c r="Y37" s="36">
        <f>VLOOKUP($A37,[29]HISTOOCT24!$A$6:$BM$38,33,0)</f>
        <v>0</v>
      </c>
      <c r="Z37" s="36">
        <f>VLOOKUP($A37,[29]HISTOOCT24!$A$6:$BM$38,65,0)</f>
        <v>0</v>
      </c>
      <c r="AA37" s="36"/>
      <c r="AB37" s="36">
        <f>VLOOKUP($A37,[29]HISTOOCT24!$A$6:$AU$38,43,0)</f>
        <v>0</v>
      </c>
      <c r="AC37" s="36">
        <f>VLOOKUP($A37,[29]HISTOOCT24!$A$6:$AU$38,44,0)</f>
        <v>0</v>
      </c>
      <c r="AD37" s="36">
        <f>VLOOKUP($A37,[29]HISTOOCT24!$A$6:$AU$38,47,0)</f>
        <v>0</v>
      </c>
      <c r="AE37" s="36">
        <f>VLOOKUP(A37,[29]HISTOOCT24!$A$6:$BB$38,54,0)</f>
        <v>0</v>
      </c>
      <c r="AF37" s="36">
        <f>VLOOKUP($A37,[29]HISTOOCT24!$A$6:$CB$38,60,0)</f>
        <v>0</v>
      </c>
      <c r="AG37" s="36">
        <f>VLOOKUP($A37,[29]HISTOOCT24!$A$6:$CB$38,61,0)</f>
        <v>0</v>
      </c>
      <c r="AH37" s="36">
        <f>VLOOKUP($A37,[29]HISTOOCT24!$A$6:$CB$38,62,0)</f>
        <v>0</v>
      </c>
      <c r="AI37" s="36">
        <f>VLOOKUP($A37,[29]HISTOOCT24!$A$6:$CB$38,63,0)</f>
        <v>0</v>
      </c>
      <c r="AJ37" s="36">
        <f>VLOOKUP($A37,[29]HISTOOCT24!$A$6:$CB$38,64,0)</f>
        <v>0</v>
      </c>
      <c r="AK37" s="36">
        <f>VLOOKUP($A37,[29]HISTOOCT24!$A$6:$CB$38,65,0)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MVTSEPT24!I38-E38+L38</f>
        <v>890513.53196415014</v>
      </c>
      <c r="G38" s="5">
        <f>IF(MVTSEPT24!I38+L38&gt;700000,(MVTSEPT24!I38-E38+L38),0)</f>
        <v>890513.53196415014</v>
      </c>
      <c r="H38" s="36">
        <f t="shared" si="0"/>
        <v>0</v>
      </c>
      <c r="I38" s="6">
        <f t="shared" si="2"/>
        <v>890513.53196415014</v>
      </c>
      <c r="J38" s="36">
        <f>VLOOKUP($A38,[29]HISTOOCT24!$A$6:$AQ$42,22,0)</f>
        <v>0</v>
      </c>
      <c r="K38" s="36">
        <f>VLOOKUP($A38,[29]HISTOOCT24!$A$6:$AU$38,45,0)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VLOOKUP($A38,[29]HISTOOCT24!$A$6:$AU$38,7,0)</f>
        <v>3000</v>
      </c>
      <c r="Q38" s="36">
        <f>VLOOKUP($A38,[29]HISTOOCT24!$A$6:$AU$38,23,0)</f>
        <v>0</v>
      </c>
      <c r="R38" s="36">
        <f>VLOOKUP($A38,[29]HISTOOCT24!$A$6:$AU$38,46,0)</f>
        <v>0</v>
      </c>
      <c r="S38" s="36">
        <f>VLOOKUP($A38,[29]HISTOOCT24!$A$6:$AU$38,26,0)</f>
        <v>0</v>
      </c>
      <c r="T38" s="36">
        <f>VLOOKUP($A38,[29]HISTOOCT24!$A$6:$BG$38,58,0)</f>
        <v>0</v>
      </c>
      <c r="U38" s="36">
        <f>VLOOKUP($A38,[29]HISTOOCT24!$A$6:$AU$38,28,0)</f>
        <v>0</v>
      </c>
      <c r="V38" s="36">
        <f>VLOOKUP($A38,[29]HISTOOCT24!$A$6:$AU$38,19,0)</f>
        <v>0</v>
      </c>
      <c r="W38" s="36">
        <f>VLOOKUP($A38,[29]HISTOOCT24!$A$6:$AU$38,20,0)</f>
        <v>0</v>
      </c>
      <c r="X38" s="36">
        <f>VLOOKUP($A38,[29]HISTOOCT24!$A$6:$AU$38,27,0)</f>
        <v>0</v>
      </c>
      <c r="Y38" s="36">
        <f>VLOOKUP($A38,[29]HISTOOCT24!$A$6:$BM$38,33,0)</f>
        <v>0</v>
      </c>
      <c r="Z38" s="36">
        <f>VLOOKUP($A38,[29]HISTOOCT24!$A$6:$BM$38,65,0)</f>
        <v>0</v>
      </c>
      <c r="AA38" s="36"/>
      <c r="AB38" s="36">
        <f>VLOOKUP($A38,[29]HISTOOCT24!$A$6:$AU$38,43,0)</f>
        <v>0</v>
      </c>
      <c r="AC38" s="36">
        <f>VLOOKUP($A38,[29]HISTOOCT24!$A$6:$AU$38,44,0)</f>
        <v>0</v>
      </c>
      <c r="AD38" s="36">
        <f>VLOOKUP($A38,[29]HISTOOCT24!$A$6:$AU$38,47,0)</f>
        <v>0</v>
      </c>
      <c r="AE38" s="36">
        <f>VLOOKUP(A38,[29]HISTOOCT24!$A$6:$BB$38,54,0)</f>
        <v>0</v>
      </c>
      <c r="AF38" s="36">
        <f>VLOOKUP($A38,[29]HISTOOCT24!$A$6:$CB$38,60,0)</f>
        <v>0</v>
      </c>
      <c r="AG38" s="36">
        <f>VLOOKUP($A38,[29]HISTOOCT24!$A$6:$CB$38,61,0)</f>
        <v>0</v>
      </c>
      <c r="AH38" s="36">
        <f>VLOOKUP($A38,[29]HISTOOCT24!$A$6:$CB$38,62,0)</f>
        <v>0</v>
      </c>
      <c r="AI38" s="36">
        <f>VLOOKUP($A38,[29]HISTOOCT24!$A$6:$CB$38,63,0)</f>
        <v>0</v>
      </c>
      <c r="AJ38" s="36">
        <f>VLOOKUP($A38,[29]HISTOOCT24!$A$6:$CB$38,64,0)</f>
        <v>0</v>
      </c>
      <c r="AK38" s="36">
        <f>VLOOKUP($A38,[29]HISTOOCT24!$A$6:$CB$38,65,0)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MVTSEPT24!I39-E39+L39</f>
        <v>2196296.8589817015</v>
      </c>
      <c r="G39" s="5">
        <f>IF(MVTSEPT24!I39+L39&gt;700000,(MVTSEPT24!I39-E39+L39),0)</f>
        <v>2196296.8589817015</v>
      </c>
      <c r="H39" s="36">
        <f t="shared" si="0"/>
        <v>0</v>
      </c>
      <c r="I39" s="6">
        <f t="shared" si="2"/>
        <v>2196296.8589817015</v>
      </c>
      <c r="J39" s="36">
        <f>VLOOKUP($A39,[29]HISTOOCT24!$A$6:$AQ$42,22,0)</f>
        <v>0</v>
      </c>
      <c r="K39" s="36">
        <f>VLOOKUP($A39,[29]HISTOOCT24!$A$6:$AU$38,45,0)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VLOOKUP($A39,[29]HISTOOCT24!$A$6:$AU$38,7,0)</f>
        <v>0</v>
      </c>
      <c r="Q39" s="36">
        <f>VLOOKUP($A39,[29]HISTOOCT24!$A$6:$AU$38,23,0)</f>
        <v>0</v>
      </c>
      <c r="R39" s="36">
        <f>VLOOKUP($A39,[29]HISTOOCT24!$A$6:$AU$38,46,0)</f>
        <v>0</v>
      </c>
      <c r="S39" s="36">
        <f>VLOOKUP($A39,[29]HISTOOCT24!$A$6:$AU$38,26,0)</f>
        <v>0</v>
      </c>
      <c r="T39" s="36">
        <f>VLOOKUP($A39,[29]HISTOOCT24!$A$6:$BG$38,58,0)</f>
        <v>0</v>
      </c>
      <c r="U39" s="36">
        <f>VLOOKUP($A39,[29]HISTOOCT24!$A$6:$AU$38,28,0)</f>
        <v>0</v>
      </c>
      <c r="V39" s="36">
        <f>VLOOKUP($A39,[29]HISTOOCT24!$A$6:$AU$38,19,0)</f>
        <v>0</v>
      </c>
      <c r="W39" s="36">
        <f>VLOOKUP($A39,[29]HISTOOCT24!$A$6:$AU$38,20,0)</f>
        <v>0</v>
      </c>
      <c r="X39" s="36">
        <f>VLOOKUP($A39,[29]HISTOOCT24!$A$6:$AU$38,27,0)</f>
        <v>0</v>
      </c>
      <c r="Y39" s="36">
        <f>VLOOKUP($A39,[29]HISTOOCT24!$A$6:$BM$38,33,0)</f>
        <v>0</v>
      </c>
      <c r="Z39" s="36">
        <f>VLOOKUP($A39,[29]HISTOOCT24!$A$6:$BM$38,65,0)</f>
        <v>0</v>
      </c>
      <c r="AA39" s="36"/>
      <c r="AB39" s="36">
        <f>VLOOKUP($A39,[29]HISTOOCT24!$A$6:$AU$38,43,0)</f>
        <v>0</v>
      </c>
      <c r="AC39" s="36">
        <f>VLOOKUP($A39,[29]HISTOOCT24!$A$6:$AU$38,44,0)</f>
        <v>0</v>
      </c>
      <c r="AD39" s="36">
        <f>VLOOKUP($A39,[29]HISTOOCT24!$A$6:$AU$38,47,0)</f>
        <v>0</v>
      </c>
      <c r="AE39" s="36">
        <f>VLOOKUP(A39,[29]HISTOOCT24!$A$6:$BB$38,54,0)</f>
        <v>0</v>
      </c>
      <c r="AF39" s="36">
        <f>VLOOKUP($A39,[29]HISTOOCT24!$A$6:$CB$38,60,0)</f>
        <v>0</v>
      </c>
      <c r="AG39" s="36">
        <f>VLOOKUP($A39,[29]HISTOOCT24!$A$6:$CB$38,61,0)</f>
        <v>0</v>
      </c>
      <c r="AH39" s="36">
        <f>VLOOKUP($A39,[29]HISTOOCT24!$A$6:$CB$38,62,0)</f>
        <v>0</v>
      </c>
      <c r="AI39" s="36">
        <f>VLOOKUP($A39,[29]HISTOOCT24!$A$6:$CB$38,63,0)</f>
        <v>0</v>
      </c>
      <c r="AJ39" s="36">
        <f>VLOOKUP($A39,[29]HISTOOCT24!$A$6:$CB$38,64,0)</f>
        <v>0</v>
      </c>
      <c r="AK39" s="36">
        <f>VLOOKUP($A39,[29]HISTOOCT24!$A$6:$CB$38,65,0)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35800406.073121913</v>
      </c>
      <c r="G41" s="9">
        <f t="shared" si="10"/>
        <v>34637939.073121913</v>
      </c>
      <c r="H41" s="36">
        <f t="shared" si="10"/>
        <v>0</v>
      </c>
      <c r="I41" s="9">
        <f t="shared" si="10"/>
        <v>35800406.073121913</v>
      </c>
      <c r="J41" s="9">
        <f t="shared" si="10"/>
        <v>0</v>
      </c>
      <c r="K41" s="9">
        <f t="shared" si="10"/>
        <v>926000</v>
      </c>
      <c r="L41" s="9">
        <f t="shared" si="10"/>
        <v>734000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6000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0</v>
      </c>
      <c r="U41" s="9">
        <f t="shared" si="10"/>
        <v>0</v>
      </c>
      <c r="V41" s="9">
        <f t="shared" si="10"/>
        <v>100000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20000</v>
      </c>
      <c r="AF41" s="9">
        <f t="shared" si="10"/>
        <v>6000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0</v>
      </c>
    </row>
    <row r="44" spans="1:38" x14ac:dyDescent="0.35">
      <c r="G44" s="2"/>
    </row>
  </sheetData>
  <autoFilter ref="A5:V39" xr:uid="{00000000-0009-0000-0000-00000F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M44"/>
  <sheetViews>
    <sheetView workbookViewId="0">
      <pane xSplit="2" ySplit="5" topLeftCell="H33" activePane="bottomRight" state="frozen"/>
      <selection activeCell="B43" sqref="B43"/>
      <selection pane="topRight" activeCell="B43" sqref="B43"/>
      <selection pane="bottomLeft" activeCell="B43" sqref="B43"/>
      <selection pane="bottomRight" activeCell="A35" sqref="A35:XFD3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ht="26" x14ac:dyDescent="0.6">
      <c r="B4" s="16"/>
      <c r="C4" s="16"/>
      <c r="D4" s="16"/>
      <c r="E4" s="16"/>
      <c r="F4" s="16"/>
      <c r="G4" s="16"/>
      <c r="H4" s="16"/>
      <c r="I4" s="16"/>
      <c r="J4" s="156"/>
      <c r="K4" s="192">
        <v>45613</v>
      </c>
      <c r="L4" s="192"/>
      <c r="M4" s="192"/>
      <c r="N4" s="192"/>
      <c r="O4" s="192"/>
      <c r="P4" s="192"/>
      <c r="Q4"/>
      <c r="R4"/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VLOOKUP($A6,[29]HISTONOV24!$A$6:$BA$38,48,0)</f>
        <v>0</v>
      </c>
      <c r="F6" s="36">
        <f>MVTOCT24!I6-E6+L6</f>
        <v>956486.33111614815</v>
      </c>
      <c r="G6" s="5">
        <f>IF(MVTOCT24!I6+L6&gt;700000,(MVTOCT24!I6-E6+L6),0)</f>
        <v>956486.33111614815</v>
      </c>
      <c r="H6" s="36">
        <f t="shared" ref="H6:H39" si="0">$T$41/$G$41*G6</f>
        <v>271.12490128421814</v>
      </c>
      <c r="I6" s="6">
        <f>F6+H6</f>
        <v>956757.45601743239</v>
      </c>
      <c r="J6" s="36">
        <f>VLOOKUP($A6,[29]HISTONOV24!$A$6:$AQ$42,22,0)</f>
        <v>0</v>
      </c>
      <c r="K6" s="36">
        <f>VLOOKUP($A6,[29]HISTONOV24!$A$6:$AU$38,45,0)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VLOOKUP($A6,[29]HISTONOV24!$A$6:$AU$38,7,0)</f>
        <v>0</v>
      </c>
      <c r="Q6" s="36">
        <f>VLOOKUP($A6,[29]HISTONOV24!$A$6:$AU$38,23,0)</f>
        <v>0</v>
      </c>
      <c r="R6" s="36">
        <f>VLOOKUP($A6,[29]HISTONOV24!$A$6:$AU$38,46,0)</f>
        <v>0</v>
      </c>
      <c r="S6" s="36">
        <f>VLOOKUP($A6,[29]HISTONOV24!$A$6:$AU$38,26,0)</f>
        <v>0</v>
      </c>
      <c r="T6" s="36">
        <f>VLOOKUP($A6,[29]HISTONOV24!$A$6:$BG$38,58,0)</f>
        <v>0</v>
      </c>
      <c r="U6" s="36">
        <f>VLOOKUP($A6,[29]HISTONOV24!$A$6:$AU$38,28,0)</f>
        <v>0</v>
      </c>
      <c r="V6" s="36">
        <f>VLOOKUP($A6,[29]HISTONOV24!$A$6:$AU$38,19,0)</f>
        <v>0</v>
      </c>
      <c r="W6" s="36">
        <f>VLOOKUP($A6,[29]HISTONOV24!$A$6:$AU$38,20,0)</f>
        <v>0</v>
      </c>
      <c r="X6" s="36">
        <f>VLOOKUP($A6,[29]HISTONOV24!$A$6:$AU$38,27,0)</f>
        <v>0</v>
      </c>
      <c r="Y6" s="36">
        <f>VLOOKUP($A6,[29]HISTONOV24!$A$6:$BM$38,33,0)</f>
        <v>0</v>
      </c>
      <c r="Z6" s="36">
        <f>VLOOKUP($A6,[29]HISTONOV24!$A$6:$BM$38,65,0)</f>
        <v>0</v>
      </c>
      <c r="AA6" s="36"/>
      <c r="AB6" s="36">
        <f>VLOOKUP($A6,[29]HISTONOV24!$A$6:$AU$38,43,0)</f>
        <v>0</v>
      </c>
      <c r="AC6" s="36">
        <f>VLOOKUP($A6,[29]HISTONOV24!$A$6:$AU$38,44,0)</f>
        <v>0</v>
      </c>
      <c r="AD6" s="36">
        <f>VLOOKUP($A6,[29]HISTONOV24!$A$6:$AU$38,47,0)</f>
        <v>0</v>
      </c>
      <c r="AE6" s="36">
        <f>VLOOKUP(A6,[29]HISTONOV24!$A$6:$BB$38,54,0)</f>
        <v>0</v>
      </c>
      <c r="AF6" s="36">
        <f>VLOOKUP($A6,[29]HISTONOV24!$A$6:$CB$38,60,0)</f>
        <v>56000</v>
      </c>
      <c r="AG6" s="36">
        <f>VLOOKUP($A6,[29]HISTONOV24!$A$6:$CB$38,61,0)</f>
        <v>0</v>
      </c>
      <c r="AH6" s="36">
        <f>VLOOKUP($A6,[29]HISTONOV24!$A$6:$CB$38,62,0)</f>
        <v>100000</v>
      </c>
      <c r="AI6" s="36">
        <f>VLOOKUP($A6,[29]HISTONOV24!$A$6:$CB$38,63,0)</f>
        <v>0</v>
      </c>
      <c r="AJ6" s="36">
        <f>VLOOKUP($A6,[29]HISTONOV24!$A$6:$CB$38,64,0)</f>
        <v>0</v>
      </c>
      <c r="AK6" s="36">
        <f>VLOOKUP($A6,[29]HISTONOV24!$A$6:$CB$38,65,0)</f>
        <v>0</v>
      </c>
      <c r="AL6" s="36">
        <f>VLOOKUP($A6,[29]HISTONOV24!$A$6:$CB$38,66,0)</f>
        <v>2000000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VLOOKUP($A7,[29]HISTONOV24!$A$6:$BA$38,48,0)</f>
        <v>0</v>
      </c>
      <c r="F7" s="36">
        <f>MVTOCT24!I7-E7+L7</f>
        <v>908696.43880443554</v>
      </c>
      <c r="G7" s="5">
        <f>IF(MVTOCT24!I7+L7&gt;700000,(MVTOCT24!I7-E7+L7),0)</f>
        <v>908696.43880443554</v>
      </c>
      <c r="H7" s="36">
        <f t="shared" si="0"/>
        <v>257.57841409053646</v>
      </c>
      <c r="I7" s="6">
        <f t="shared" ref="I7:I39" si="2">F7+H7</f>
        <v>908954.0172185261</v>
      </c>
      <c r="J7" s="36">
        <f>VLOOKUP($A7,[29]HISTONOV24!$A$6:$AQ$42,22,0)</f>
        <v>0</v>
      </c>
      <c r="K7" s="36">
        <f>VLOOKUP($A7,[29]HISTONOV24!$A$6:$AU$38,45,0)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VLOOKUP($A7,[29]HISTONOV24!$A$6:$AU$38,7,0)</f>
        <v>0</v>
      </c>
      <c r="Q7" s="36">
        <f>VLOOKUP($A7,[29]HISTONOV24!$A$6:$AU$38,23,0)</f>
        <v>0</v>
      </c>
      <c r="R7" s="36">
        <f>VLOOKUP($A7,[29]HISTONOV24!$A$6:$AU$38,46,0)</f>
        <v>0</v>
      </c>
      <c r="S7" s="36">
        <f>VLOOKUP($A7,[29]HISTONOV24!$A$6:$AU$38,26,0)</f>
        <v>0</v>
      </c>
      <c r="T7" s="36">
        <f>VLOOKUP($A7,[29]HISTONOV24!$A$6:$BG$38,58,0)</f>
        <v>0</v>
      </c>
      <c r="U7" s="36">
        <f>VLOOKUP($A7,[29]HISTONOV24!$A$6:$AU$38,28,0)</f>
        <v>0</v>
      </c>
      <c r="V7" s="36">
        <f>VLOOKUP($A7,[29]HISTONOV24!$A$6:$AU$38,19,0)</f>
        <v>0</v>
      </c>
      <c r="W7" s="36">
        <f>VLOOKUP($A7,[29]HISTONOV24!$A$6:$AU$38,20,0)</f>
        <v>0</v>
      </c>
      <c r="X7" s="36">
        <f>VLOOKUP($A7,[29]HISTONOV24!$A$6:$AU$38,27,0)</f>
        <v>0</v>
      </c>
      <c r="Y7" s="36">
        <f>VLOOKUP($A7,[29]HISTONOV24!$A$6:$BM$38,33,0)</f>
        <v>0</v>
      </c>
      <c r="Z7" s="36">
        <f>VLOOKUP($A7,[29]HISTONOV24!$A$6:$BM$38,65,0)</f>
        <v>0</v>
      </c>
      <c r="AA7" s="36"/>
      <c r="AB7" s="36">
        <f>VLOOKUP($A7,[29]HISTONOV24!$A$6:$AU$38,43,0)</f>
        <v>0</v>
      </c>
      <c r="AC7" s="36">
        <f>VLOOKUP($A7,[29]HISTONOV24!$A$6:$AU$38,44,0)</f>
        <v>0</v>
      </c>
      <c r="AD7" s="36">
        <f>VLOOKUP($A7,[29]HISTONOV24!$A$6:$AU$38,47,0)</f>
        <v>0</v>
      </c>
      <c r="AE7" s="36">
        <f>VLOOKUP(A7,[29]HISTONOV24!$A$6:$BB$38,54,0)</f>
        <v>0</v>
      </c>
      <c r="AF7" s="36">
        <f>VLOOKUP($A7,[29]HISTONOV24!$A$6:$CB$38,60,0)</f>
        <v>0</v>
      </c>
      <c r="AG7" s="36">
        <f>VLOOKUP($A7,[29]HISTONOV24!$A$6:$CB$38,61,0)</f>
        <v>0</v>
      </c>
      <c r="AH7" s="36">
        <f>VLOOKUP($A7,[29]HISTONOV24!$A$6:$CB$38,62,0)</f>
        <v>0</v>
      </c>
      <c r="AI7" s="36">
        <f>VLOOKUP($A7,[29]HISTONOV24!$A$6:$CB$38,63,0)</f>
        <v>0</v>
      </c>
      <c r="AJ7" s="36">
        <f>VLOOKUP($A7,[29]HISTONOV24!$A$6:$CB$38,64,0)</f>
        <v>0</v>
      </c>
      <c r="AK7" s="36">
        <f>VLOOKUP($A7,[29]HISTONOV24!$A$6:$CB$38,65,0)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VLOOKUP($A8,[29]HISTONOV24!$A$6:$BA$38,48,0)</f>
        <v>0</v>
      </c>
      <c r="F8" s="36">
        <f>MVTOCT24!I8-E8+L8</f>
        <v>963073.24045783479</v>
      </c>
      <c r="G8" s="5">
        <f>IF(MVTOCT24!I8+L8&gt;700000,(MVTOCT24!I8-E8+L8),0)</f>
        <v>963073.24045783479</v>
      </c>
      <c r="H8" s="36">
        <f t="shared" si="0"/>
        <v>272.99202168827964</v>
      </c>
      <c r="I8" s="6">
        <f t="shared" si="2"/>
        <v>963346.23247952305</v>
      </c>
      <c r="J8" s="36">
        <f>VLOOKUP($A8,[29]HISTONOV24!$A$6:$AQ$42,22,0)</f>
        <v>0</v>
      </c>
      <c r="K8" s="36">
        <f>VLOOKUP($A8,[29]HISTONOV24!$A$6:$AU$38,45,0)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VLOOKUP($A8,[29]HISTONOV24!$A$6:$AU$38,7,0)</f>
        <v>0</v>
      </c>
      <c r="Q8" s="36">
        <f>VLOOKUP($A8,[29]HISTONOV24!$A$6:$AU$38,23,0)</f>
        <v>0</v>
      </c>
      <c r="R8" s="36">
        <f>VLOOKUP($A8,[29]HISTONOV24!$A$6:$AU$38,46,0)</f>
        <v>0</v>
      </c>
      <c r="S8" s="36">
        <f>VLOOKUP($A8,[29]HISTONOV24!$A$6:$AU$38,26,0)</f>
        <v>0</v>
      </c>
      <c r="T8" s="36">
        <f>VLOOKUP($A8,[29]HISTONOV24!$A$6:$BG$38,58,0)</f>
        <v>0</v>
      </c>
      <c r="U8" s="36">
        <f>VLOOKUP($A8,[29]HISTONOV24!$A$6:$AU$38,28,0)</f>
        <v>0</v>
      </c>
      <c r="V8" s="36">
        <f>VLOOKUP($A8,[29]HISTONOV24!$A$6:$AU$38,19,0)</f>
        <v>0</v>
      </c>
      <c r="W8" s="36">
        <f>VLOOKUP($A8,[29]HISTONOV24!$A$6:$AU$38,20,0)</f>
        <v>0</v>
      </c>
      <c r="X8" s="36">
        <f>VLOOKUP($A8,[29]HISTONOV24!$A$6:$AU$38,27,0)</f>
        <v>0</v>
      </c>
      <c r="Y8" s="36">
        <f>VLOOKUP($A8,[29]HISTONOV24!$A$6:$BM$38,33,0)</f>
        <v>0</v>
      </c>
      <c r="Z8" s="36">
        <f>VLOOKUP($A8,[29]HISTONOV24!$A$6:$BM$38,65,0)</f>
        <v>0</v>
      </c>
      <c r="AA8" s="36"/>
      <c r="AB8" s="36">
        <f>VLOOKUP($A8,[29]HISTONOV24!$A$6:$AU$38,43,0)</f>
        <v>0</v>
      </c>
      <c r="AC8" s="36">
        <f>VLOOKUP($A8,[29]HISTONOV24!$A$6:$AU$38,44,0)</f>
        <v>0</v>
      </c>
      <c r="AD8" s="36">
        <f>VLOOKUP($A8,[29]HISTONOV24!$A$6:$AU$38,47,0)</f>
        <v>0</v>
      </c>
      <c r="AE8" s="36">
        <f>VLOOKUP(A8,[29]HISTONOV24!$A$6:$BB$38,54,0)</f>
        <v>0</v>
      </c>
      <c r="AF8" s="36">
        <f>VLOOKUP($A8,[29]HISTONOV24!$A$6:$CB$38,60,0)</f>
        <v>0</v>
      </c>
      <c r="AG8" s="36">
        <f>VLOOKUP($A8,[29]HISTONOV24!$A$6:$CB$38,61,0)</f>
        <v>0</v>
      </c>
      <c r="AH8" s="36">
        <f>VLOOKUP($A8,[29]HISTONOV24!$A$6:$CB$38,62,0)</f>
        <v>0</v>
      </c>
      <c r="AI8" s="36">
        <f>VLOOKUP($A8,[29]HISTONOV24!$A$6:$CB$38,63,0)</f>
        <v>0</v>
      </c>
      <c r="AJ8" s="36">
        <f>VLOOKUP($A8,[29]HISTONOV24!$A$6:$CB$38,64,0)</f>
        <v>0</v>
      </c>
      <c r="AK8" s="36">
        <f>VLOOKUP($A8,[29]HISTONOV24!$A$6:$CB$38,65,0)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VLOOKUP($A9,[29]HISTONOV24!$A$6:$BA$38,48,0)</f>
        <v>0</v>
      </c>
      <c r="F9" s="36">
        <f>MVTOCT24!I9-E9+L9</f>
        <v>1016116.3993400366</v>
      </c>
      <c r="G9" s="5">
        <f>IF(MVTOCT24!I9+L9&gt;700000,(MVTOCT24!I9-E9+L9),0)</f>
        <v>1016116.3993400366</v>
      </c>
      <c r="H9" s="36">
        <f t="shared" si="0"/>
        <v>288.02759590182654</v>
      </c>
      <c r="I9" s="6">
        <f t="shared" si="2"/>
        <v>1016404.4269359384</v>
      </c>
      <c r="J9" s="36">
        <f>VLOOKUP($A9,[29]HISTONOV24!$A$6:$AQ$42,22,0)</f>
        <v>0</v>
      </c>
      <c r="K9" s="36">
        <f>VLOOKUP($A9,[29]HISTONOV24!$A$6:$AU$38,45,0)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VLOOKUP($A9,[29]HISTONOV24!$A$6:$AU$38,7,0)</f>
        <v>0</v>
      </c>
      <c r="Q9" s="36">
        <f>VLOOKUP($A9,[29]HISTONOV24!$A$6:$AU$38,23,0)</f>
        <v>0</v>
      </c>
      <c r="R9" s="36">
        <f>VLOOKUP($A9,[29]HISTONOV24!$A$6:$AU$38,46,0)</f>
        <v>0</v>
      </c>
      <c r="S9" s="36">
        <f>VLOOKUP($A9,[29]HISTONOV24!$A$6:$AU$38,26,0)</f>
        <v>0</v>
      </c>
      <c r="T9" s="36">
        <f>VLOOKUP($A9,[29]HISTONOV24!$A$6:$BG$38,58,0)</f>
        <v>0</v>
      </c>
      <c r="U9" s="36">
        <f>VLOOKUP($A9,[29]HISTONOV24!$A$6:$AU$38,28,0)</f>
        <v>0</v>
      </c>
      <c r="V9" s="36">
        <f>VLOOKUP($A9,[29]HISTONOV24!$A$6:$AU$38,19,0)</f>
        <v>0</v>
      </c>
      <c r="W9" s="36">
        <f>VLOOKUP($A9,[29]HISTONOV24!$A$6:$AU$38,20,0)</f>
        <v>0</v>
      </c>
      <c r="X9" s="36">
        <f>VLOOKUP($A9,[29]HISTONOV24!$A$6:$AU$38,27,0)</f>
        <v>0</v>
      </c>
      <c r="Y9" s="36">
        <f>VLOOKUP($A9,[29]HISTONOV24!$A$6:$BM$38,33,0)</f>
        <v>0</v>
      </c>
      <c r="Z9" s="36">
        <f>VLOOKUP($A9,[29]HISTONOV24!$A$6:$BM$38,65,0)</f>
        <v>0</v>
      </c>
      <c r="AA9" s="36"/>
      <c r="AB9" s="36">
        <f>VLOOKUP($A9,[29]HISTONOV24!$A$6:$AU$38,43,0)</f>
        <v>0</v>
      </c>
      <c r="AC9" s="36">
        <f>VLOOKUP($A9,[29]HISTONOV24!$A$6:$AU$38,44,0)</f>
        <v>0</v>
      </c>
      <c r="AD9" s="36">
        <f>VLOOKUP($A9,[29]HISTONOV24!$A$6:$AU$38,47,0)</f>
        <v>0</v>
      </c>
      <c r="AE9" s="36">
        <f>VLOOKUP(A9,[29]HISTONOV24!$A$6:$BB$38,54,0)</f>
        <v>0</v>
      </c>
      <c r="AF9" s="36">
        <f>VLOOKUP($A9,[29]HISTONOV24!$A$6:$CB$38,60,0)</f>
        <v>0</v>
      </c>
      <c r="AG9" s="36">
        <f>VLOOKUP($A9,[29]HISTONOV24!$A$6:$CB$38,61,0)</f>
        <v>0</v>
      </c>
      <c r="AH9" s="36">
        <f>VLOOKUP($A9,[29]HISTONOV24!$A$6:$CB$38,62,0)</f>
        <v>0</v>
      </c>
      <c r="AI9" s="36">
        <f>VLOOKUP($A9,[29]HISTONOV24!$A$6:$CB$38,63,0)</f>
        <v>0</v>
      </c>
      <c r="AJ9" s="36">
        <f>VLOOKUP($A9,[29]HISTONOV24!$A$6:$CB$38,64,0)</f>
        <v>0</v>
      </c>
      <c r="AK9" s="36">
        <f>VLOOKUP($A9,[29]HISTONOV24!$A$6:$CB$38,65,0)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VLOOKUP($A10,[29]HISTONOV24!$A$6:$BA$38,48,0)</f>
        <v>0</v>
      </c>
      <c r="F10" s="36">
        <f>MVTOCT24!I10-E10+L10</f>
        <v>959806.15479334153</v>
      </c>
      <c r="G10" s="5">
        <f>IF(MVTOCT24!I10+L10&gt;700000,(MVTOCT24!I10-E10+L10),0)</f>
        <v>959806.15479334153</v>
      </c>
      <c r="H10" s="36">
        <f t="shared" si="0"/>
        <v>272.06593602510117</v>
      </c>
      <c r="I10" s="6">
        <f t="shared" si="2"/>
        <v>960078.22072936664</v>
      </c>
      <c r="J10" s="36">
        <f>VLOOKUP($A10,[29]HISTONOV24!$A$6:$AQ$42,22,0)</f>
        <v>0</v>
      </c>
      <c r="K10" s="36">
        <f>VLOOKUP($A10,[29]HISTONOV24!$A$6:$AU$38,45,0)</f>
        <v>22000</v>
      </c>
      <c r="L10" s="36">
        <f t="shared" si="3"/>
        <v>16000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VLOOKUP($A10,[29]HISTONOV24!$A$6:$AU$38,7,0)</f>
        <v>0</v>
      </c>
      <c r="Q10" s="36">
        <f>VLOOKUP($A10,[29]HISTONOV24!$A$6:$AU$38,23,0)</f>
        <v>0</v>
      </c>
      <c r="R10" s="36">
        <f>VLOOKUP($A10,[29]HISTONOV24!$A$6:$AU$38,46,0)</f>
        <v>0</v>
      </c>
      <c r="S10" s="36">
        <f>VLOOKUP($A10,[29]HISTONOV24!$A$6:$AU$38,26,0)</f>
        <v>0</v>
      </c>
      <c r="T10" s="36">
        <f>VLOOKUP($A10,[29]HISTONOV24!$A$6:$BG$38,58,0)</f>
        <v>0</v>
      </c>
      <c r="U10" s="36">
        <f>VLOOKUP($A10,[29]HISTONOV24!$A$6:$AU$38,28,0)</f>
        <v>0</v>
      </c>
      <c r="V10" s="36">
        <f>VLOOKUP($A10,[29]HISTONOV24!$A$6:$AU$38,19,0)</f>
        <v>0</v>
      </c>
      <c r="W10" s="36">
        <f>VLOOKUP($A10,[29]HISTONOV24!$A$6:$AU$38,20,0)</f>
        <v>0</v>
      </c>
      <c r="X10" s="36">
        <f>VLOOKUP($A10,[29]HISTONOV24!$A$6:$AU$38,27,0)</f>
        <v>0</v>
      </c>
      <c r="Y10" s="36">
        <f>VLOOKUP($A10,[29]HISTONOV24!$A$6:$BM$38,33,0)</f>
        <v>0</v>
      </c>
      <c r="Z10" s="36">
        <f>VLOOKUP($A10,[29]HISTONOV24!$A$6:$BM$38,65,0)</f>
        <v>0</v>
      </c>
      <c r="AA10" s="36"/>
      <c r="AB10" s="36">
        <f>VLOOKUP($A10,[29]HISTONOV24!$A$6:$AU$38,43,0)</f>
        <v>0</v>
      </c>
      <c r="AC10" s="36">
        <f>VLOOKUP($A10,[29]HISTONOV24!$A$6:$AU$38,44,0)</f>
        <v>0</v>
      </c>
      <c r="AD10" s="36">
        <f>VLOOKUP($A10,[29]HISTONOV24!$A$6:$AU$38,47,0)</f>
        <v>0</v>
      </c>
      <c r="AE10" s="36">
        <f>VLOOKUP(A10,[29]HISTONOV24!$A$6:$BB$38,54,0)</f>
        <v>0</v>
      </c>
      <c r="AF10" s="36">
        <f>VLOOKUP($A10,[29]HISTONOV24!$A$6:$CB$38,60,0)</f>
        <v>0</v>
      </c>
      <c r="AG10" s="36">
        <f>VLOOKUP($A10,[29]HISTONOV24!$A$6:$CB$38,61,0)</f>
        <v>0</v>
      </c>
      <c r="AH10" s="36">
        <f>VLOOKUP($A10,[29]HISTONOV24!$A$6:$CB$38,62,0)</f>
        <v>0</v>
      </c>
      <c r="AI10" s="36">
        <f>VLOOKUP($A10,[29]HISTONOV24!$A$6:$CB$38,63,0)</f>
        <v>0</v>
      </c>
      <c r="AJ10" s="36">
        <f>VLOOKUP($A10,[29]HISTONOV24!$A$6:$CB$38,64,0)</f>
        <v>0</v>
      </c>
      <c r="AK10" s="36">
        <f>VLOOKUP($A10,[29]HISTONOV24!$A$6:$CB$38,65,0)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VLOOKUP($A11,[29]HISTONOV24!$A$6:$BA$38,48,0)</f>
        <v>0</v>
      </c>
      <c r="F11" s="36">
        <f>MVTOCT24!I11-E11+L11</f>
        <v>991687.04134130187</v>
      </c>
      <c r="G11" s="5">
        <f>IF(MVTOCT24!I11+L11&gt;700000,(MVTOCT24!I11-E11+L11),0)</f>
        <v>991687.04134130187</v>
      </c>
      <c r="H11" s="36">
        <f t="shared" si="0"/>
        <v>281.10286832300716</v>
      </c>
      <c r="I11" s="6">
        <f t="shared" si="2"/>
        <v>991968.14420962485</v>
      </c>
      <c r="J11" s="36">
        <f>VLOOKUP($A11,[29]HISTONOV24!$A$6:$AQ$42,22,0)</f>
        <v>0</v>
      </c>
      <c r="K11" s="36">
        <f>VLOOKUP($A11,[29]HISTONOV24!$A$6:$AU$38,45,0)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VLOOKUP($A11,[29]HISTONOV24!$A$6:$AU$38,7,0)</f>
        <v>0</v>
      </c>
      <c r="Q11" s="36">
        <f>VLOOKUP($A11,[29]HISTONOV24!$A$6:$AU$38,23,0)</f>
        <v>0</v>
      </c>
      <c r="R11" s="36">
        <f>VLOOKUP($A11,[29]HISTONOV24!$A$6:$AU$38,46,0)</f>
        <v>0</v>
      </c>
      <c r="S11" s="36">
        <f>VLOOKUP($A11,[29]HISTONOV24!$A$6:$AU$38,26,0)</f>
        <v>0</v>
      </c>
      <c r="T11" s="36">
        <f>VLOOKUP($A11,[29]HISTONOV24!$A$6:$BG$38,58,0)</f>
        <v>0</v>
      </c>
      <c r="U11" s="36">
        <f>VLOOKUP($A11,[29]HISTONOV24!$A$6:$AU$38,28,0)</f>
        <v>0</v>
      </c>
      <c r="V11" s="36">
        <f>VLOOKUP($A11,[29]HISTONOV24!$A$6:$AU$38,19,0)</f>
        <v>0</v>
      </c>
      <c r="W11" s="36">
        <f>VLOOKUP($A11,[29]HISTONOV24!$A$6:$AU$38,20,0)</f>
        <v>0</v>
      </c>
      <c r="X11" s="36">
        <f>VLOOKUP($A11,[29]HISTONOV24!$A$6:$AU$38,27,0)</f>
        <v>0</v>
      </c>
      <c r="Y11" s="36">
        <f>VLOOKUP($A11,[29]HISTONOV24!$A$6:$BM$38,33,0)</f>
        <v>0</v>
      </c>
      <c r="Z11" s="36">
        <f>VLOOKUP($A11,[29]HISTONOV24!$A$6:$BM$38,65,0)</f>
        <v>0</v>
      </c>
      <c r="AA11" s="36"/>
      <c r="AB11" s="36">
        <f>VLOOKUP($A11,[29]HISTONOV24!$A$6:$AU$38,43,0)</f>
        <v>0</v>
      </c>
      <c r="AC11" s="36">
        <f>VLOOKUP($A11,[29]HISTONOV24!$A$6:$AU$38,44,0)</f>
        <v>0</v>
      </c>
      <c r="AD11" s="36">
        <f>VLOOKUP($A11,[29]HISTONOV24!$A$6:$AU$38,47,0)</f>
        <v>0</v>
      </c>
      <c r="AE11" s="36">
        <f>VLOOKUP(A11,[29]HISTONOV24!$A$6:$BB$38,54,0)</f>
        <v>0</v>
      </c>
      <c r="AF11" s="36">
        <f>VLOOKUP($A11,[29]HISTONOV24!$A$6:$CB$38,60,0)</f>
        <v>0</v>
      </c>
      <c r="AG11" s="36">
        <f>VLOOKUP($A11,[29]HISTONOV24!$A$6:$CB$38,61,0)</f>
        <v>0</v>
      </c>
      <c r="AH11" s="36">
        <f>VLOOKUP($A11,[29]HISTONOV24!$A$6:$CB$38,62,0)</f>
        <v>0</v>
      </c>
      <c r="AI11" s="36">
        <f>VLOOKUP($A11,[29]HISTONOV24!$A$6:$CB$38,63,0)</f>
        <v>0</v>
      </c>
      <c r="AJ11" s="36">
        <f>VLOOKUP($A11,[29]HISTONOV24!$A$6:$CB$38,64,0)</f>
        <v>0</v>
      </c>
      <c r="AK11" s="36">
        <f>VLOOKUP($A11,[29]HISTONOV24!$A$6:$CB$38,65,0)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VLOOKUP($A12,[29]HISTONOV24!$A$6:$BA$38,48,0)</f>
        <v>0</v>
      </c>
      <c r="F12" s="36">
        <f>MVTOCT24!I12-E12+L12</f>
        <v>1044876.6151706504</v>
      </c>
      <c r="G12" s="5">
        <f>IF(MVTOCT24!I12+L12&gt;700000,(MVTOCT24!I12-E12+L12),0)</f>
        <v>1044876.6151706504</v>
      </c>
      <c r="H12" s="36">
        <f t="shared" si="0"/>
        <v>296.17994520815563</v>
      </c>
      <c r="I12" s="6">
        <f t="shared" si="2"/>
        <v>1045172.7951158585</v>
      </c>
      <c r="J12" s="36">
        <f>VLOOKUP($A12,[29]HISTONOV24!$A$6:$AQ$42,22,0)</f>
        <v>0</v>
      </c>
      <c r="K12" s="36">
        <f>VLOOKUP($A12,[29]HISTONOV24!$A$6:$AU$38,45,0)</f>
        <v>32000</v>
      </c>
      <c r="L12" s="36">
        <f t="shared" si="3"/>
        <v>26000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VLOOKUP($A12,[29]HISTONOV24!$A$6:$AU$38,7,0)</f>
        <v>0</v>
      </c>
      <c r="Q12" s="36">
        <f>VLOOKUP($A12,[29]HISTONOV24!$A$6:$AU$38,23,0)</f>
        <v>0</v>
      </c>
      <c r="R12" s="36">
        <f>VLOOKUP($A12,[29]HISTONOV24!$A$6:$AU$38,46,0)</f>
        <v>0</v>
      </c>
      <c r="S12" s="36">
        <f>VLOOKUP($A12,[29]HISTONOV24!$A$6:$AU$38,26,0)</f>
        <v>0</v>
      </c>
      <c r="T12" s="36">
        <f>VLOOKUP($A12,[29]HISTONOV24!$A$6:$BG$38,58,0)</f>
        <v>0</v>
      </c>
      <c r="U12" s="36">
        <f>VLOOKUP($A12,[29]HISTONOV24!$A$6:$AU$38,28,0)</f>
        <v>0</v>
      </c>
      <c r="V12" s="36">
        <f>VLOOKUP($A12,[29]HISTONOV24!$A$6:$AU$38,19,0)</f>
        <v>0</v>
      </c>
      <c r="W12" s="36">
        <f>VLOOKUP($A12,[29]HISTONOV24!$A$6:$AU$38,20,0)</f>
        <v>0</v>
      </c>
      <c r="X12" s="36">
        <f>VLOOKUP($A12,[29]HISTONOV24!$A$6:$AU$38,27,0)</f>
        <v>0</v>
      </c>
      <c r="Y12" s="36">
        <f>VLOOKUP($A12,[29]HISTONOV24!$A$6:$BM$38,33,0)</f>
        <v>0</v>
      </c>
      <c r="Z12" s="36">
        <f>VLOOKUP($A12,[29]HISTONOV24!$A$6:$BM$38,65,0)</f>
        <v>0</v>
      </c>
      <c r="AA12" s="36"/>
      <c r="AB12" s="36">
        <f>VLOOKUP($A12,[29]HISTONOV24!$A$6:$AU$38,43,0)</f>
        <v>0</v>
      </c>
      <c r="AC12" s="36">
        <f>VLOOKUP($A12,[29]HISTONOV24!$A$6:$AU$38,44,0)</f>
        <v>0</v>
      </c>
      <c r="AD12" s="36">
        <f>VLOOKUP($A12,[29]HISTONOV24!$A$6:$AU$38,47,0)</f>
        <v>0</v>
      </c>
      <c r="AE12" s="36">
        <f>VLOOKUP(A12,[29]HISTONOV24!$A$6:$BB$38,54,0)</f>
        <v>0</v>
      </c>
      <c r="AF12" s="36">
        <f>VLOOKUP($A12,[29]HISTONOV24!$A$6:$CB$38,60,0)</f>
        <v>0</v>
      </c>
      <c r="AG12" s="36">
        <f>VLOOKUP($A12,[29]HISTONOV24!$A$6:$CB$38,61,0)</f>
        <v>0</v>
      </c>
      <c r="AH12" s="36">
        <f>VLOOKUP($A12,[29]HISTONOV24!$A$6:$CB$38,62,0)</f>
        <v>0</v>
      </c>
      <c r="AI12" s="36">
        <f>VLOOKUP($A12,[29]HISTONOV24!$A$6:$CB$38,63,0)</f>
        <v>0</v>
      </c>
      <c r="AJ12" s="36">
        <f>VLOOKUP($A12,[29]HISTONOV24!$A$6:$CB$38,64,0)</f>
        <v>0</v>
      </c>
      <c r="AK12" s="36">
        <f>VLOOKUP($A12,[29]HISTONOV24!$A$6:$CB$38,65,0)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VLOOKUP($A13,[29]HISTONOV24!$A$6:$BA$38,48,0)</f>
        <v>0</v>
      </c>
      <c r="F13" s="36">
        <f>MVTOCT24!I13-E13+L13</f>
        <v>966131.79792375595</v>
      </c>
      <c r="G13" s="5">
        <f>IF(MVTOCT24!I13+L13&gt;700000,(MVTOCT24!I13-E13+L13),0)</f>
        <v>966131.79792375595</v>
      </c>
      <c r="H13" s="36">
        <f t="shared" si="0"/>
        <v>273.85899810398263</v>
      </c>
      <c r="I13" s="6">
        <f t="shared" si="2"/>
        <v>966405.65692185995</v>
      </c>
      <c r="J13" s="36">
        <f>VLOOKUP($A13,[29]HISTONOV24!$A$6:$AQ$42,22,0)</f>
        <v>0</v>
      </c>
      <c r="K13" s="36">
        <f>VLOOKUP($A13,[29]HISTONOV24!$A$6:$AU$38,45,0)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VLOOKUP($A13,[29]HISTONOV24!$A$6:$AU$38,7,0)</f>
        <v>0</v>
      </c>
      <c r="Q13" s="36">
        <f>VLOOKUP($A13,[29]HISTONOV24!$A$6:$AU$38,23,0)</f>
        <v>0</v>
      </c>
      <c r="R13" s="36">
        <f>VLOOKUP($A13,[29]HISTONOV24!$A$6:$AU$38,46,0)</f>
        <v>0</v>
      </c>
      <c r="S13" s="36">
        <f>VLOOKUP($A13,[29]HISTONOV24!$A$6:$AU$38,26,0)</f>
        <v>0</v>
      </c>
      <c r="T13" s="36">
        <f>VLOOKUP($A13,[29]HISTONOV24!$A$6:$BG$38,58,0)</f>
        <v>0</v>
      </c>
      <c r="U13" s="36">
        <f>VLOOKUP($A13,[29]HISTONOV24!$A$6:$AU$38,28,0)</f>
        <v>0</v>
      </c>
      <c r="V13" s="36">
        <f>VLOOKUP($A13,[29]HISTONOV24!$A$6:$AU$38,19,0)</f>
        <v>0</v>
      </c>
      <c r="W13" s="36">
        <f>VLOOKUP($A13,[29]HISTONOV24!$A$6:$AU$38,20,0)</f>
        <v>0</v>
      </c>
      <c r="X13" s="36">
        <f>VLOOKUP($A13,[29]HISTONOV24!$A$6:$AU$38,27,0)</f>
        <v>0</v>
      </c>
      <c r="Y13" s="36">
        <f>VLOOKUP($A13,[29]HISTONOV24!$A$6:$BM$38,33,0)</f>
        <v>0</v>
      </c>
      <c r="Z13" s="36">
        <f>VLOOKUP($A13,[29]HISTONOV24!$A$6:$BM$38,65,0)</f>
        <v>0</v>
      </c>
      <c r="AA13" s="36"/>
      <c r="AB13" s="36">
        <f>VLOOKUP($A13,[29]HISTONOV24!$A$6:$AU$38,43,0)</f>
        <v>0</v>
      </c>
      <c r="AC13" s="36">
        <f>VLOOKUP($A13,[29]HISTONOV24!$A$6:$AU$38,44,0)</f>
        <v>0</v>
      </c>
      <c r="AD13" s="36">
        <f>VLOOKUP($A13,[29]HISTONOV24!$A$6:$AU$38,47,0)</f>
        <v>0</v>
      </c>
      <c r="AE13" s="36">
        <f>VLOOKUP(A13,[29]HISTONOV24!$A$6:$BB$38,54,0)</f>
        <v>0</v>
      </c>
      <c r="AF13" s="36">
        <f>VLOOKUP($A13,[29]HISTONOV24!$A$6:$CB$38,60,0)</f>
        <v>0</v>
      </c>
      <c r="AG13" s="36">
        <f>VLOOKUP($A13,[29]HISTONOV24!$A$6:$CB$38,61,0)</f>
        <v>0</v>
      </c>
      <c r="AH13" s="36">
        <f>VLOOKUP($A13,[29]HISTONOV24!$A$6:$CB$38,62,0)</f>
        <v>0</v>
      </c>
      <c r="AI13" s="36">
        <f>VLOOKUP($A13,[29]HISTONOV24!$A$6:$CB$38,63,0)</f>
        <v>0</v>
      </c>
      <c r="AJ13" s="36">
        <f>VLOOKUP($A13,[29]HISTONOV24!$A$6:$CB$38,64,0)</f>
        <v>0</v>
      </c>
      <c r="AK13" s="36">
        <f>VLOOKUP($A13,[29]HISTONOV24!$A$6:$CB$38,65,0)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VLOOKUP($A14,[29]HISTONOV24!$A$6:$BA$38,48,0)</f>
        <v>0</v>
      </c>
      <c r="F14" s="36">
        <f>MVTOCT24!I14-E14+L14</f>
        <v>1525000.8433511991</v>
      </c>
      <c r="G14" s="5">
        <f>IF(MVTOCT24!I14+L14&gt;700000,(MVTOCT24!I14-E14+L14),0)</f>
        <v>1525000.8433511991</v>
      </c>
      <c r="H14" s="36">
        <f t="shared" si="0"/>
        <v>432.27560045678814</v>
      </c>
      <c r="I14" s="6">
        <f t="shared" si="2"/>
        <v>1525433.1189516559</v>
      </c>
      <c r="J14" s="36">
        <f>VLOOKUP($A14,[29]HISTONOV24!$A$6:$AQ$42,22,0)</f>
        <v>0</v>
      </c>
      <c r="K14" s="36">
        <f>VLOOKUP($A14,[29]HISTONOV24!$A$6:$AU$38,45,0)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VLOOKUP($A14,[29]HISTONOV24!$A$6:$AU$38,7,0)</f>
        <v>3000</v>
      </c>
      <c r="Q14" s="36">
        <f>VLOOKUP($A14,[29]HISTONOV24!$A$6:$AU$38,23,0)</f>
        <v>0</v>
      </c>
      <c r="R14" s="36">
        <f>VLOOKUP($A14,[29]HISTONOV24!$A$6:$AU$38,46,0)</f>
        <v>0</v>
      </c>
      <c r="S14" s="36">
        <f>VLOOKUP($A14,[29]HISTONOV24!$A$6:$AU$38,26,0)</f>
        <v>0</v>
      </c>
      <c r="T14" s="36">
        <f>VLOOKUP($A14,[29]HISTONOV24!$A$6:$BG$38,58,0)</f>
        <v>0</v>
      </c>
      <c r="U14" s="36">
        <f>VLOOKUP($A14,[29]HISTONOV24!$A$6:$AU$38,28,0)</f>
        <v>0</v>
      </c>
      <c r="V14" s="36">
        <f>VLOOKUP($A14,[29]HISTONOV24!$A$6:$AU$38,19,0)</f>
        <v>0</v>
      </c>
      <c r="W14" s="36">
        <f>VLOOKUP($A14,[29]HISTONOV24!$A$6:$AU$38,20,0)</f>
        <v>0</v>
      </c>
      <c r="X14" s="36">
        <f>VLOOKUP($A14,[29]HISTONOV24!$A$6:$AU$38,27,0)</f>
        <v>0</v>
      </c>
      <c r="Y14" s="36">
        <f>VLOOKUP($A14,[29]HISTONOV24!$A$6:$BM$38,33,0)</f>
        <v>0</v>
      </c>
      <c r="Z14" s="36">
        <f>VLOOKUP($A14,[29]HISTONOV24!$A$6:$BM$38,65,0)</f>
        <v>0</v>
      </c>
      <c r="AA14" s="36"/>
      <c r="AB14" s="36">
        <f>VLOOKUP($A14,[29]HISTONOV24!$A$6:$AU$38,43,0)</f>
        <v>0</v>
      </c>
      <c r="AC14" s="36">
        <f>VLOOKUP($A14,[29]HISTONOV24!$A$6:$AU$38,44,0)</f>
        <v>0</v>
      </c>
      <c r="AD14" s="36">
        <f>VLOOKUP($A14,[29]HISTONOV24!$A$6:$AU$38,47,0)</f>
        <v>0</v>
      </c>
      <c r="AE14" s="36">
        <f>VLOOKUP(A14,[29]HISTONOV24!$A$6:$BB$38,54,0)</f>
        <v>0</v>
      </c>
      <c r="AF14" s="36">
        <f>VLOOKUP($A14,[29]HISTONOV24!$A$6:$CB$38,60,0)</f>
        <v>0</v>
      </c>
      <c r="AG14" s="36">
        <f>VLOOKUP($A14,[29]HISTONOV24!$A$6:$CB$38,61,0)</f>
        <v>0</v>
      </c>
      <c r="AH14" s="36">
        <f>VLOOKUP($A14,[29]HISTONOV24!$A$6:$CB$38,62,0)</f>
        <v>0</v>
      </c>
      <c r="AI14" s="36">
        <f>VLOOKUP($A14,[29]HISTONOV24!$A$6:$CB$38,63,0)</f>
        <v>0</v>
      </c>
      <c r="AJ14" s="36">
        <f>VLOOKUP($A14,[29]HISTONOV24!$A$6:$CB$38,64,0)</f>
        <v>0</v>
      </c>
      <c r="AK14" s="36">
        <f>VLOOKUP($A14,[29]HISTONOV24!$A$6:$CB$38,65,0)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VLOOKUP($A15,[29]HISTONOV24!$A$6:$BA$38,48,0)</f>
        <v>0</v>
      </c>
      <c r="F15" s="36">
        <f>MVTOCT24!I15-E15+L15</f>
        <v>1028556.26032111</v>
      </c>
      <c r="G15" s="5">
        <f>IF(MVTOCT24!I15+L15&gt;700000,(MVTOCT24!I15-E15+L15),0)</f>
        <v>1028556.26032111</v>
      </c>
      <c r="H15" s="36">
        <f t="shared" si="0"/>
        <v>291.55378960764477</v>
      </c>
      <c r="I15" s="6">
        <f t="shared" si="2"/>
        <v>1028847.8141107176</v>
      </c>
      <c r="J15" s="36">
        <f>VLOOKUP($A15,[29]HISTONOV24!$A$6:$AQ$42,22,0)</f>
        <v>0</v>
      </c>
      <c r="K15" s="36">
        <f>VLOOKUP($A15,[29]HISTONOV24!$A$6:$AU$38,45,0)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VLOOKUP($A15,[29]HISTONOV24!$A$6:$AU$38,7,0)</f>
        <v>0</v>
      </c>
      <c r="Q15" s="36">
        <f>VLOOKUP($A15,[29]HISTONOV24!$A$6:$AU$38,23,0)</f>
        <v>0</v>
      </c>
      <c r="R15" s="36">
        <f>VLOOKUP($A15,[29]HISTONOV24!$A$6:$AU$38,46,0)</f>
        <v>0</v>
      </c>
      <c r="S15" s="36">
        <f>VLOOKUP($A15,[29]HISTONOV24!$A$6:$AU$38,26,0)</f>
        <v>0</v>
      </c>
      <c r="T15" s="36">
        <f>VLOOKUP($A15,[29]HISTONOV24!$A$6:$BG$38,58,0)</f>
        <v>0</v>
      </c>
      <c r="U15" s="36">
        <f>VLOOKUP($A15,[29]HISTONOV24!$A$6:$AU$38,28,0)</f>
        <v>0</v>
      </c>
      <c r="V15" s="36">
        <f>VLOOKUP($A15,[29]HISTONOV24!$A$6:$AU$38,19,0)</f>
        <v>0</v>
      </c>
      <c r="W15" s="36">
        <f>VLOOKUP($A15,[29]HISTONOV24!$A$6:$AU$38,20,0)</f>
        <v>0</v>
      </c>
      <c r="X15" s="36">
        <f>VLOOKUP($A15,[29]HISTONOV24!$A$6:$AU$38,27,0)</f>
        <v>0</v>
      </c>
      <c r="Y15" s="36">
        <f>VLOOKUP($A15,[29]HISTONOV24!$A$6:$BM$38,33,0)</f>
        <v>0</v>
      </c>
      <c r="Z15" s="36">
        <f>VLOOKUP($A15,[29]HISTONOV24!$A$6:$BM$38,65,0)</f>
        <v>0</v>
      </c>
      <c r="AA15" s="36"/>
      <c r="AB15" s="36">
        <f>VLOOKUP($A15,[29]HISTONOV24!$A$6:$AU$38,43,0)</f>
        <v>0</v>
      </c>
      <c r="AC15" s="36">
        <f>VLOOKUP($A15,[29]HISTONOV24!$A$6:$AU$38,44,0)</f>
        <v>0</v>
      </c>
      <c r="AD15" s="36">
        <f>VLOOKUP($A15,[29]HISTONOV24!$A$6:$AU$38,47,0)</f>
        <v>0</v>
      </c>
      <c r="AE15" s="36">
        <f>VLOOKUP(A15,[29]HISTONOV24!$A$6:$BB$38,54,0)</f>
        <v>0</v>
      </c>
      <c r="AF15" s="36">
        <f>VLOOKUP($A15,[29]HISTONOV24!$A$6:$CB$38,60,0)</f>
        <v>0</v>
      </c>
      <c r="AG15" s="36">
        <f>VLOOKUP($A15,[29]HISTONOV24!$A$6:$CB$38,61,0)</f>
        <v>0</v>
      </c>
      <c r="AH15" s="36">
        <f>VLOOKUP($A15,[29]HISTONOV24!$A$6:$CB$38,62,0)</f>
        <v>0</v>
      </c>
      <c r="AI15" s="36">
        <f>VLOOKUP($A15,[29]HISTONOV24!$A$6:$CB$38,63,0)</f>
        <v>0</v>
      </c>
      <c r="AJ15" s="36">
        <f>VLOOKUP($A15,[29]HISTONOV24!$A$6:$CB$38,64,0)</f>
        <v>0</v>
      </c>
      <c r="AK15" s="36">
        <f>VLOOKUP($A15,[29]HISTONOV24!$A$6:$CB$38,65,0)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VLOOKUP($A16,[29]HISTONOV24!$A$6:$BA$38,48,0)</f>
        <v>0</v>
      </c>
      <c r="F16" s="36">
        <f>MVTOCT24!I16-E16+L16</f>
        <v>1305372.0816398228</v>
      </c>
      <c r="G16" s="5">
        <f>IF(MVTOCT24!I16+L16&gt;700000,(MVTOCT24!I16-E16+L16),0)</f>
        <v>1305372.0816398228</v>
      </c>
      <c r="H16" s="36">
        <f t="shared" si="0"/>
        <v>370.01979564179908</v>
      </c>
      <c r="I16" s="6">
        <f t="shared" si="2"/>
        <v>1305742.1014354646</v>
      </c>
      <c r="J16" s="36">
        <f>VLOOKUP($A16,[29]HISTONOV24!$A$6:$AQ$42,22,0)</f>
        <v>0</v>
      </c>
      <c r="K16" s="36">
        <f>VLOOKUP($A16,[29]HISTONOV24!$A$6:$AU$38,45,0)</f>
        <v>30000</v>
      </c>
      <c r="L16" s="36">
        <f t="shared" si="3"/>
        <v>24000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VLOOKUP($A16,[29]HISTONOV24!$A$6:$AU$38,7,0)</f>
        <v>0</v>
      </c>
      <c r="Q16" s="36">
        <f>VLOOKUP($A16,[29]HISTONOV24!$A$6:$AU$38,23,0)</f>
        <v>0</v>
      </c>
      <c r="R16" s="36">
        <f>VLOOKUP($A16,[29]HISTONOV24!$A$6:$AU$38,46,0)</f>
        <v>0</v>
      </c>
      <c r="S16" s="36">
        <f>VLOOKUP($A16,[29]HISTONOV24!$A$6:$AU$38,26,0)</f>
        <v>0</v>
      </c>
      <c r="T16" s="36">
        <f>VLOOKUP($A16,[29]HISTONOV24!$A$6:$BG$38,58,0)+10000</f>
        <v>10000</v>
      </c>
      <c r="U16" s="36">
        <f>VLOOKUP($A16,[29]HISTONOV24!$A$6:$AU$38,28,0)</f>
        <v>0</v>
      </c>
      <c r="V16" s="36">
        <f>VLOOKUP($A16,[29]HISTONOV24!$A$6:$AU$38,19,0)</f>
        <v>0</v>
      </c>
      <c r="W16" s="36">
        <f>VLOOKUP($A16,[29]HISTONOV24!$A$6:$AU$38,20,0)</f>
        <v>0</v>
      </c>
      <c r="X16" s="36">
        <f>VLOOKUP($A16,[29]HISTONOV24!$A$6:$AU$38,27,0)</f>
        <v>0</v>
      </c>
      <c r="Y16" s="36">
        <f>VLOOKUP($A16,[29]HISTONOV24!$A$6:$BM$38,33,0)</f>
        <v>0</v>
      </c>
      <c r="Z16" s="36">
        <f>VLOOKUP($A16,[29]HISTONOV24!$A$6:$BM$38,65,0)</f>
        <v>0</v>
      </c>
      <c r="AA16" s="36"/>
      <c r="AB16" s="36">
        <f>VLOOKUP($A16,[29]HISTONOV24!$A$6:$AU$38,43,0)</f>
        <v>0</v>
      </c>
      <c r="AC16" s="36">
        <f>VLOOKUP($A16,[29]HISTONOV24!$A$6:$AU$38,44,0)</f>
        <v>0</v>
      </c>
      <c r="AD16" s="36">
        <f>VLOOKUP($A16,[29]HISTONOV24!$A$6:$AU$38,47,0)</f>
        <v>0</v>
      </c>
      <c r="AE16" s="36">
        <f>VLOOKUP(A16,[29]HISTONOV24!$A$6:$BB$38,54,0)</f>
        <v>0</v>
      </c>
      <c r="AF16" s="36">
        <f>VLOOKUP($A16,[29]HISTONOV24!$A$6:$CB$38,60,0)</f>
        <v>0</v>
      </c>
      <c r="AG16" s="36">
        <f>VLOOKUP($A16,[29]HISTONOV24!$A$6:$CB$38,61,0)</f>
        <v>0</v>
      </c>
      <c r="AH16" s="36">
        <f>VLOOKUP($A16,[29]HISTONOV24!$A$6:$CB$38,62,0)</f>
        <v>0</v>
      </c>
      <c r="AI16" s="36">
        <f>VLOOKUP($A16,[29]HISTONOV24!$A$6:$CB$38,63,0)</f>
        <v>0</v>
      </c>
      <c r="AJ16" s="36">
        <f>VLOOKUP($A16,[29]HISTONOV24!$A$6:$CB$38,64,0)</f>
        <v>0</v>
      </c>
      <c r="AK16" s="36">
        <f>VLOOKUP($A16,[29]HISTONOV24!$A$6:$CB$38,65,0)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VLOOKUP($A17,[29]HISTONOV24!$A$6:$BA$38,48,0)</f>
        <v>0</v>
      </c>
      <c r="F17" s="36">
        <f>MVTOCT24!I17-E17+L17</f>
        <v>966581.42189074657</v>
      </c>
      <c r="G17" s="5">
        <f>IF(MVTOCT24!I17+L17&gt;700000,(MVTOCT24!I17-E17+L17),0)</f>
        <v>966581.42189074657</v>
      </c>
      <c r="H17" s="36">
        <f t="shared" si="0"/>
        <v>273.98644817796651</v>
      </c>
      <c r="I17" s="6">
        <f t="shared" si="2"/>
        <v>966855.40833892452</v>
      </c>
      <c r="J17" s="36">
        <f>VLOOKUP($A17,[29]HISTONOV24!$A$6:$AQ$42,22,0)</f>
        <v>0</v>
      </c>
      <c r="K17" s="36">
        <f>VLOOKUP($A17,[29]HISTONOV24!$A$6:$AU$38,45,0)</f>
        <v>25000</v>
      </c>
      <c r="L17" s="36">
        <f t="shared" si="3"/>
        <v>19000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VLOOKUP($A17,[29]HISTONOV24!$A$6:$AU$38,7,0)</f>
        <v>0</v>
      </c>
      <c r="Q17" s="36">
        <f>VLOOKUP($A17,[29]HISTONOV24!$A$6:$AU$38,23,0)</f>
        <v>0</v>
      </c>
      <c r="R17" s="36">
        <f>VLOOKUP($A17,[29]HISTONOV24!$A$6:$AU$38,46,0)</f>
        <v>0</v>
      </c>
      <c r="S17" s="36">
        <f>VLOOKUP($A17,[29]HISTONOV24!$A$6:$AU$38,26,0)</f>
        <v>0</v>
      </c>
      <c r="T17" s="36">
        <f>VLOOKUP($A17,[29]HISTONOV24!$A$6:$BG$38,58,0)</f>
        <v>0</v>
      </c>
      <c r="U17" s="36">
        <f>VLOOKUP($A17,[29]HISTONOV24!$A$6:$AU$38,28,0)</f>
        <v>0</v>
      </c>
      <c r="V17" s="36">
        <f>VLOOKUP($A17,[29]HISTONOV24!$A$6:$AU$38,19,0)</f>
        <v>0</v>
      </c>
      <c r="W17" s="36">
        <f>VLOOKUP($A17,[29]HISTONOV24!$A$6:$AU$38,20,0)</f>
        <v>0</v>
      </c>
      <c r="X17" s="36">
        <f>VLOOKUP($A17,[29]HISTONOV24!$A$6:$AU$38,27,0)</f>
        <v>0</v>
      </c>
      <c r="Y17" s="36">
        <f>VLOOKUP($A17,[29]HISTONOV24!$A$6:$BM$38,33,0)</f>
        <v>0</v>
      </c>
      <c r="Z17" s="36">
        <f>VLOOKUP($A17,[29]HISTONOV24!$A$6:$BM$38,65,0)</f>
        <v>0</v>
      </c>
      <c r="AA17" s="36"/>
      <c r="AB17" s="36">
        <f>VLOOKUP($A17,[29]HISTONOV24!$A$6:$AU$38,43,0)</f>
        <v>0</v>
      </c>
      <c r="AC17" s="36">
        <f>VLOOKUP($A17,[29]HISTONOV24!$A$6:$AU$38,44,0)</f>
        <v>0</v>
      </c>
      <c r="AD17" s="36">
        <f>VLOOKUP($A17,[29]HISTONOV24!$A$6:$AU$38,47,0)</f>
        <v>0</v>
      </c>
      <c r="AE17" s="36">
        <f>VLOOKUP(A17,[29]HISTONOV24!$A$6:$BB$38,54,0)</f>
        <v>0</v>
      </c>
      <c r="AF17" s="36">
        <f>VLOOKUP($A17,[29]HISTONOV24!$A$6:$CB$38,60,0)</f>
        <v>0</v>
      </c>
      <c r="AG17" s="36">
        <f>VLOOKUP($A17,[29]HISTONOV24!$A$6:$CB$38,61,0)</f>
        <v>0</v>
      </c>
      <c r="AH17" s="36">
        <f>VLOOKUP($A17,[29]HISTONOV24!$A$6:$CB$38,62,0)</f>
        <v>0</v>
      </c>
      <c r="AI17" s="36">
        <f>VLOOKUP($A17,[29]HISTONOV24!$A$6:$CB$38,63,0)</f>
        <v>0</v>
      </c>
      <c r="AJ17" s="36">
        <f>VLOOKUP($A17,[29]HISTONOV24!$A$6:$CB$38,64,0)</f>
        <v>0</v>
      </c>
      <c r="AK17" s="36">
        <f>VLOOKUP($A17,[29]HISTONOV24!$A$6:$CB$38,65,0)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VLOOKUP($A18,[29]HISTONOV24!$A$6:$BA$38,48,0)</f>
        <v>0</v>
      </c>
      <c r="F18" s="36">
        <f>MVTOCT24!I18-E18+L18</f>
        <v>1075170.1231270968</v>
      </c>
      <c r="G18" s="5">
        <f>IF(MVTOCT24!I18+L18&gt;700000,(MVTOCT24!I18-E18+L18),0)</f>
        <v>1075170.1231270968</v>
      </c>
      <c r="H18" s="36">
        <f t="shared" si="0"/>
        <v>304.76692035568323</v>
      </c>
      <c r="I18" s="6">
        <f t="shared" si="2"/>
        <v>1075474.8900474524</v>
      </c>
      <c r="J18" s="36">
        <f>VLOOKUP($A18,[29]HISTONOV24!$A$6:$AQ$42,22,0)</f>
        <v>0</v>
      </c>
      <c r="K18" s="36">
        <f>VLOOKUP($A18,[29]HISTONOV24!$A$6:$AU$38,45,0)</f>
        <v>29000</v>
      </c>
      <c r="L18" s="36">
        <f t="shared" si="3"/>
        <v>23000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VLOOKUP($A18,[29]HISTONOV24!$A$6:$AU$38,7,0)</f>
        <v>3000</v>
      </c>
      <c r="Q18" s="36">
        <f>VLOOKUP($A18,[29]HISTONOV24!$A$6:$AU$38,23,0)</f>
        <v>0</v>
      </c>
      <c r="R18" s="36">
        <f>VLOOKUP($A18,[29]HISTONOV24!$A$6:$AU$38,46,0)</f>
        <v>0</v>
      </c>
      <c r="S18" s="36">
        <f>VLOOKUP($A18,[29]HISTONOV24!$A$6:$AU$38,26,0)</f>
        <v>0</v>
      </c>
      <c r="T18" s="36">
        <f>VLOOKUP($A18,[29]HISTONOV24!$A$6:$BG$38,58,0)</f>
        <v>0</v>
      </c>
      <c r="U18" s="36">
        <f>VLOOKUP($A18,[29]HISTONOV24!$A$6:$AU$38,28,0)</f>
        <v>0</v>
      </c>
      <c r="V18" s="36">
        <f>VLOOKUP($A18,[29]HISTONOV24!$A$6:$AU$38,19,0)</f>
        <v>0</v>
      </c>
      <c r="W18" s="36">
        <f>VLOOKUP($A18,[29]HISTONOV24!$A$6:$AU$38,20,0)</f>
        <v>0</v>
      </c>
      <c r="X18" s="36">
        <f>VLOOKUP($A18,[29]HISTONOV24!$A$6:$AU$38,27,0)</f>
        <v>0</v>
      </c>
      <c r="Y18" s="36">
        <f>VLOOKUP($A18,[29]HISTONOV24!$A$6:$BM$38,33,0)</f>
        <v>0</v>
      </c>
      <c r="Z18" s="36">
        <f>VLOOKUP($A18,[29]HISTONOV24!$A$6:$BM$38,65,0)</f>
        <v>0</v>
      </c>
      <c r="AA18" s="36"/>
      <c r="AB18" s="36">
        <f>VLOOKUP($A18,[29]HISTONOV24!$A$6:$AU$38,43,0)</f>
        <v>0</v>
      </c>
      <c r="AC18" s="36">
        <f>VLOOKUP($A18,[29]HISTONOV24!$A$6:$AU$38,44,0)</f>
        <v>0</v>
      </c>
      <c r="AD18" s="36">
        <f>VLOOKUP($A18,[29]HISTONOV24!$A$6:$AU$38,47,0)</f>
        <v>0</v>
      </c>
      <c r="AE18" s="36">
        <f>VLOOKUP(A18,[29]HISTONOV24!$A$6:$BB$38,54,0)</f>
        <v>0</v>
      </c>
      <c r="AF18" s="36">
        <f>VLOOKUP($A18,[29]HISTONOV24!$A$6:$CB$38,60,0)</f>
        <v>0</v>
      </c>
      <c r="AG18" s="36">
        <f>VLOOKUP($A18,[29]HISTONOV24!$A$6:$CB$38,61,0)</f>
        <v>0</v>
      </c>
      <c r="AH18" s="36">
        <f>VLOOKUP($A18,[29]HISTONOV24!$A$6:$CB$38,62,0)</f>
        <v>0</v>
      </c>
      <c r="AI18" s="36">
        <f>VLOOKUP($A18,[29]HISTONOV24!$A$6:$CB$38,63,0)</f>
        <v>0</v>
      </c>
      <c r="AJ18" s="36">
        <f>VLOOKUP($A18,[29]HISTONOV24!$A$6:$CB$38,64,0)</f>
        <v>0</v>
      </c>
      <c r="AK18" s="36">
        <f>VLOOKUP($A18,[29]HISTONOV24!$A$6:$CB$38,65,0)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MVTOCT24!I19-E19+L19</f>
        <v>676217</v>
      </c>
      <c r="G19" s="5">
        <f>IF(MVTOCT24!I19+L19&gt;700000,(MVTOCT24!I19-E19+L19),0)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MVTOCT24!I20-E20+L20</f>
        <v>209000</v>
      </c>
      <c r="G20" s="5">
        <f>IF(MVTOCT24!I20+L20&gt;700000,(MVTOCT24!I20-E20+L20),0)</f>
        <v>0</v>
      </c>
      <c r="H20" s="36">
        <f t="shared" si="0"/>
        <v>0</v>
      </c>
      <c r="I20" s="6">
        <f t="shared" si="2"/>
        <v>209000</v>
      </c>
      <c r="J20" s="36">
        <f>VLOOKUP($A20,[29]HISTONOV24!$A$6:$AQ$42,22,0)</f>
        <v>0</v>
      </c>
      <c r="K20" s="36">
        <f>VLOOKUP($A20,[29]HISTONOV24!$A$6:$AU$38,45,0)</f>
        <v>25000</v>
      </c>
      <c r="L20" s="36">
        <f t="shared" ref="L20" si="6">IF(K20=0,0,K20-(M20+N20+O20))</f>
        <v>19000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VLOOKUP($A20,[29]HISTONOV24!$A$6:$AU$38,7,0)</f>
        <v>0</v>
      </c>
      <c r="Q20" s="36">
        <f>VLOOKUP($A20,[29]HISTONOV24!$A$6:$AU$38,23,0)</f>
        <v>0</v>
      </c>
      <c r="R20" s="36">
        <f>VLOOKUP($A20,[29]HISTONOV24!$A$6:$AU$38,46,0)</f>
        <v>0</v>
      </c>
      <c r="S20" s="36">
        <f>VLOOKUP($A20,[29]HISTONOV24!$A$6:$AU$38,26,0)</f>
        <v>0</v>
      </c>
      <c r="T20" s="36">
        <f>VLOOKUP($A20,[29]HISTONOV24!$A$6:$BG$38,58,0)</f>
        <v>0</v>
      </c>
      <c r="U20" s="36">
        <f>VLOOKUP($A20,[29]HISTONOV24!$A$6:$AU$38,28,0)</f>
        <v>0</v>
      </c>
      <c r="V20" s="36">
        <f>VLOOKUP($A20,[29]HISTONOV24!$A$6:$AU$38,19,0)</f>
        <v>0</v>
      </c>
      <c r="W20" s="36">
        <f>VLOOKUP($A20,[29]HISTONOV24!$A$6:$AU$38,20,0)</f>
        <v>0</v>
      </c>
      <c r="X20" s="36">
        <f>VLOOKUP($A20,[29]HISTONOV24!$A$6:$AU$38,27,0)</f>
        <v>0</v>
      </c>
      <c r="Y20" s="36">
        <f>VLOOKUP($A20,[29]HISTONOV24!$A$6:$BM$38,33,0)</f>
        <v>0</v>
      </c>
      <c r="Z20" s="36">
        <f>VLOOKUP($A20,[29]HISTONOV24!$A$6:$BM$38,65,0)</f>
        <v>0</v>
      </c>
      <c r="AA20" s="36"/>
      <c r="AB20" s="36">
        <f>VLOOKUP($A20,[29]HISTONOV24!$A$6:$AU$38,43,0)</f>
        <v>0</v>
      </c>
      <c r="AC20" s="36">
        <f>VLOOKUP($A20,[29]HISTONOV24!$A$6:$AU$38,44,0)</f>
        <v>0</v>
      </c>
      <c r="AD20" s="36">
        <f>VLOOKUP($A20,[29]HISTONOV24!$A$6:$AU$38,47,0)</f>
        <v>0</v>
      </c>
      <c r="AE20" s="36">
        <f>VLOOKUP(A20,[29]HISTONOV24!$A$6:$BB$38,54,0)</f>
        <v>0</v>
      </c>
      <c r="AF20" s="36">
        <f>VLOOKUP($A20,[29]HISTONOV24!$A$6:$CB$38,60,0)</f>
        <v>0</v>
      </c>
      <c r="AG20" s="36">
        <f>VLOOKUP($A20,[29]HISTONOV24!$A$6:$CB$38,61,0)</f>
        <v>0</v>
      </c>
      <c r="AH20" s="36">
        <f>VLOOKUP($A20,[29]HISTONOV24!$A$6:$CB$38,62,0)</f>
        <v>0</v>
      </c>
      <c r="AI20" s="36">
        <f>VLOOKUP($A20,[29]HISTONOV24!$A$6:$CB$38,63,0)</f>
        <v>0</v>
      </c>
      <c r="AJ20" s="36">
        <f>VLOOKUP($A20,[29]HISTONOV24!$A$6:$CB$38,64,0)</f>
        <v>0</v>
      </c>
      <c r="AK20" s="36">
        <f>VLOOKUP($A20,[29]HISTONOV24!$A$6:$CB$38,65,0)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MVTOCT24!I21-E21+L21</f>
        <v>998780.93650222523</v>
      </c>
      <c r="G21" s="5">
        <f>IF(MVTOCT24!I21+L21&gt;700000,(MVTOCT24!I21-E21+L21),0)</f>
        <v>998780.93650222523</v>
      </c>
      <c r="H21" s="36">
        <f t="shared" si="0"/>
        <v>283.1136985488626</v>
      </c>
      <c r="I21" s="6">
        <f t="shared" si="2"/>
        <v>999064.0502007741</v>
      </c>
      <c r="J21" s="36">
        <f>VLOOKUP($A21,[29]HISTONOV24!$A$6:$AQ$42,22,0)</f>
        <v>0</v>
      </c>
      <c r="K21" s="36">
        <f>VLOOKUP($A21,[29]HISTONOV24!$A$6:$AU$38,45,0)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VLOOKUP($A21,[29]HISTONOV24!$A$6:$AU$38,7,0)</f>
        <v>0</v>
      </c>
      <c r="Q21" s="36">
        <f>VLOOKUP($A21,[29]HISTONOV24!$A$6:$AU$38,23,0)</f>
        <v>0</v>
      </c>
      <c r="R21" s="36">
        <f>VLOOKUP($A21,[29]HISTONOV24!$A$6:$AU$38,46,0)</f>
        <v>0</v>
      </c>
      <c r="S21" s="36">
        <f>VLOOKUP($A21,[29]HISTONOV24!$A$6:$AU$38,26,0)</f>
        <v>0</v>
      </c>
      <c r="T21" s="36">
        <f>VLOOKUP($A21,[29]HISTONOV24!$A$6:$BG$38,58,0)</f>
        <v>0</v>
      </c>
      <c r="U21" s="36">
        <f>VLOOKUP($A21,[29]HISTONOV24!$A$6:$AU$38,28,0)</f>
        <v>0</v>
      </c>
      <c r="V21" s="36">
        <f>VLOOKUP($A21,[29]HISTONOV24!$A$6:$AU$38,19,0)</f>
        <v>0</v>
      </c>
      <c r="W21" s="36">
        <f>VLOOKUP($A21,[29]HISTONOV24!$A$6:$AU$38,20,0)</f>
        <v>0</v>
      </c>
      <c r="X21" s="36">
        <f>VLOOKUP($A21,[29]HISTONOV24!$A$6:$AU$38,27,0)</f>
        <v>0</v>
      </c>
      <c r="Y21" s="36">
        <f>VLOOKUP($A21,[29]HISTONOV24!$A$6:$BM$38,33,0)</f>
        <v>0</v>
      </c>
      <c r="Z21" s="36">
        <f>VLOOKUP($A21,[29]HISTONOV24!$A$6:$BM$38,65,0)</f>
        <v>0</v>
      </c>
      <c r="AA21" s="36"/>
      <c r="AB21" s="36">
        <f>VLOOKUP($A21,[29]HISTONOV24!$A$6:$AU$38,43,0)</f>
        <v>0</v>
      </c>
      <c r="AC21" s="36">
        <f>VLOOKUP($A21,[29]HISTONOV24!$A$6:$AU$38,44,0)</f>
        <v>0</v>
      </c>
      <c r="AD21" s="36">
        <f>VLOOKUP($A21,[29]HISTONOV24!$A$6:$AU$38,47,0)</f>
        <v>0</v>
      </c>
      <c r="AE21" s="36">
        <f>VLOOKUP(A21,[29]HISTONOV24!$A$6:$BB$38,54,0)</f>
        <v>0</v>
      </c>
      <c r="AF21" s="36">
        <f>VLOOKUP($A21,[29]HISTONOV24!$A$6:$CB$38,60,0)</f>
        <v>0</v>
      </c>
      <c r="AG21" s="36">
        <f>VLOOKUP($A21,[29]HISTONOV24!$A$6:$CB$38,61,0)</f>
        <v>0</v>
      </c>
      <c r="AH21" s="36">
        <f>VLOOKUP($A21,[29]HISTONOV24!$A$6:$CB$38,62,0)</f>
        <v>0</v>
      </c>
      <c r="AI21" s="36">
        <f>VLOOKUP($A21,[29]HISTONOV24!$A$6:$CB$38,63,0)</f>
        <v>6000</v>
      </c>
      <c r="AJ21" s="36">
        <f>VLOOKUP($A21,[29]HISTONOV24!$A$6:$CB$38,64,0)</f>
        <v>0</v>
      </c>
      <c r="AK21" s="36">
        <f>VLOOKUP($A21,[29]HISTONOV24!$A$6:$CB$38,65,0)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MVTOCT24!I22-E22+L22</f>
        <v>967328.45476362517</v>
      </c>
      <c r="G22" s="5">
        <f>IF(MVTOCT24!I22+L22&gt;700000,(MVTOCT24!I22-E22+L22),0)</f>
        <v>967328.45476362517</v>
      </c>
      <c r="H22" s="36">
        <f t="shared" si="0"/>
        <v>274.19820155836135</v>
      </c>
      <c r="I22" s="6">
        <f t="shared" si="2"/>
        <v>967602.65296518349</v>
      </c>
      <c r="J22" s="36">
        <f>VLOOKUP($A22,[29]HISTONOV24!$A$6:$AQ$42,22,0)</f>
        <v>0</v>
      </c>
      <c r="K22" s="36">
        <f>VLOOKUP($A22,[29]HISTONOV24!$A$6:$AU$38,45,0)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VLOOKUP($A22,[29]HISTONOV24!$A$6:$AU$38,7,0)</f>
        <v>0</v>
      </c>
      <c r="Q22" s="36">
        <f>VLOOKUP($A22,[29]HISTONOV24!$A$6:$AU$38,23,0)</f>
        <v>0</v>
      </c>
      <c r="R22" s="36">
        <f>VLOOKUP($A22,[29]HISTONOV24!$A$6:$AU$38,46,0)</f>
        <v>0</v>
      </c>
      <c r="S22" s="36">
        <f>VLOOKUP($A22,[29]HISTONOV24!$A$6:$AU$38,26,0)</f>
        <v>0</v>
      </c>
      <c r="T22" s="36">
        <f>VLOOKUP($A22,[29]HISTONOV24!$A$6:$BG$38,58,0)</f>
        <v>0</v>
      </c>
      <c r="U22" s="36">
        <f>VLOOKUP($A22,[29]HISTONOV24!$A$6:$AU$38,28,0)</f>
        <v>0</v>
      </c>
      <c r="V22" s="36">
        <f>VLOOKUP($A22,[29]HISTONOV24!$A$6:$AU$38,19,0)</f>
        <v>0</v>
      </c>
      <c r="W22" s="36">
        <f>VLOOKUP($A22,[29]HISTONOV24!$A$6:$AU$38,20,0)</f>
        <v>0</v>
      </c>
      <c r="X22" s="36">
        <f>VLOOKUP($A22,[29]HISTONOV24!$A$6:$AU$38,27,0)</f>
        <v>0</v>
      </c>
      <c r="Y22" s="36">
        <f>VLOOKUP($A22,[29]HISTONOV24!$A$6:$BM$38,33,0)</f>
        <v>0</v>
      </c>
      <c r="Z22" s="36">
        <f>VLOOKUP($A22,[29]HISTONOV24!$A$6:$BM$38,65,0)</f>
        <v>0</v>
      </c>
      <c r="AA22" s="36"/>
      <c r="AB22" s="36">
        <f>VLOOKUP($A22,[29]HISTONOV24!$A$6:$AU$38,43,0)</f>
        <v>0</v>
      </c>
      <c r="AC22" s="36">
        <f>VLOOKUP($A22,[29]HISTONOV24!$A$6:$AU$38,44,0)</f>
        <v>0</v>
      </c>
      <c r="AD22" s="36">
        <f>VLOOKUP($A22,[29]HISTONOV24!$A$6:$AU$38,47,0)</f>
        <v>0</v>
      </c>
      <c r="AE22" s="36">
        <f>VLOOKUP(A22,[29]HISTONOV24!$A$6:$BB$38,54,0)</f>
        <v>0</v>
      </c>
      <c r="AF22" s="36">
        <f>VLOOKUP($A22,[29]HISTONOV24!$A$6:$CB$38,60,0)</f>
        <v>0</v>
      </c>
      <c r="AG22" s="36">
        <f>VLOOKUP($A22,[29]HISTONOV24!$A$6:$CB$38,61,0)</f>
        <v>0</v>
      </c>
      <c r="AH22" s="36">
        <f>VLOOKUP($A22,[29]HISTONOV24!$A$6:$CB$38,62,0)</f>
        <v>0</v>
      </c>
      <c r="AI22" s="36">
        <f>VLOOKUP($A22,[29]HISTONOV24!$A$6:$CB$38,63,0)</f>
        <v>0</v>
      </c>
      <c r="AJ22" s="36">
        <f>VLOOKUP($A22,[29]HISTONOV24!$A$6:$CB$38,64,0)</f>
        <v>0</v>
      </c>
      <c r="AK22" s="36">
        <f>VLOOKUP($A22,[29]HISTONOV24!$A$6:$CB$38,65,0)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MVTOCT24!I23-E23+L23</f>
        <v>1074413.1344334492</v>
      </c>
      <c r="G23" s="5">
        <f>IF(MVTOCT24!I23+L23&gt;700000,(MVTOCT24!I23-E23+L23),0)</f>
        <v>1074413.1344334492</v>
      </c>
      <c r="H23" s="36">
        <f t="shared" si="0"/>
        <v>304.55234490576646</v>
      </c>
      <c r="I23" s="6">
        <f t="shared" si="2"/>
        <v>1074717.6867783549</v>
      </c>
      <c r="J23" s="36">
        <f>VLOOKUP($A23,[29]HISTONOV24!$A$6:$AQ$42,22,0)</f>
        <v>0</v>
      </c>
      <c r="K23" s="36">
        <f>VLOOKUP($A23,[29]HISTONOV24!$A$6:$AU$38,45,0)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VLOOKUP($A23,[29]HISTONOV24!$A$6:$AU$38,7,0)</f>
        <v>0</v>
      </c>
      <c r="Q23" s="36">
        <f>VLOOKUP($A23,[29]HISTONOV24!$A$6:$AU$38,23,0)</f>
        <v>0</v>
      </c>
      <c r="R23" s="36">
        <f>VLOOKUP($A23,[29]HISTONOV24!$A$6:$AU$38,46,0)</f>
        <v>0</v>
      </c>
      <c r="S23" s="36">
        <f>VLOOKUP($A23,[29]HISTONOV24!$A$6:$AU$38,26,0)</f>
        <v>0</v>
      </c>
      <c r="T23" s="36">
        <f>VLOOKUP($A23,[29]HISTONOV24!$A$6:$BG$38,58,0)</f>
        <v>0</v>
      </c>
      <c r="U23" s="36">
        <f>VLOOKUP($A23,[29]HISTONOV24!$A$6:$AU$38,28,0)</f>
        <v>0</v>
      </c>
      <c r="V23" s="36">
        <f>VLOOKUP($A23,[29]HISTONOV24!$A$6:$AU$38,19,0)</f>
        <v>892500</v>
      </c>
      <c r="W23" s="36" t="str">
        <f>VLOOKUP($A23,[29]HISTONOV24!$A$6:$AU$38,20,0)</f>
        <v>BANQUE</v>
      </c>
      <c r="X23" s="36">
        <f>VLOOKUP($A23,[29]HISTONOV24!$A$6:$AU$38,27,0)</f>
        <v>0</v>
      </c>
      <c r="Y23" s="36">
        <f>VLOOKUP($A23,[29]HISTONOV24!$A$6:$BM$38,33,0)</f>
        <v>0</v>
      </c>
      <c r="Z23" s="36">
        <f>VLOOKUP($A23,[29]HISTONOV24!$A$6:$BM$38,65,0)</f>
        <v>0</v>
      </c>
      <c r="AA23" s="36"/>
      <c r="AB23" s="36">
        <f>VLOOKUP($A23,[29]HISTONOV24!$A$6:$AU$38,43,0)</f>
        <v>0</v>
      </c>
      <c r="AC23" s="36">
        <f>VLOOKUP($A23,[29]HISTONOV24!$A$6:$AU$38,44,0)</f>
        <v>0</v>
      </c>
      <c r="AD23" s="36">
        <f>VLOOKUP($A23,[29]HISTONOV24!$A$6:$AU$38,47,0)</f>
        <v>0</v>
      </c>
      <c r="AE23" s="36">
        <f>VLOOKUP(A23,[29]HISTONOV24!$A$6:$BB$38,54,0)</f>
        <v>0</v>
      </c>
      <c r="AF23" s="36">
        <f>VLOOKUP($A23,[29]HISTONOV24!$A$6:$CB$38,60,0)</f>
        <v>0</v>
      </c>
      <c r="AG23" s="36">
        <f>VLOOKUP($A23,[29]HISTONOV24!$A$6:$CB$38,61,0)</f>
        <v>0</v>
      </c>
      <c r="AH23" s="36">
        <f>VLOOKUP($A23,[29]HISTONOV24!$A$6:$CB$38,62,0)</f>
        <v>0</v>
      </c>
      <c r="AI23" s="36">
        <f>VLOOKUP($A23,[29]HISTONOV24!$A$6:$CB$38,63,0)</f>
        <v>0</v>
      </c>
      <c r="AJ23" s="36">
        <f>VLOOKUP($A23,[29]HISTONOV24!$A$6:$CB$38,64,0)</f>
        <v>0</v>
      </c>
      <c r="AK23" s="36">
        <f>VLOOKUP($A23,[29]HISTONOV24!$A$6:$CB$38,65,0)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MVTOCT24!I24-E24+L24</f>
        <v>1339958.3213542646</v>
      </c>
      <c r="G24" s="5">
        <f>IF(MVTOCT24!I24+L24&gt;700000,(MVTOCT24!I24-E24+L24),0)</f>
        <v>1339958.3213542646</v>
      </c>
      <c r="H24" s="36">
        <f t="shared" si="0"/>
        <v>379.82358532839902</v>
      </c>
      <c r="I24" s="6">
        <f t="shared" si="2"/>
        <v>1340338.144939593</v>
      </c>
      <c r="J24" s="36">
        <f>VLOOKUP($A24,[29]HISTONOV24!$A$6:$AQ$42,22,0)</f>
        <v>0</v>
      </c>
      <c r="K24" s="36">
        <f>VLOOKUP($A24,[29]HISTONOV24!$A$6:$AU$38,45,0)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VLOOKUP($A24,[29]HISTONOV24!$A$6:$AU$38,7,0)</f>
        <v>0</v>
      </c>
      <c r="Q24" s="36">
        <f>VLOOKUP($A24,[29]HISTONOV24!$A$6:$AU$38,23,0)</f>
        <v>0</v>
      </c>
      <c r="R24" s="36">
        <f>VLOOKUP($A24,[29]HISTONOV24!$A$6:$AU$38,46,0)</f>
        <v>0</v>
      </c>
      <c r="S24" s="36">
        <f>VLOOKUP($A24,[29]HISTONOV24!$A$6:$AU$38,26,0)</f>
        <v>0</v>
      </c>
      <c r="T24" s="36">
        <f>VLOOKUP($A24,[29]HISTONOV24!$A$6:$BG$38,58,0)</f>
        <v>0</v>
      </c>
      <c r="U24" s="36">
        <f>VLOOKUP($A24,[29]HISTONOV24!$A$6:$AU$38,28,0)</f>
        <v>0</v>
      </c>
      <c r="V24" s="36">
        <f>VLOOKUP($A24,[29]HISTONOV24!$A$6:$AU$38,19,0)</f>
        <v>0</v>
      </c>
      <c r="W24" s="36">
        <f>VLOOKUP($A24,[29]HISTONOV24!$A$6:$AU$38,20,0)</f>
        <v>0</v>
      </c>
      <c r="X24" s="36">
        <f>VLOOKUP($A24,[29]HISTONOV24!$A$6:$AU$38,27,0)</f>
        <v>0</v>
      </c>
      <c r="Y24" s="36">
        <f>VLOOKUP($A24,[29]HISTONOV24!$A$6:$BM$38,33,0)</f>
        <v>0</v>
      </c>
      <c r="Z24" s="36">
        <f>VLOOKUP($A24,[29]HISTONOV24!$A$6:$BM$38,65,0)</f>
        <v>0</v>
      </c>
      <c r="AA24" s="36"/>
      <c r="AB24" s="36">
        <f>VLOOKUP($A24,[29]HISTONOV24!$A$6:$AU$38,43,0)</f>
        <v>0</v>
      </c>
      <c r="AC24" s="36">
        <f>VLOOKUP($A24,[29]HISTONOV24!$A$6:$AU$38,44,0)</f>
        <v>0</v>
      </c>
      <c r="AD24" s="36">
        <f>VLOOKUP($A24,[29]HISTONOV24!$A$6:$AU$38,47,0)</f>
        <v>0</v>
      </c>
      <c r="AE24" s="36">
        <f>VLOOKUP(A24,[29]HISTONOV24!$A$6:$BB$38,54,0)</f>
        <v>0</v>
      </c>
      <c r="AF24" s="36">
        <f>VLOOKUP($A24,[29]HISTONOV24!$A$6:$CB$38,60,0)</f>
        <v>0</v>
      </c>
      <c r="AG24" s="36">
        <f>VLOOKUP($A24,[29]HISTONOV24!$A$6:$CB$38,61,0)</f>
        <v>0</v>
      </c>
      <c r="AH24" s="36">
        <f>VLOOKUP($A24,[29]HISTONOV24!$A$6:$CB$38,62,0)</f>
        <v>0</v>
      </c>
      <c r="AI24" s="36">
        <f>VLOOKUP($A24,[29]HISTONOV24!$A$6:$CB$38,63,0)</f>
        <v>0</v>
      </c>
      <c r="AJ24" s="36">
        <f>VLOOKUP($A24,[29]HISTONOV24!$A$6:$CB$38,64,0)</f>
        <v>0</v>
      </c>
      <c r="AK24" s="36">
        <f>VLOOKUP($A24,[29]HISTONOV24!$A$6:$CB$38,65,0)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MVTOCT24!I25-E25+L25</f>
        <v>1181568.0339793954</v>
      </c>
      <c r="G25" s="5">
        <f>IF(MVTOCT24!I25+L25&gt;700000,(MVTOCT24!I25-E25+L25),0)</f>
        <v>1181568.0339793954</v>
      </c>
      <c r="H25" s="36">
        <f t="shared" si="0"/>
        <v>334.92639272682948</v>
      </c>
      <c r="I25" s="6">
        <f t="shared" si="2"/>
        <v>1181902.9603721222</v>
      </c>
      <c r="J25" s="36">
        <f>VLOOKUP($A25,[29]HISTONOV24!$A$6:$AQ$42,22,0)</f>
        <v>0</v>
      </c>
      <c r="K25" s="36">
        <f>VLOOKUP($A25,[29]HISTONOV24!$A$6:$AU$38,45,0)</f>
        <v>40000</v>
      </c>
      <c r="L25" s="36">
        <f t="shared" si="3"/>
        <v>34000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VLOOKUP($A25,[29]HISTONOV24!$A$6:$AU$38,7,0)</f>
        <v>3000</v>
      </c>
      <c r="Q25" s="36">
        <f>VLOOKUP($A25,[29]HISTONOV24!$A$6:$AU$38,23,0)</f>
        <v>0</v>
      </c>
      <c r="R25" s="36">
        <f>VLOOKUP($A25,[29]HISTONOV24!$A$6:$AU$38,46,0)</f>
        <v>0</v>
      </c>
      <c r="S25" s="36">
        <f>VLOOKUP($A25,[29]HISTONOV24!$A$6:$AU$38,26,0)</f>
        <v>0</v>
      </c>
      <c r="T25" s="36">
        <f>VLOOKUP($A25,[29]HISTONOV24!$A$6:$BG$38,58,0)</f>
        <v>0</v>
      </c>
      <c r="U25" s="36">
        <f>VLOOKUP($A25,[29]HISTONOV24!$A$6:$AU$38,28,0)</f>
        <v>0</v>
      </c>
      <c r="V25" s="36">
        <f>VLOOKUP($A25,[29]HISTONOV24!$A$6:$AU$38,19,0)</f>
        <v>0</v>
      </c>
      <c r="W25" s="36">
        <f>VLOOKUP($A25,[29]HISTONOV24!$A$6:$AU$38,20,0)</f>
        <v>0</v>
      </c>
      <c r="X25" s="36">
        <f>VLOOKUP($A25,[29]HISTONOV24!$A$6:$AU$38,27,0)</f>
        <v>0</v>
      </c>
      <c r="Y25" s="36">
        <f>VLOOKUP($A25,[29]HISTONOV24!$A$6:$BM$38,33,0)</f>
        <v>0</v>
      </c>
      <c r="Z25" s="36">
        <f>VLOOKUP($A25,[29]HISTONOV24!$A$6:$BM$38,65,0)</f>
        <v>0</v>
      </c>
      <c r="AA25" s="36"/>
      <c r="AB25" s="36">
        <f>VLOOKUP($A25,[29]HISTONOV24!$A$6:$AU$38,43,0)</f>
        <v>0</v>
      </c>
      <c r="AC25" s="36">
        <f>VLOOKUP($A25,[29]HISTONOV24!$A$6:$AU$38,44,0)</f>
        <v>0</v>
      </c>
      <c r="AD25" s="36">
        <f>VLOOKUP($A25,[29]HISTONOV24!$A$6:$AU$38,47,0)</f>
        <v>0</v>
      </c>
      <c r="AE25" s="36">
        <f>VLOOKUP(A25,[29]HISTONOV24!$A$6:$BB$38,54,0)</f>
        <v>0</v>
      </c>
      <c r="AF25" s="36">
        <f>VLOOKUP($A25,[29]HISTONOV24!$A$6:$CB$38,60,0)</f>
        <v>0</v>
      </c>
      <c r="AG25" s="36">
        <f>VLOOKUP($A25,[29]HISTONOV24!$A$6:$CB$38,61,0)</f>
        <v>0</v>
      </c>
      <c r="AH25" s="36">
        <f>VLOOKUP($A25,[29]HISTONOV24!$A$6:$CB$38,62,0)</f>
        <v>0</v>
      </c>
      <c r="AI25" s="36">
        <f>VLOOKUP($A25,[29]HISTONOV24!$A$6:$CB$38,63,0)</f>
        <v>0</v>
      </c>
      <c r="AJ25" s="36">
        <f>VLOOKUP($A25,[29]HISTONOV24!$A$6:$CB$38,64,0)</f>
        <v>0</v>
      </c>
      <c r="AK25" s="36">
        <f>VLOOKUP($A25,[29]HISTONOV24!$A$6:$CB$38,65,0)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MVTOCT24!I26-E26+L26</f>
        <v>980594.46576428716</v>
      </c>
      <c r="G26" s="5">
        <f>IF(MVTOCT24!I26+L26&gt;700000,(MVTOCT24!I26-E26+L26),0)</f>
        <v>980594.46576428716</v>
      </c>
      <c r="H26" s="36">
        <f t="shared" si="0"/>
        <v>277.95857513191015</v>
      </c>
      <c r="I26" s="6">
        <f t="shared" si="2"/>
        <v>980872.42433941911</v>
      </c>
      <c r="J26" s="36">
        <f>VLOOKUP($A26,[29]HISTONOV24!$A$6:$AQ$42,22,0)</f>
        <v>0</v>
      </c>
      <c r="K26" s="36">
        <f>VLOOKUP($A26,[29]HISTONOV24!$A$6:$AU$38,45,0)</f>
        <v>29000</v>
      </c>
      <c r="L26" s="36">
        <f t="shared" si="3"/>
        <v>23000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VLOOKUP($A26,[29]HISTONOV24!$A$6:$AU$38,7,0)</f>
        <v>0</v>
      </c>
      <c r="Q26" s="36">
        <f>VLOOKUP($A26,[29]HISTONOV24!$A$6:$AU$38,23,0)</f>
        <v>0</v>
      </c>
      <c r="R26" s="36">
        <f>VLOOKUP($A26,[29]HISTONOV24!$A$6:$AU$38,46,0)</f>
        <v>0</v>
      </c>
      <c r="S26" s="36">
        <f>VLOOKUP($A26,[29]HISTONOV24!$A$6:$AU$38,26,0)</f>
        <v>0</v>
      </c>
      <c r="T26" s="36">
        <f>VLOOKUP($A26,[29]HISTONOV24!$A$6:$BG$38,58,0)</f>
        <v>0</v>
      </c>
      <c r="U26" s="36">
        <f>VLOOKUP($A26,[29]HISTONOV24!$A$6:$AU$38,28,0)</f>
        <v>0</v>
      </c>
      <c r="V26" s="36">
        <f>VLOOKUP($A26,[29]HISTONOV24!$A$6:$AU$38,19,0)</f>
        <v>0</v>
      </c>
      <c r="W26" s="36">
        <f>VLOOKUP($A26,[29]HISTONOV24!$A$6:$AU$38,20,0)</f>
        <v>0</v>
      </c>
      <c r="X26" s="36">
        <f>VLOOKUP($A26,[29]HISTONOV24!$A$6:$AU$38,27,0)</f>
        <v>0</v>
      </c>
      <c r="Y26" s="36">
        <f>VLOOKUP($A26,[29]HISTONOV24!$A$6:$BM$38,33,0)</f>
        <v>0</v>
      </c>
      <c r="Z26" s="36">
        <f>VLOOKUP($A26,[29]HISTONOV24!$A$6:$BM$38,65,0)</f>
        <v>0</v>
      </c>
      <c r="AA26" s="36"/>
      <c r="AB26" s="36">
        <f>VLOOKUP($A26,[29]HISTONOV24!$A$6:$AU$38,43,0)</f>
        <v>0</v>
      </c>
      <c r="AC26" s="36">
        <f>VLOOKUP($A26,[29]HISTONOV24!$A$6:$AU$38,44,0)</f>
        <v>0</v>
      </c>
      <c r="AD26" s="36">
        <f>VLOOKUP($A26,[29]HISTONOV24!$A$6:$AU$38,47,0)</f>
        <v>0</v>
      </c>
      <c r="AE26" s="36">
        <f>VLOOKUP(A26,[29]HISTONOV24!$A$6:$BB$38,54,0)</f>
        <v>0</v>
      </c>
      <c r="AF26" s="36">
        <f>VLOOKUP($A26,[29]HISTONOV24!$A$6:$CB$38,60,0)</f>
        <v>0</v>
      </c>
      <c r="AG26" s="36">
        <f>VLOOKUP($A26,[29]HISTONOV24!$A$6:$CB$38,61,0)</f>
        <v>0</v>
      </c>
      <c r="AH26" s="36">
        <f>VLOOKUP($A26,[29]HISTONOV24!$A$6:$CB$38,62,0)</f>
        <v>0</v>
      </c>
      <c r="AI26" s="36">
        <f>VLOOKUP($A26,[29]HISTONOV24!$A$6:$CB$38,63,0)</f>
        <v>0</v>
      </c>
      <c r="AJ26" s="36">
        <f>VLOOKUP($A26,[29]HISTONOV24!$A$6:$CB$38,64,0)</f>
        <v>0</v>
      </c>
      <c r="AK26" s="36">
        <f>VLOOKUP($A26,[29]HISTONOV24!$A$6:$CB$38,65,0)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MVTOCT24!I27-E27+L27</f>
        <v>988125.90438113711</v>
      </c>
      <c r="G27" s="5">
        <f>IF(MVTOCT24!I27+L27&gt;700000,(MVTOCT24!I27-E27+L27),0)</f>
        <v>988125.90438113711</v>
      </c>
      <c r="H27" s="36">
        <f t="shared" si="0"/>
        <v>280.09343109910287</v>
      </c>
      <c r="I27" s="6">
        <f t="shared" si="2"/>
        <v>988405.99781223619</v>
      </c>
      <c r="J27" s="36">
        <f>VLOOKUP($A27,[29]HISTONOV24!$A$6:$AQ$42,22,0)</f>
        <v>0</v>
      </c>
      <c r="K27" s="36">
        <f>VLOOKUP($A27,[29]HISTONOV24!$A$6:$AU$38,45,0)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VLOOKUP($A27,[29]HISTONOV24!$A$6:$AU$38,7,0)</f>
        <v>0</v>
      </c>
      <c r="Q27" s="36">
        <f>VLOOKUP($A27,[29]HISTONOV24!$A$6:$AU$38,23,0)</f>
        <v>0</v>
      </c>
      <c r="R27" s="36">
        <f>VLOOKUP($A27,[29]HISTONOV24!$A$6:$AU$38,46,0)</f>
        <v>0</v>
      </c>
      <c r="S27" s="36">
        <f>VLOOKUP($A27,[29]HISTONOV24!$A$6:$AU$38,26,0)</f>
        <v>0</v>
      </c>
      <c r="T27" s="36">
        <f>VLOOKUP($A27,[29]HISTONOV24!$A$6:$BG$38,58,0)</f>
        <v>0</v>
      </c>
      <c r="U27" s="36">
        <f>VLOOKUP($A27,[29]HISTONOV24!$A$6:$AU$38,28,0)</f>
        <v>0</v>
      </c>
      <c r="V27" s="36">
        <f>VLOOKUP($A27,[29]HISTONOV24!$A$6:$AU$38,19,0)</f>
        <v>0</v>
      </c>
      <c r="W27" s="36">
        <f>VLOOKUP($A27,[29]HISTONOV24!$A$6:$AU$38,20,0)</f>
        <v>0</v>
      </c>
      <c r="X27" s="36">
        <f>VLOOKUP($A27,[29]HISTONOV24!$A$6:$AU$38,27,0)</f>
        <v>0</v>
      </c>
      <c r="Y27" s="36">
        <f>VLOOKUP($A27,[29]HISTONOV24!$A$6:$BM$38,33,0)</f>
        <v>0</v>
      </c>
      <c r="Z27" s="36">
        <f>VLOOKUP($A27,[29]HISTONOV24!$A$6:$BM$38,65,0)</f>
        <v>0</v>
      </c>
      <c r="AA27" s="36"/>
      <c r="AB27" s="36">
        <f>VLOOKUP($A27,[29]HISTONOV24!$A$6:$AU$38,43,0)</f>
        <v>0</v>
      </c>
      <c r="AC27" s="36">
        <f>VLOOKUP($A27,[29]HISTONOV24!$A$6:$AU$38,44,0)</f>
        <v>0</v>
      </c>
      <c r="AD27" s="36">
        <f>VLOOKUP($A27,[29]HISTONOV24!$A$6:$AU$38,47,0)</f>
        <v>0</v>
      </c>
      <c r="AE27" s="36">
        <f>VLOOKUP(A27,[29]HISTONOV24!$A$6:$BB$38,54,0)</f>
        <v>0</v>
      </c>
      <c r="AF27" s="36">
        <f>VLOOKUP($A27,[29]HISTONOV24!$A$6:$CB$38,60,0)</f>
        <v>0</v>
      </c>
      <c r="AG27" s="36">
        <f>VLOOKUP($A27,[29]HISTONOV24!$A$6:$CB$38,61,0)</f>
        <v>0</v>
      </c>
      <c r="AH27" s="36">
        <f>VLOOKUP($A27,[29]HISTONOV24!$A$6:$CB$38,62,0)</f>
        <v>0</v>
      </c>
      <c r="AI27" s="36">
        <f>VLOOKUP($A27,[29]HISTONOV24!$A$6:$CB$38,63,0)</f>
        <v>0</v>
      </c>
      <c r="AJ27" s="36">
        <f>VLOOKUP($A27,[29]HISTONOV24!$A$6:$CB$38,64,0)</f>
        <v>0</v>
      </c>
      <c r="AK27" s="36">
        <f>VLOOKUP($A27,[29]HISTONOV24!$A$6:$CB$38,65,0)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MVTOCT24!I28-E28+L28</f>
        <v>887776.77366432885</v>
      </c>
      <c r="G28" s="5">
        <f>IF(MVTOCT24!I28+L28&gt;700000,(MVTOCT24!I28-E28+L28),0)</f>
        <v>887776.77366432885</v>
      </c>
      <c r="H28" s="36">
        <f t="shared" si="0"/>
        <v>251.64854142900899</v>
      </c>
      <c r="I28" s="6">
        <f t="shared" si="2"/>
        <v>888028.42220575782</v>
      </c>
      <c r="J28" s="36">
        <f>VLOOKUP($A28,[29]HISTONOV24!$A$6:$AQ$42,22,0)</f>
        <v>0</v>
      </c>
      <c r="K28" s="36">
        <f>VLOOKUP($A28,[29]HISTONOV24!$A$6:$AU$38,45,0)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VLOOKUP($A28,[29]HISTONOV24!$A$6:$AU$38,7,0)</f>
        <v>0</v>
      </c>
      <c r="Q28" s="36">
        <f>VLOOKUP($A28,[29]HISTONOV24!$A$6:$AU$38,23,0)</f>
        <v>0</v>
      </c>
      <c r="R28" s="36">
        <f>VLOOKUP($A28,[29]HISTONOV24!$A$6:$AU$38,46,0)</f>
        <v>0</v>
      </c>
      <c r="S28" s="36">
        <f>VLOOKUP($A28,[29]HISTONOV24!$A$6:$AU$38,26,0)</f>
        <v>0</v>
      </c>
      <c r="T28" s="36">
        <f>VLOOKUP($A28,[29]HISTONOV24!$A$6:$BG$38,58,0)</f>
        <v>0</v>
      </c>
      <c r="U28" s="36">
        <f>VLOOKUP($A28,[29]HISTONOV24!$A$6:$AU$38,28,0)</f>
        <v>0</v>
      </c>
      <c r="V28" s="36">
        <f>VLOOKUP($A28,[29]HISTONOV24!$A$6:$AU$38,19,0)</f>
        <v>0</v>
      </c>
      <c r="W28" s="36">
        <f>VLOOKUP($A28,[29]HISTONOV24!$A$6:$AU$38,20,0)</f>
        <v>0</v>
      </c>
      <c r="X28" s="36">
        <f>VLOOKUP($A28,[29]HISTONOV24!$A$6:$AU$38,27,0)</f>
        <v>0</v>
      </c>
      <c r="Y28" s="36">
        <f>VLOOKUP($A28,[29]HISTONOV24!$A$6:$BM$38,33,0)</f>
        <v>0</v>
      </c>
      <c r="Z28" s="36">
        <f>VLOOKUP($A28,[29]HISTONOV24!$A$6:$BM$38,65,0)</f>
        <v>0</v>
      </c>
      <c r="AA28" s="36"/>
      <c r="AB28" s="36">
        <f>VLOOKUP($A28,[29]HISTONOV24!$A$6:$AU$38,43,0)</f>
        <v>0</v>
      </c>
      <c r="AC28" s="36">
        <f>VLOOKUP($A28,[29]HISTONOV24!$A$6:$AU$38,44,0)</f>
        <v>0</v>
      </c>
      <c r="AD28" s="36">
        <f>VLOOKUP($A28,[29]HISTONOV24!$A$6:$AU$38,47,0)</f>
        <v>0</v>
      </c>
      <c r="AE28" s="36">
        <f>VLOOKUP(A28,[29]HISTONOV24!$A$6:$BB$38,54,0)</f>
        <v>0</v>
      </c>
      <c r="AF28" s="36">
        <f>VLOOKUP($A28,[29]HISTONOV24!$A$6:$CB$38,60,0)</f>
        <v>0</v>
      </c>
      <c r="AG28" s="36">
        <f>VLOOKUP($A28,[29]HISTONOV24!$A$6:$CB$38,61,0)</f>
        <v>0</v>
      </c>
      <c r="AH28" s="36">
        <f>VLOOKUP($A28,[29]HISTONOV24!$A$6:$CB$38,62,0)</f>
        <v>0</v>
      </c>
      <c r="AI28" s="36">
        <f>VLOOKUP($A28,[29]HISTONOV24!$A$6:$CB$38,63,0)</f>
        <v>0</v>
      </c>
      <c r="AJ28" s="36">
        <f>VLOOKUP($A28,[29]HISTONOV24!$A$6:$CB$38,64,0)</f>
        <v>0</v>
      </c>
      <c r="AK28" s="36">
        <f>VLOOKUP($A28,[29]HISTONOV24!$A$6:$CB$38,65,0)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MVTOCT24!I29-E29+L29</f>
        <v>1013233.5277581307</v>
      </c>
      <c r="G29" s="5">
        <f>IF(MVTOCT24!I29+L29&gt;700000,(MVTOCT24!I29-E29+L29),0)</f>
        <v>1013233.5277581307</v>
      </c>
      <c r="H29" s="36">
        <f t="shared" si="0"/>
        <v>287.21041927563556</v>
      </c>
      <c r="I29" s="6">
        <f t="shared" si="2"/>
        <v>1013520.7381774064</v>
      </c>
      <c r="J29" s="36">
        <f>VLOOKUP($A29,[29]HISTONOV24!$A$6:$AQ$42,22,0)</f>
        <v>0</v>
      </c>
      <c r="K29" s="36">
        <f>VLOOKUP($A29,[29]HISTONOV24!$A$6:$AU$38,45,0)</f>
        <v>25000</v>
      </c>
      <c r="L29" s="36">
        <f t="shared" si="3"/>
        <v>19000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VLOOKUP($A29,[29]HISTONOV24!$A$6:$AU$38,7,0)</f>
        <v>0</v>
      </c>
      <c r="Q29" s="36">
        <f>VLOOKUP($A29,[29]HISTONOV24!$A$6:$AU$38,23,0)</f>
        <v>0</v>
      </c>
      <c r="R29" s="36">
        <f>VLOOKUP($A29,[29]HISTONOV24!$A$6:$AU$38,46,0)</f>
        <v>0</v>
      </c>
      <c r="S29" s="36">
        <f>VLOOKUP($A29,[29]HISTONOV24!$A$6:$AU$38,26,0)</f>
        <v>0</v>
      </c>
      <c r="T29" s="36">
        <f>VLOOKUP($A29,[29]HISTONOV24!$A$6:$BG$38,58,0)</f>
        <v>0</v>
      </c>
      <c r="U29" s="36">
        <f>VLOOKUP($A29,[29]HISTONOV24!$A$6:$AU$38,28,0)</f>
        <v>0</v>
      </c>
      <c r="V29" s="36">
        <f>VLOOKUP($A29,[29]HISTONOV24!$A$6:$AU$38,19,0)</f>
        <v>0</v>
      </c>
      <c r="W29" s="36">
        <f>VLOOKUP($A29,[29]HISTONOV24!$A$6:$AU$38,20,0)</f>
        <v>0</v>
      </c>
      <c r="X29" s="36">
        <f>VLOOKUP($A29,[29]HISTONOV24!$A$6:$AU$38,27,0)</f>
        <v>0</v>
      </c>
      <c r="Y29" s="36">
        <f>VLOOKUP($A29,[29]HISTONOV24!$A$6:$BM$38,33,0)</f>
        <v>0</v>
      </c>
      <c r="Z29" s="36">
        <f>VLOOKUP($A29,[29]HISTONOV24!$A$6:$BM$38,65,0)</f>
        <v>0</v>
      </c>
      <c r="AA29" s="36"/>
      <c r="AB29" s="36">
        <f>VLOOKUP($A29,[29]HISTONOV24!$A$6:$AU$38,43,0)</f>
        <v>0</v>
      </c>
      <c r="AC29" s="36">
        <f>VLOOKUP($A29,[29]HISTONOV24!$A$6:$AU$38,44,0)</f>
        <v>0</v>
      </c>
      <c r="AD29" s="36">
        <f>VLOOKUP($A29,[29]HISTONOV24!$A$6:$AU$38,47,0)</f>
        <v>0</v>
      </c>
      <c r="AE29" s="36">
        <f>VLOOKUP(A29,[29]HISTONOV24!$A$6:$BB$38,54,0)</f>
        <v>0</v>
      </c>
      <c r="AF29" s="36">
        <f>VLOOKUP($A29,[29]HISTONOV24!$A$6:$CB$38,60,0)</f>
        <v>0</v>
      </c>
      <c r="AG29" s="36">
        <f>VLOOKUP($A29,[29]HISTONOV24!$A$6:$CB$38,61,0)</f>
        <v>0</v>
      </c>
      <c r="AH29" s="36">
        <f>VLOOKUP($A29,[29]HISTONOV24!$A$6:$CB$38,62,0)</f>
        <v>0</v>
      </c>
      <c r="AI29" s="36">
        <f>VLOOKUP($A29,[29]HISTONOV24!$A$6:$CB$38,63,0)</f>
        <v>0</v>
      </c>
      <c r="AJ29" s="36">
        <f>VLOOKUP($A29,[29]HISTONOV24!$A$6:$CB$38,64,0)</f>
        <v>0</v>
      </c>
      <c r="AK29" s="36">
        <f>VLOOKUP($A29,[29]HISTONOV24!$A$6:$CB$38,65,0)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MVTOCT24!I30-E30+L30</f>
        <v>926246.60333112802</v>
      </c>
      <c r="G30" s="5">
        <f>IF(MVTOCT24!I30+L30&gt;700000,(MVTOCT24!I30-E30+L30),0)</f>
        <v>926246.60333112802</v>
      </c>
      <c r="H30" s="36">
        <f t="shared" si="0"/>
        <v>262.55317062392959</v>
      </c>
      <c r="I30" s="6">
        <f t="shared" si="2"/>
        <v>926509.15650175198</v>
      </c>
      <c r="J30" s="36">
        <f>VLOOKUP($A30,[29]HISTONOV24!$A$6:$AQ$42,22,0)</f>
        <v>0</v>
      </c>
      <c r="K30" s="36">
        <f>VLOOKUP($A30,[29]HISTONOV24!$A$6:$AU$38,45,0)</f>
        <v>33500</v>
      </c>
      <c r="L30" s="36">
        <f t="shared" si="3"/>
        <v>27500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VLOOKUP($A30,[29]HISTONOV24!$A$6:$AU$38,7,0)</f>
        <v>0</v>
      </c>
      <c r="Q30" s="36">
        <f>VLOOKUP($A30,[29]HISTONOV24!$A$6:$AU$38,23,0)</f>
        <v>0</v>
      </c>
      <c r="R30" s="36">
        <f>VLOOKUP($A30,[29]HISTONOV24!$A$6:$AU$38,46,0)</f>
        <v>0</v>
      </c>
      <c r="S30" s="36">
        <f>VLOOKUP($A30,[29]HISTONOV24!$A$6:$AU$38,26,0)</f>
        <v>0</v>
      </c>
      <c r="T30" s="36">
        <f>VLOOKUP($A30,[29]HISTONOV24!$A$6:$BG$38,58,0)</f>
        <v>0</v>
      </c>
      <c r="U30" s="36">
        <f>VLOOKUP($A30,[29]HISTONOV24!$A$6:$AU$38,28,0)</f>
        <v>0</v>
      </c>
      <c r="V30" s="36">
        <f>VLOOKUP($A30,[29]HISTONOV24!$A$6:$AU$38,19,0)</f>
        <v>0</v>
      </c>
      <c r="W30" s="36">
        <f>VLOOKUP($A30,[29]HISTONOV24!$A$6:$AU$38,20,0)</f>
        <v>0</v>
      </c>
      <c r="X30" s="36">
        <f>VLOOKUP($A30,[29]HISTONOV24!$A$6:$AU$38,27,0)</f>
        <v>0</v>
      </c>
      <c r="Y30" s="36">
        <f>VLOOKUP($A30,[29]HISTONOV24!$A$6:$BM$38,33,0)</f>
        <v>0</v>
      </c>
      <c r="Z30" s="36">
        <f>VLOOKUP($A30,[29]HISTONOV24!$A$6:$BM$38,65,0)</f>
        <v>0</v>
      </c>
      <c r="AA30" s="36"/>
      <c r="AB30" s="36">
        <f>VLOOKUP($A30,[29]HISTONOV24!$A$6:$AU$38,43,0)</f>
        <v>0</v>
      </c>
      <c r="AC30" s="36">
        <f>VLOOKUP($A30,[29]HISTONOV24!$A$6:$AU$38,44,0)</f>
        <v>0</v>
      </c>
      <c r="AD30" s="36">
        <f>VLOOKUP($A30,[29]HISTONOV24!$A$6:$AU$38,47,0)</f>
        <v>0</v>
      </c>
      <c r="AE30" s="36">
        <f>VLOOKUP(A30,[29]HISTONOV24!$A$6:$BB$38,54,0)</f>
        <v>0</v>
      </c>
      <c r="AF30" s="36">
        <f>VLOOKUP($A30,[29]HISTONOV24!$A$6:$CB$38,60,0)</f>
        <v>0</v>
      </c>
      <c r="AG30" s="36">
        <f>VLOOKUP($A30,[29]HISTONOV24!$A$6:$CB$38,61,0)</f>
        <v>0</v>
      </c>
      <c r="AH30" s="36">
        <f>VLOOKUP($A30,[29]HISTONOV24!$A$6:$CB$38,62,0)</f>
        <v>0</v>
      </c>
      <c r="AI30" s="36">
        <f>VLOOKUP($A30,[29]HISTONOV24!$A$6:$CB$38,63,0)</f>
        <v>100000</v>
      </c>
      <c r="AJ30" s="36">
        <f>VLOOKUP($A30,[29]HISTONOV24!$A$6:$CB$38,64,0)</f>
        <v>0</v>
      </c>
      <c r="AK30" s="36">
        <f>VLOOKUP($A30,[29]HISTONOV24!$A$6:$CB$38,65,0)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MVTOCT24!I31-E31+L31</f>
        <v>1081703.8672143072</v>
      </c>
      <c r="G31" s="5">
        <f>IF(MVTOCT24!I31+L31&gt;700000,(MVTOCT24!I31-E31+L31),0)</f>
        <v>1081703.8672143072</v>
      </c>
      <c r="H31" s="36">
        <f t="shared" si="0"/>
        <v>306.61897057640522</v>
      </c>
      <c r="I31" s="6">
        <f t="shared" si="2"/>
        <v>1082010.4861848836</v>
      </c>
      <c r="J31" s="36">
        <f>VLOOKUP($A31,[29]HISTONOV24!$A$6:$AQ$42,22,0)</f>
        <v>0</v>
      </c>
      <c r="K31" s="36">
        <f>VLOOKUP($A31,[29]HISTONOV24!$A$6:$AU$38,45,0)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VLOOKUP($A31,[29]HISTONOV24!$A$6:$AU$38,7,0)</f>
        <v>0</v>
      </c>
      <c r="Q31" s="36">
        <f>VLOOKUP($A31,[29]HISTONOV24!$A$6:$AU$38,23,0)</f>
        <v>0</v>
      </c>
      <c r="R31" s="36">
        <f>VLOOKUP($A31,[29]HISTONOV24!$A$6:$AU$38,46,0)</f>
        <v>0</v>
      </c>
      <c r="S31" s="36">
        <f>VLOOKUP($A31,[29]HISTONOV24!$A$6:$AU$38,26,0)</f>
        <v>0</v>
      </c>
      <c r="T31" s="36">
        <f>VLOOKUP($A31,[29]HISTONOV24!$A$6:$BG$38,58,0)</f>
        <v>0</v>
      </c>
      <c r="U31" s="36">
        <f>VLOOKUP($A31,[29]HISTONOV24!$A$6:$AU$38,28,0)</f>
        <v>0</v>
      </c>
      <c r="V31" s="36">
        <f>VLOOKUP($A31,[29]HISTONOV24!$A$6:$AU$38,19,0)</f>
        <v>0</v>
      </c>
      <c r="W31" s="36">
        <f>VLOOKUP($A31,[29]HISTONOV24!$A$6:$AU$38,20,0)</f>
        <v>0</v>
      </c>
      <c r="X31" s="36">
        <f>VLOOKUP($A31,[29]HISTONOV24!$A$6:$AU$38,27,0)</f>
        <v>0</v>
      </c>
      <c r="Y31" s="36">
        <f>VLOOKUP($A31,[29]HISTONOV24!$A$6:$BM$38,33,0)</f>
        <v>0</v>
      </c>
      <c r="Z31" s="36">
        <f>VLOOKUP($A31,[29]HISTONOV24!$A$6:$BM$38,65,0)</f>
        <v>0</v>
      </c>
      <c r="AA31" s="36"/>
      <c r="AB31" s="36">
        <f>VLOOKUP($A31,[29]HISTONOV24!$A$6:$AU$38,43,0)</f>
        <v>0</v>
      </c>
      <c r="AC31" s="36">
        <f>VLOOKUP($A31,[29]HISTONOV24!$A$6:$AU$38,44,0)</f>
        <v>0</v>
      </c>
      <c r="AD31" s="36">
        <f>VLOOKUP($A31,[29]HISTONOV24!$A$6:$AU$38,47,0)</f>
        <v>0</v>
      </c>
      <c r="AE31" s="36">
        <f>VLOOKUP(A31,[29]HISTONOV24!$A$6:$BB$38,54,0)</f>
        <v>0</v>
      </c>
      <c r="AF31" s="36">
        <f>VLOOKUP($A31,[29]HISTONOV24!$A$6:$CB$38,60,0)</f>
        <v>0</v>
      </c>
      <c r="AG31" s="36">
        <f>VLOOKUP($A31,[29]HISTONOV24!$A$6:$CB$38,61,0)</f>
        <v>0</v>
      </c>
      <c r="AH31" s="36">
        <f>VLOOKUP($A31,[29]HISTONOV24!$A$6:$CB$38,62,0)</f>
        <v>0</v>
      </c>
      <c r="AI31" s="36">
        <f>VLOOKUP($A31,[29]HISTONOV24!$A$6:$CB$38,63,0)</f>
        <v>0</v>
      </c>
      <c r="AJ31" s="36">
        <f>VLOOKUP($A31,[29]HISTONOV24!$A$6:$CB$38,64,0)</f>
        <v>0</v>
      </c>
      <c r="AK31" s="36">
        <f>VLOOKUP($A31,[29]HISTONOV24!$A$6:$CB$38,65,0)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MVTOCT24!I32-E32+L32</f>
        <v>966828.10642654949</v>
      </c>
      <c r="G32" s="5">
        <f>IF(MVTOCT24!I32+L32&gt;700000,(MVTOCT24!I32-E32+L32),0)</f>
        <v>966828.10642654949</v>
      </c>
      <c r="H32" s="36">
        <f t="shared" si="0"/>
        <v>274.05637319230505</v>
      </c>
      <c r="I32" s="6">
        <f t="shared" si="2"/>
        <v>967102.16279974184</v>
      </c>
      <c r="J32" s="36">
        <f>VLOOKUP($A32,[29]HISTONOV24!$A$6:$AQ$42,22,0)</f>
        <v>0</v>
      </c>
      <c r="K32" s="36">
        <f>VLOOKUP($A32,[29]HISTONOV24!$A$6:$AU$38,45,0)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VLOOKUP($A32,[29]HISTONOV24!$A$6:$AU$38,7,0)</f>
        <v>0</v>
      </c>
      <c r="Q32" s="36">
        <f>VLOOKUP($A32,[29]HISTONOV24!$A$6:$AU$38,23,0)</f>
        <v>0</v>
      </c>
      <c r="R32" s="36">
        <f>VLOOKUP($A32,[29]HISTONOV24!$A$6:$AU$38,46,0)</f>
        <v>0</v>
      </c>
      <c r="S32" s="36">
        <f>VLOOKUP($A32,[29]HISTONOV24!$A$6:$AU$38,26,0)</f>
        <v>0</v>
      </c>
      <c r="T32" s="36">
        <f>VLOOKUP($A32,[29]HISTONOV24!$A$6:$BG$38,58,0)</f>
        <v>0</v>
      </c>
      <c r="U32" s="36">
        <f>VLOOKUP($A32,[29]HISTONOV24!$A$6:$AU$38,28,0)</f>
        <v>0</v>
      </c>
      <c r="V32" s="36">
        <f>VLOOKUP($A32,[29]HISTONOV24!$A$6:$AU$38,19,0)</f>
        <v>0</v>
      </c>
      <c r="W32" s="36">
        <f>VLOOKUP($A32,[29]HISTONOV24!$A$6:$AU$38,20,0)</f>
        <v>0</v>
      </c>
      <c r="X32" s="36">
        <f>VLOOKUP($A32,[29]HISTONOV24!$A$6:$AU$38,27,0)</f>
        <v>0</v>
      </c>
      <c r="Y32" s="36">
        <f>VLOOKUP($A32,[29]HISTONOV24!$A$6:$BM$38,33,0)</f>
        <v>0</v>
      </c>
      <c r="Z32" s="36">
        <f>VLOOKUP($A32,[29]HISTONOV24!$A$6:$BM$38,65,0)</f>
        <v>0</v>
      </c>
      <c r="AA32" s="36"/>
      <c r="AB32" s="36">
        <f>VLOOKUP($A32,[29]HISTONOV24!$A$6:$AU$38,43,0)</f>
        <v>0</v>
      </c>
      <c r="AC32" s="36">
        <f>VLOOKUP($A32,[29]HISTONOV24!$A$6:$AU$38,44,0)</f>
        <v>0</v>
      </c>
      <c r="AD32" s="36">
        <f>VLOOKUP($A32,[29]HISTONOV24!$A$6:$AU$38,47,0)</f>
        <v>0</v>
      </c>
      <c r="AE32" s="36">
        <f>VLOOKUP(A32,[29]HISTONOV24!$A$6:$BB$38,54,0)</f>
        <v>0</v>
      </c>
      <c r="AF32" s="36">
        <f>VLOOKUP($A32,[29]HISTONOV24!$A$6:$CB$38,60,0)</f>
        <v>0</v>
      </c>
      <c r="AG32" s="36">
        <f>VLOOKUP($A32,[29]HISTONOV24!$A$6:$CB$38,61,0)</f>
        <v>0</v>
      </c>
      <c r="AH32" s="36">
        <f>VLOOKUP($A32,[29]HISTONOV24!$A$6:$CB$38,62,0)</f>
        <v>0</v>
      </c>
      <c r="AI32" s="36">
        <f>VLOOKUP($A32,[29]HISTONOV24!$A$6:$CB$38,63,0)</f>
        <v>0</v>
      </c>
      <c r="AJ32" s="36">
        <f>VLOOKUP($A32,[29]HISTONOV24!$A$6:$CB$38,64,0)</f>
        <v>0</v>
      </c>
      <c r="AK32" s="36">
        <f>VLOOKUP($A32,[29]HISTONOV24!$A$6:$CB$38,65,0)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MVTOCT24!I33-E33+L33</f>
        <v>1972522.8569569683</v>
      </c>
      <c r="G33" s="5">
        <f>IF(MVTOCT24!I33+L33&gt;700000,(MVTOCT24!I33-E33+L33),0)</f>
        <v>1972522.8569569683</v>
      </c>
      <c r="H33" s="36">
        <f t="shared" si="0"/>
        <v>559.12985630359208</v>
      </c>
      <c r="I33" s="6">
        <f t="shared" si="2"/>
        <v>1973081.9868132719</v>
      </c>
      <c r="J33" s="36">
        <f>VLOOKUP($A33,[29]HISTONOV24!$A$6:$AQ$42,22,0)</f>
        <v>0</v>
      </c>
      <c r="K33" s="36">
        <f>VLOOKUP($A33,[29]HISTONOV24!$A$6:$AU$38,45,0)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VLOOKUP($A33,[29]HISTONOV24!$A$6:$AU$38,7,0)</f>
        <v>0</v>
      </c>
      <c r="Q33" s="36">
        <f>VLOOKUP($A33,[29]HISTONOV24!$A$6:$AU$38,23,0)</f>
        <v>0</v>
      </c>
      <c r="R33" s="36">
        <f>VLOOKUP($A33,[29]HISTONOV24!$A$6:$AU$38,46,0)</f>
        <v>0</v>
      </c>
      <c r="S33" s="36">
        <f>VLOOKUP($A33,[29]HISTONOV24!$A$6:$AU$38,26,0)</f>
        <v>0</v>
      </c>
      <c r="T33" s="36">
        <f>VLOOKUP($A33,[29]HISTONOV24!$A$6:$BG$38,58,0)</f>
        <v>0</v>
      </c>
      <c r="U33" s="36">
        <f>VLOOKUP($A33,[29]HISTONOV24!$A$6:$AU$38,28,0)</f>
        <v>0</v>
      </c>
      <c r="V33" s="36">
        <f>VLOOKUP($A33,[29]HISTONOV24!$A$6:$AU$38,19,0)</f>
        <v>0</v>
      </c>
      <c r="W33" s="36">
        <f>VLOOKUP($A33,[29]HISTONOV24!$A$6:$AU$38,20,0)</f>
        <v>0</v>
      </c>
      <c r="X33" s="36">
        <f>VLOOKUP($A33,[29]HISTONOV24!$A$6:$AU$38,27,0)</f>
        <v>0</v>
      </c>
      <c r="Y33" s="36">
        <f>VLOOKUP($A33,[29]HISTONOV24!$A$6:$BM$38,33,0)</f>
        <v>0</v>
      </c>
      <c r="Z33" s="36">
        <f>VLOOKUP($A33,[29]HISTONOV24!$A$6:$BM$38,65,0)</f>
        <v>0</v>
      </c>
      <c r="AA33" s="36"/>
      <c r="AB33" s="36">
        <f>VLOOKUP($A33,[29]HISTONOV24!$A$6:$AU$38,43,0)</f>
        <v>0</v>
      </c>
      <c r="AC33" s="36">
        <f>VLOOKUP($A33,[29]HISTONOV24!$A$6:$AU$38,44,0)</f>
        <v>0</v>
      </c>
      <c r="AD33" s="36">
        <f>VLOOKUP($A33,[29]HISTONOV24!$A$6:$AU$38,47,0)</f>
        <v>0</v>
      </c>
      <c r="AE33" s="36">
        <f>VLOOKUP(A33,[29]HISTONOV24!$A$6:$BB$38,54,0)</f>
        <v>0</v>
      </c>
      <c r="AF33" s="36">
        <f>VLOOKUP($A33,[29]HISTONOV24!$A$6:$CB$38,60,0)</f>
        <v>0</v>
      </c>
      <c r="AG33" s="36">
        <f>VLOOKUP($A33,[29]HISTONOV24!$A$6:$CB$38,61,0)</f>
        <v>0</v>
      </c>
      <c r="AH33" s="36">
        <f>VLOOKUP($A33,[29]HISTONOV24!$A$6:$CB$38,62,0)</f>
        <v>0</v>
      </c>
      <c r="AI33" s="36">
        <f>VLOOKUP($A33,[29]HISTONOV24!$A$6:$CB$38,63,0)</f>
        <v>0</v>
      </c>
      <c r="AJ33" s="36">
        <f>VLOOKUP($A33,[29]HISTONOV24!$A$6:$CB$38,64,0)</f>
        <v>0</v>
      </c>
      <c r="AK33" s="36">
        <f>VLOOKUP($A33,[29]HISTONOV24!$A$6:$CB$38,65,0)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MVTOCT24!I34-E34+L34</f>
        <v>943471.67114962125</v>
      </c>
      <c r="G34" s="5">
        <f>IF(MVTOCT24!I34+L34&gt;700000,(MVTOCT24!I34-E34+L34),0)</f>
        <v>943471.67114962125</v>
      </c>
      <c r="H34" s="36">
        <f t="shared" si="0"/>
        <v>267.43577548714097</v>
      </c>
      <c r="I34" s="6">
        <f t="shared" si="2"/>
        <v>943739.10692510835</v>
      </c>
      <c r="J34" s="36">
        <f>VLOOKUP($A34,[29]HISTONOV24!$A$6:$AQ$42,22,0)</f>
        <v>0</v>
      </c>
      <c r="K34" s="36">
        <f>VLOOKUP($A34,[29]HISTONOV24!$A$6:$AU$38,45,0)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VLOOKUP($A34,[29]HISTONOV24!$A$6:$AU$38,7,0)</f>
        <v>0</v>
      </c>
      <c r="Q34" s="36">
        <f>VLOOKUP($A34,[29]HISTONOV24!$A$6:$AU$38,23,0)</f>
        <v>0</v>
      </c>
      <c r="R34" s="36">
        <f>VLOOKUP($A34,[29]HISTONOV24!$A$6:$AU$38,46,0)</f>
        <v>0</v>
      </c>
      <c r="S34" s="36">
        <f>VLOOKUP($A34,[29]HISTONOV24!$A$6:$AU$38,26,0)</f>
        <v>0</v>
      </c>
      <c r="T34" s="36">
        <f>VLOOKUP($A34,[29]HISTONOV24!$A$6:$BG$38,58,0)</f>
        <v>0</v>
      </c>
      <c r="U34" s="36">
        <f>VLOOKUP($A34,[29]HISTONOV24!$A$6:$AU$38,28,0)</f>
        <v>0</v>
      </c>
      <c r="V34" s="36">
        <f>VLOOKUP($A34,[29]HISTONOV24!$A$6:$AU$38,19,0)</f>
        <v>0</v>
      </c>
      <c r="W34" s="36">
        <f>VLOOKUP($A34,[29]HISTONOV24!$A$6:$AU$38,20,0)</f>
        <v>0</v>
      </c>
      <c r="X34" s="36">
        <f>VLOOKUP($A34,[29]HISTONOV24!$A$6:$AU$38,27,0)</f>
        <v>0</v>
      </c>
      <c r="Y34" s="36">
        <f>VLOOKUP($A34,[29]HISTONOV24!$A$6:$BM$38,33,0)</f>
        <v>0</v>
      </c>
      <c r="Z34" s="36">
        <f>VLOOKUP($A34,[29]HISTONOV24!$A$6:$BM$38,65,0)</f>
        <v>0</v>
      </c>
      <c r="AA34" s="36"/>
      <c r="AB34" s="36">
        <f>VLOOKUP($A34,[29]HISTONOV24!$A$6:$AU$38,43,0)</f>
        <v>0</v>
      </c>
      <c r="AC34" s="36">
        <f>VLOOKUP($A34,[29]HISTONOV24!$A$6:$AU$38,44,0)</f>
        <v>0</v>
      </c>
      <c r="AD34" s="36">
        <f>VLOOKUP($A34,[29]HISTONOV24!$A$6:$AU$38,47,0)</f>
        <v>0</v>
      </c>
      <c r="AE34" s="36">
        <f>VLOOKUP(A34,[29]HISTONOV24!$A$6:$BB$38,54,0)</f>
        <v>0</v>
      </c>
      <c r="AF34" s="36">
        <f>VLOOKUP($A34,[29]HISTONOV24!$A$6:$CB$38,60,0)</f>
        <v>0</v>
      </c>
      <c r="AG34" s="36">
        <f>VLOOKUP($A34,[29]HISTONOV24!$A$6:$CB$38,61,0)</f>
        <v>0</v>
      </c>
      <c r="AH34" s="36">
        <f>VLOOKUP($A34,[29]HISTONOV24!$A$6:$CB$38,62,0)</f>
        <v>0</v>
      </c>
      <c r="AI34" s="36">
        <f>VLOOKUP($A34,[29]HISTONOV24!$A$6:$CB$38,63,0)</f>
        <v>0</v>
      </c>
      <c r="AJ34" s="36">
        <f>VLOOKUP($A34,[29]HISTONOV24!$A$6:$CB$38,64,0)</f>
        <v>0</v>
      </c>
      <c r="AK34" s="36">
        <f>VLOOKUP($A34,[29]HISTONOV24!$A$6:$CB$38,65,0)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MVTOCT24!I35-E35+L35</f>
        <v>315250</v>
      </c>
      <c r="G35" s="5">
        <f>IF(MVTOCT24!I35+L35&gt;700000,(MVTOCT24!I35-E35+L35),0)</f>
        <v>0</v>
      </c>
      <c r="H35" s="36">
        <f t="shared" si="0"/>
        <v>0</v>
      </c>
      <c r="I35" s="6">
        <f t="shared" si="2"/>
        <v>315250</v>
      </c>
      <c r="J35" s="36">
        <f>VLOOKUP($A35,[29]HISTONOV24!$A$6:$AQ$42,22,0)</f>
        <v>0</v>
      </c>
      <c r="K35" s="36">
        <f>VLOOKUP($A35,[29]HISTONOV24!$A$6:$AU$38,45,0)</f>
        <v>25000</v>
      </c>
      <c r="L35" s="36">
        <f t="shared" si="3"/>
        <v>19000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VLOOKUP($A35,[29]HISTONOV24!$A$6:$AU$38,7,0)</f>
        <v>0</v>
      </c>
      <c r="Q35" s="36">
        <f>VLOOKUP($A35,[29]HISTONOV24!$A$6:$AU$38,23,0)</f>
        <v>0</v>
      </c>
      <c r="R35" s="36">
        <f>VLOOKUP($A35,[29]HISTONOV24!$A$6:$AU$38,46,0)</f>
        <v>0</v>
      </c>
      <c r="S35" s="36">
        <f>VLOOKUP($A35,[29]HISTONOV24!$A$6:$AU$38,26,0)</f>
        <v>0</v>
      </c>
      <c r="T35" s="36">
        <f>VLOOKUP($A35,[29]HISTONOV24!$A$6:$BG$38,58,0)</f>
        <v>0</v>
      </c>
      <c r="U35" s="36">
        <f>VLOOKUP($A35,[29]HISTONOV24!$A$6:$AU$38,28,0)</f>
        <v>0</v>
      </c>
      <c r="V35" s="36">
        <f>VLOOKUP($A35,[29]HISTONOV24!$A$6:$AU$38,19,0)</f>
        <v>0</v>
      </c>
      <c r="W35" s="36">
        <f>VLOOKUP($A35,[29]HISTONOV24!$A$6:$AU$38,20,0)</f>
        <v>0</v>
      </c>
      <c r="X35" s="36">
        <f>VLOOKUP($A35,[29]HISTONOV24!$A$6:$AU$38,27,0)</f>
        <v>0</v>
      </c>
      <c r="Y35" s="36">
        <f>VLOOKUP($A35,[29]HISTONOV24!$A$6:$BM$38,33,0)</f>
        <v>0</v>
      </c>
      <c r="Z35" s="36">
        <f>VLOOKUP($A35,[29]HISTONOV24!$A$6:$BM$38,65,0)</f>
        <v>0</v>
      </c>
      <c r="AA35" s="36"/>
      <c r="AB35" s="36">
        <f>VLOOKUP($A35,[29]HISTONOV24!$A$6:$AU$38,43,0)</f>
        <v>0</v>
      </c>
      <c r="AC35" s="36">
        <f>VLOOKUP($A35,[29]HISTONOV24!$A$6:$AU$38,44,0)</f>
        <v>0</v>
      </c>
      <c r="AD35" s="36">
        <f>VLOOKUP($A35,[29]HISTONOV24!$A$6:$AU$38,47,0)</f>
        <v>0</v>
      </c>
      <c r="AE35" s="36">
        <f>VLOOKUP(A35,[29]HISTONOV24!$A$6:$BB$38,54,0)</f>
        <v>0</v>
      </c>
      <c r="AF35" s="36">
        <f>VLOOKUP($A35,[29]HISTONOV24!$A$6:$CB$38,60,0)</f>
        <v>0</v>
      </c>
      <c r="AG35" s="36">
        <f>VLOOKUP($A35,[29]HISTONOV24!$A$6:$CB$38,61,0)</f>
        <v>0</v>
      </c>
      <c r="AH35" s="36">
        <f>VLOOKUP($A35,[29]HISTONOV24!$A$6:$CB$38,62,0)</f>
        <v>0</v>
      </c>
      <c r="AI35" s="36">
        <f>VLOOKUP($A35,[29]HISTONOV24!$A$6:$CB$38,63,0)</f>
        <v>0</v>
      </c>
      <c r="AJ35" s="36">
        <f>VLOOKUP($A35,[29]HISTONOV24!$A$6:$CB$38,64,0)</f>
        <v>0</v>
      </c>
      <c r="AK35" s="36">
        <f>VLOOKUP($A35,[29]HISTONOV24!$A$6:$CB$38,65,0)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MVTOCT24!I36-E36+L36</f>
        <v>1074926.0852413145</v>
      </c>
      <c r="G36" s="5">
        <f>IF(MVTOCT24!I36+L36&gt;700000,(MVTOCT24!I36-E36+L36),0)</f>
        <v>1074926.0852413145</v>
      </c>
      <c r="H36" s="36">
        <f t="shared" si="0"/>
        <v>304.69774555878348</v>
      </c>
      <c r="I36" s="6">
        <f t="shared" si="2"/>
        <v>1075230.7829868733</v>
      </c>
      <c r="J36" s="36">
        <f>VLOOKUP($A36,[29]HISTONOV24!$A$6:$AQ$42,22,0)</f>
        <v>0</v>
      </c>
      <c r="K36" s="36">
        <f>VLOOKUP($A36,[29]HISTONOV24!$A$6:$AU$38,45,0)</f>
        <v>35000</v>
      </c>
      <c r="L36" s="36">
        <f t="shared" si="3"/>
        <v>29000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VLOOKUP($A36,[29]HISTONOV24!$A$6:$AU$38,7,0)</f>
        <v>0</v>
      </c>
      <c r="Q36" s="36">
        <f>VLOOKUP($A36,[29]HISTONOV24!$A$6:$AU$38,23,0)</f>
        <v>0</v>
      </c>
      <c r="R36" s="36">
        <f>VLOOKUP($A36,[29]HISTONOV24!$A$6:$AU$38,46,0)</f>
        <v>0</v>
      </c>
      <c r="S36" s="36">
        <f>VLOOKUP($A36,[29]HISTONOV24!$A$6:$AU$38,26,0)</f>
        <v>0</v>
      </c>
      <c r="T36" s="36">
        <f>VLOOKUP($A36,[29]HISTONOV24!$A$6:$BG$38,58,0)</f>
        <v>0</v>
      </c>
      <c r="U36" s="36">
        <f>VLOOKUP($A36,[29]HISTONOV24!$A$6:$AU$38,28,0)</f>
        <v>0</v>
      </c>
      <c r="V36" s="36">
        <f>VLOOKUP($A36,[29]HISTONOV24!$A$6:$AU$38,19,0)</f>
        <v>297500</v>
      </c>
      <c r="W36" s="36" t="str">
        <f>VLOOKUP($A36,[29]HISTONOV24!$A$6:$AU$38,20,0)</f>
        <v>BANQUE</v>
      </c>
      <c r="X36" s="36">
        <f>VLOOKUP($A36,[29]HISTONOV24!$A$6:$AU$38,27,0)</f>
        <v>0</v>
      </c>
      <c r="Y36" s="36">
        <f>VLOOKUP($A36,[29]HISTONOV24!$A$6:$BM$38,33,0)</f>
        <v>0</v>
      </c>
      <c r="Z36" s="36">
        <f>VLOOKUP($A36,[29]HISTONOV24!$A$6:$BM$38,65,0)</f>
        <v>0</v>
      </c>
      <c r="AA36" s="36"/>
      <c r="AB36" s="36">
        <f>VLOOKUP($A36,[29]HISTONOV24!$A$6:$AU$38,43,0)</f>
        <v>0</v>
      </c>
      <c r="AC36" s="36">
        <f>VLOOKUP($A36,[29]HISTONOV24!$A$6:$AU$38,44,0)</f>
        <v>0</v>
      </c>
      <c r="AD36" s="36">
        <f>VLOOKUP($A36,[29]HISTONOV24!$A$6:$AU$38,47,0)</f>
        <v>0</v>
      </c>
      <c r="AE36" s="36">
        <f>VLOOKUP(A36,[29]HISTONOV24!$A$6:$BB$38,54,0)</f>
        <v>0</v>
      </c>
      <c r="AF36" s="36">
        <f>VLOOKUP($A36,[29]HISTONOV24!$A$6:$CB$38,60,0)</f>
        <v>0</v>
      </c>
      <c r="AG36" s="36">
        <f>VLOOKUP($A36,[29]HISTONOV24!$A$6:$CB$38,61,0)</f>
        <v>0</v>
      </c>
      <c r="AH36" s="36">
        <f>VLOOKUP($A36,[29]HISTONOV24!$A$6:$CB$38,62,0)</f>
        <v>0</v>
      </c>
      <c r="AI36" s="36">
        <f>VLOOKUP($A36,[29]HISTONOV24!$A$6:$CB$38,63,0)</f>
        <v>0</v>
      </c>
      <c r="AJ36" s="36">
        <f>VLOOKUP($A36,[29]HISTONOV24!$A$6:$CB$38,64,0)</f>
        <v>0</v>
      </c>
      <c r="AK36" s="36">
        <f>VLOOKUP($A36,[29]HISTONOV24!$A$6:$CB$38,65,0)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MVTOCT24!I37-E37+L37</f>
        <v>2048595.1899778545</v>
      </c>
      <c r="G37" s="5">
        <f>IF(MVTOCT24!I37+L37&gt;700000,(MVTOCT24!I37-E37+L37),0)</f>
        <v>2048595.1899778545</v>
      </c>
      <c r="H37" s="36">
        <f t="shared" si="0"/>
        <v>580.69326302439697</v>
      </c>
      <c r="I37" s="6">
        <f t="shared" si="2"/>
        <v>2049175.8832408788</v>
      </c>
      <c r="J37" s="36">
        <f>VLOOKUP($A37,[29]HISTONOV24!$A$6:$AQ$42,22,0)</f>
        <v>0</v>
      </c>
      <c r="K37" s="36">
        <f>VLOOKUP($A37,[29]HISTONOV24!$A$6:$AU$38,45,0)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VLOOKUP($A37,[29]HISTONOV24!$A$6:$AU$38,7,0)</f>
        <v>0</v>
      </c>
      <c r="Q37" s="36">
        <f>VLOOKUP($A37,[29]HISTONOV24!$A$6:$AU$38,23,0)</f>
        <v>0</v>
      </c>
      <c r="R37" s="36">
        <f>VLOOKUP($A37,[29]HISTONOV24!$A$6:$AU$38,46,0)</f>
        <v>0</v>
      </c>
      <c r="S37" s="36">
        <f>VLOOKUP($A37,[29]HISTONOV24!$A$6:$AU$38,26,0)</f>
        <v>0</v>
      </c>
      <c r="T37" s="36">
        <f>VLOOKUP($A37,[29]HISTONOV24!$A$6:$BG$38,58,0)</f>
        <v>0</v>
      </c>
      <c r="U37" s="36">
        <f>VLOOKUP($A37,[29]HISTONOV24!$A$6:$AU$38,28,0)</f>
        <v>0</v>
      </c>
      <c r="V37" s="36">
        <f>VLOOKUP($A37,[29]HISTONOV24!$A$6:$AU$38,19,0)</f>
        <v>0</v>
      </c>
      <c r="W37" s="36">
        <f>VLOOKUP($A37,[29]HISTONOV24!$A$6:$AU$38,20,0)</f>
        <v>0</v>
      </c>
      <c r="X37" s="36">
        <f>VLOOKUP($A37,[29]HISTONOV24!$A$6:$AU$38,27,0)</f>
        <v>0</v>
      </c>
      <c r="Y37" s="36">
        <f>VLOOKUP($A37,[29]HISTONOV24!$A$6:$BM$38,33,0)</f>
        <v>0</v>
      </c>
      <c r="Z37" s="36">
        <f>VLOOKUP($A37,[29]HISTONOV24!$A$6:$BM$38,65,0)</f>
        <v>0</v>
      </c>
      <c r="AA37" s="36"/>
      <c r="AB37" s="36">
        <f>VLOOKUP($A37,[29]HISTONOV24!$A$6:$AU$38,43,0)</f>
        <v>0</v>
      </c>
      <c r="AC37" s="36">
        <f>VLOOKUP($A37,[29]HISTONOV24!$A$6:$AU$38,44,0)</f>
        <v>0</v>
      </c>
      <c r="AD37" s="36">
        <f>VLOOKUP($A37,[29]HISTONOV24!$A$6:$AU$38,47,0)</f>
        <v>0</v>
      </c>
      <c r="AE37" s="36">
        <f>VLOOKUP(A37,[29]HISTONOV24!$A$6:$BB$38,54,0)</f>
        <v>0</v>
      </c>
      <c r="AF37" s="36">
        <f>VLOOKUP($A37,[29]HISTONOV24!$A$6:$CB$38,60,0)</f>
        <v>0</v>
      </c>
      <c r="AG37" s="36">
        <f>VLOOKUP($A37,[29]HISTONOV24!$A$6:$CB$38,61,0)</f>
        <v>0</v>
      </c>
      <c r="AH37" s="36">
        <f>VLOOKUP($A37,[29]HISTONOV24!$A$6:$CB$38,62,0)</f>
        <v>0</v>
      </c>
      <c r="AI37" s="36">
        <f>VLOOKUP($A37,[29]HISTONOV24!$A$6:$CB$38,63,0)</f>
        <v>0</v>
      </c>
      <c r="AJ37" s="36">
        <f>VLOOKUP($A37,[29]HISTONOV24!$A$6:$CB$38,64,0)</f>
        <v>0</v>
      </c>
      <c r="AK37" s="36">
        <f>VLOOKUP($A37,[29]HISTONOV24!$A$6:$CB$38,65,0)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MVTOCT24!I38-E38+L38</f>
        <v>909513.53196415014</v>
      </c>
      <c r="G38" s="5">
        <f>IF(MVTOCT24!I38+L38&gt;700000,(MVTOCT24!I38-E38+L38),0)</f>
        <v>909513.53196415014</v>
      </c>
      <c r="H38" s="36">
        <f t="shared" si="0"/>
        <v>257.81002670752923</v>
      </c>
      <c r="I38" s="6">
        <f t="shared" si="2"/>
        <v>909771.34199085762</v>
      </c>
      <c r="J38" s="36">
        <f>VLOOKUP($A38,[29]HISTONOV24!$A$6:$AQ$42,22,0)</f>
        <v>0</v>
      </c>
      <c r="K38" s="36">
        <f>VLOOKUP($A38,[29]HISTONOV24!$A$6:$AU$38,45,0)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VLOOKUP($A38,[29]HISTONOV24!$A$6:$AU$38,7,0)</f>
        <v>3000</v>
      </c>
      <c r="Q38" s="36">
        <f>VLOOKUP($A38,[29]HISTONOV24!$A$6:$AU$38,23,0)</f>
        <v>0</v>
      </c>
      <c r="R38" s="36">
        <f>VLOOKUP($A38,[29]HISTONOV24!$A$6:$AU$38,46,0)</f>
        <v>0</v>
      </c>
      <c r="S38" s="36">
        <f>VLOOKUP($A38,[29]HISTONOV24!$A$6:$AU$38,26,0)</f>
        <v>0</v>
      </c>
      <c r="T38" s="36">
        <f>VLOOKUP($A38,[29]HISTONOV24!$A$6:$BG$38,58,0)</f>
        <v>0</v>
      </c>
      <c r="U38" s="36">
        <f>VLOOKUP($A38,[29]HISTONOV24!$A$6:$AU$38,28,0)</f>
        <v>0</v>
      </c>
      <c r="V38" s="36">
        <f>VLOOKUP($A38,[29]HISTONOV24!$A$6:$AU$38,19,0)</f>
        <v>0</v>
      </c>
      <c r="W38" s="36">
        <f>VLOOKUP($A38,[29]HISTONOV24!$A$6:$AU$38,20,0)</f>
        <v>0</v>
      </c>
      <c r="X38" s="36">
        <f>VLOOKUP($A38,[29]HISTONOV24!$A$6:$AU$38,27,0)</f>
        <v>0</v>
      </c>
      <c r="Y38" s="36">
        <f>VLOOKUP($A38,[29]HISTONOV24!$A$6:$BM$38,33,0)</f>
        <v>0</v>
      </c>
      <c r="Z38" s="36">
        <f>VLOOKUP($A38,[29]HISTONOV24!$A$6:$BM$38,65,0)</f>
        <v>0</v>
      </c>
      <c r="AA38" s="36"/>
      <c r="AB38" s="36">
        <f>VLOOKUP($A38,[29]HISTONOV24!$A$6:$AU$38,43,0)</f>
        <v>0</v>
      </c>
      <c r="AC38" s="36">
        <f>VLOOKUP($A38,[29]HISTONOV24!$A$6:$AU$38,44,0)</f>
        <v>0</v>
      </c>
      <c r="AD38" s="36">
        <f>VLOOKUP($A38,[29]HISTONOV24!$A$6:$AU$38,47,0)</f>
        <v>0</v>
      </c>
      <c r="AE38" s="36">
        <f>VLOOKUP(A38,[29]HISTONOV24!$A$6:$BB$38,54,0)</f>
        <v>0</v>
      </c>
      <c r="AF38" s="36">
        <f>VLOOKUP($A38,[29]HISTONOV24!$A$6:$CB$38,60,0)</f>
        <v>0</v>
      </c>
      <c r="AG38" s="36">
        <f>VLOOKUP($A38,[29]HISTONOV24!$A$6:$CB$38,61,0)</f>
        <v>0</v>
      </c>
      <c r="AH38" s="36">
        <f>VLOOKUP($A38,[29]HISTONOV24!$A$6:$CB$38,62,0)</f>
        <v>0</v>
      </c>
      <c r="AI38" s="36">
        <f>VLOOKUP($A38,[29]HISTONOV24!$A$6:$CB$38,63,0)</f>
        <v>0</v>
      </c>
      <c r="AJ38" s="36">
        <f>VLOOKUP($A38,[29]HISTONOV24!$A$6:$CB$38,64,0)</f>
        <v>0</v>
      </c>
      <c r="AK38" s="36">
        <f>VLOOKUP($A38,[29]HISTONOV24!$A$6:$CB$38,65,0)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MVTOCT24!I39-E39+L39</f>
        <v>2215296.8589817015</v>
      </c>
      <c r="G39" s="5">
        <f>IF(MVTOCT24!I39+L39&gt;700000,(MVTOCT24!I39-E39+L39),0)</f>
        <v>2215296.8589817015</v>
      </c>
      <c r="H39" s="36">
        <f t="shared" si="0"/>
        <v>627.94639365705427</v>
      </c>
      <c r="I39" s="6">
        <f t="shared" si="2"/>
        <v>2215924.8053753586</v>
      </c>
      <c r="J39" s="36">
        <f>VLOOKUP($A39,[29]HISTONOV24!$A$6:$AQ$42,22,0)</f>
        <v>0</v>
      </c>
      <c r="K39" s="36">
        <f>VLOOKUP($A39,[29]HISTONOV24!$A$6:$AU$38,45,0)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VLOOKUP($A39,[29]HISTONOV24!$A$6:$AU$38,7,0)</f>
        <v>0</v>
      </c>
      <c r="Q39" s="36">
        <f>VLOOKUP($A39,[29]HISTONOV24!$A$6:$AU$38,23,0)</f>
        <v>0</v>
      </c>
      <c r="R39" s="36">
        <f>VLOOKUP($A39,[29]HISTONOV24!$A$6:$AU$38,46,0)</f>
        <v>0</v>
      </c>
      <c r="S39" s="36">
        <f>VLOOKUP($A39,[29]HISTONOV24!$A$6:$AU$38,26,0)</f>
        <v>0</v>
      </c>
      <c r="T39" s="36">
        <f>VLOOKUP($A39,[29]HISTONOV24!$A$6:$BG$38,58,0)</f>
        <v>0</v>
      </c>
      <c r="U39" s="36">
        <f>VLOOKUP($A39,[29]HISTONOV24!$A$6:$AU$38,28,0)</f>
        <v>0</v>
      </c>
      <c r="V39" s="36">
        <f>VLOOKUP($A39,[29]HISTONOV24!$A$6:$AU$38,19,0)</f>
        <v>0</v>
      </c>
      <c r="W39" s="36">
        <f>VLOOKUP($A39,[29]HISTONOV24!$A$6:$AU$38,20,0)</f>
        <v>0</v>
      </c>
      <c r="X39" s="36">
        <f>VLOOKUP($A39,[29]HISTONOV24!$A$6:$AU$38,27,0)</f>
        <v>0</v>
      </c>
      <c r="Y39" s="36">
        <f>VLOOKUP($A39,[29]HISTONOV24!$A$6:$BM$38,33,0)</f>
        <v>0</v>
      </c>
      <c r="Z39" s="36">
        <f>VLOOKUP($A39,[29]HISTONOV24!$A$6:$BM$38,65,0)</f>
        <v>0</v>
      </c>
      <c r="AA39" s="36"/>
      <c r="AB39" s="36">
        <f>VLOOKUP($A39,[29]HISTONOV24!$A$6:$AU$38,43,0)</f>
        <v>0</v>
      </c>
      <c r="AC39" s="36">
        <f>VLOOKUP($A39,[29]HISTONOV24!$A$6:$AU$38,44,0)</f>
        <v>0</v>
      </c>
      <c r="AD39" s="36">
        <f>VLOOKUP($A39,[29]HISTONOV24!$A$6:$AU$38,47,0)</f>
        <v>0</v>
      </c>
      <c r="AE39" s="36">
        <f>VLOOKUP(A39,[29]HISTONOV24!$A$6:$BB$38,54,0)</f>
        <v>0</v>
      </c>
      <c r="AF39" s="36">
        <f>VLOOKUP($A39,[29]HISTONOV24!$A$6:$CB$38,60,0)</f>
        <v>0</v>
      </c>
      <c r="AG39" s="36">
        <f>VLOOKUP($A39,[29]HISTONOV24!$A$6:$CB$38,61,0)</f>
        <v>0</v>
      </c>
      <c r="AH39" s="36">
        <f>VLOOKUP($A39,[29]HISTONOV24!$A$6:$CB$38,62,0)</f>
        <v>0</v>
      </c>
      <c r="AI39" s="36">
        <f>VLOOKUP($A39,[29]HISTONOV24!$A$6:$CB$38,63,0)</f>
        <v>0</v>
      </c>
      <c r="AJ39" s="36">
        <f>VLOOKUP($A39,[29]HISTONOV24!$A$6:$CB$38,64,0)</f>
        <v>0</v>
      </c>
      <c r="AK39" s="36">
        <f>VLOOKUP($A39,[29]HISTONOV24!$A$6:$CB$38,65,0)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36478906.073121913</v>
      </c>
      <c r="G41" s="9">
        <f t="shared" si="10"/>
        <v>35278439.073121913</v>
      </c>
      <c r="H41" s="36">
        <f t="shared" si="10"/>
        <v>10000.000000000005</v>
      </c>
      <c r="I41" s="9">
        <f t="shared" si="10"/>
        <v>36488906.07312192</v>
      </c>
      <c r="J41" s="9">
        <f t="shared" si="10"/>
        <v>0</v>
      </c>
      <c r="K41" s="9">
        <f t="shared" si="10"/>
        <v>870500</v>
      </c>
      <c r="L41" s="9">
        <f t="shared" si="10"/>
        <v>678500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12000</v>
      </c>
      <c r="Q41" s="9">
        <f t="shared" si="10"/>
        <v>0</v>
      </c>
      <c r="R41" s="9">
        <f t="shared" si="10"/>
        <v>0</v>
      </c>
      <c r="S41" s="9">
        <f t="shared" si="10"/>
        <v>0</v>
      </c>
      <c r="T41" s="9">
        <f t="shared" si="10"/>
        <v>10000</v>
      </c>
      <c r="U41" s="9">
        <f t="shared" si="10"/>
        <v>0</v>
      </c>
      <c r="V41" s="9">
        <f t="shared" si="10"/>
        <v>1190000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0</v>
      </c>
      <c r="AF41" s="9">
        <f t="shared" si="10"/>
        <v>56000</v>
      </c>
      <c r="AG41" s="9">
        <f t="shared" si="10"/>
        <v>0</v>
      </c>
      <c r="AH41" s="9">
        <f t="shared" si="10"/>
        <v>100000</v>
      </c>
      <c r="AI41" s="9">
        <f t="shared" si="10"/>
        <v>106000</v>
      </c>
      <c r="AJ41" s="9">
        <f t="shared" si="10"/>
        <v>0</v>
      </c>
      <c r="AK41" s="9">
        <f t="shared" si="10"/>
        <v>0</v>
      </c>
      <c r="AL41" s="9">
        <f t="shared" si="10"/>
        <v>2000000</v>
      </c>
    </row>
    <row r="44" spans="1:38" x14ac:dyDescent="0.35">
      <c r="G44" s="2"/>
    </row>
  </sheetData>
  <autoFilter ref="A5:V39" xr:uid="{00000000-0009-0000-0000-000010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M44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R45" sqref="R4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57" bestFit="1" customWidth="1"/>
    <col min="12" max="12" width="17.54296875" style="157" customWidth="1"/>
    <col min="13" max="13" width="15.7265625" style="2" customWidth="1"/>
    <col min="14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6" max="26" width="12.453125" bestFit="1" customWidth="1"/>
    <col min="31" max="31" width="12.453125" bestFit="1" customWidth="1"/>
    <col min="35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2024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>
        <v>11</v>
      </c>
      <c r="L3" s="5">
        <v>12</v>
      </c>
      <c r="M3" s="5">
        <v>13</v>
      </c>
      <c r="N3" s="5">
        <v>14</v>
      </c>
      <c r="O3" s="5">
        <v>15</v>
      </c>
      <c r="P3" s="5">
        <v>16</v>
      </c>
      <c r="Q3" s="5">
        <v>17</v>
      </c>
      <c r="R3" s="5">
        <v>18</v>
      </c>
      <c r="S3" s="5">
        <v>19</v>
      </c>
      <c r="T3" s="5">
        <v>20</v>
      </c>
      <c r="AK3" s="1"/>
      <c r="AL3" s="1"/>
      <c r="AM3"/>
    </row>
    <row r="4" spans="1:39" ht="26" x14ac:dyDescent="0.6">
      <c r="E4" s="16"/>
      <c r="F4" s="16"/>
      <c r="G4" s="16"/>
      <c r="H4" s="16"/>
      <c r="I4" s="16"/>
      <c r="J4" s="156"/>
      <c r="K4" s="192">
        <v>45643</v>
      </c>
      <c r="L4" s="192"/>
      <c r="M4" s="192"/>
      <c r="N4" s="192"/>
      <c r="O4" s="192"/>
      <c r="P4" s="192"/>
      <c r="Q4"/>
      <c r="R4">
        <v>3</v>
      </c>
      <c r="AK4" s="104"/>
    </row>
    <row r="5" spans="1:39" ht="70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64</v>
      </c>
      <c r="W5" s="4" t="s">
        <v>67</v>
      </c>
      <c r="X5" s="4" t="s">
        <v>209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10</v>
      </c>
      <c r="AG5" s="83" t="s">
        <v>11</v>
      </c>
      <c r="AH5" s="83" t="s">
        <v>303</v>
      </c>
      <c r="AI5" s="83" t="s">
        <v>269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VLOOKUP(A6,[19]LISTADHERENT!A$5:H$60,3,0)</f>
        <v>ASELBY</v>
      </c>
      <c r="C6" s="36"/>
      <c r="D6" s="36"/>
      <c r="E6" s="36">
        <f>VLOOKUP($A6,[29]HISTODEC24!$A$6:$BA$38,48,0)</f>
        <v>0</v>
      </c>
      <c r="F6" s="36">
        <f>MVTNOV24!I6-E6+L6</f>
        <v>956757.45601743239</v>
      </c>
      <c r="G6" s="5">
        <f>IF(MVTNOV24!I6+L6&gt;700000,(MVTNOV24!I6-E6+L6),0)</f>
        <v>956757.45601743239</v>
      </c>
      <c r="H6" s="36">
        <f t="shared" ref="H6:H39" si="0">$T$41/$G$41*G6</f>
        <v>3914.1714743648799</v>
      </c>
      <c r="I6" s="6">
        <f>F6+H6</f>
        <v>960671.62749179732</v>
      </c>
      <c r="J6" s="36">
        <f>VLOOKUP($A6,[29]HISTODEC24!$A$6:$AQ$42,22,0)</f>
        <v>0</v>
      </c>
      <c r="K6" s="36">
        <f>VLOOKUP($A6,[29]HISTODEC24!$A$6:$AU$38,45,0)</f>
        <v>0</v>
      </c>
      <c r="L6" s="36">
        <f>IF(K6=0,0,K6-(M6+N6+O6))</f>
        <v>0</v>
      </c>
      <c r="M6" s="36">
        <f>IF(K6=0,0,1000)</f>
        <v>0</v>
      </c>
      <c r="N6" s="36">
        <f t="shared" ref="N6:N39" si="1">IF(K6=0,0,1000)</f>
        <v>0</v>
      </c>
      <c r="O6" s="36">
        <f>IF(K6=0,0,4000)</f>
        <v>0</v>
      </c>
      <c r="P6" s="36">
        <f>VLOOKUP($A6,[29]HISTODEC24!$A$6:$AU$38,7,0)</f>
        <v>0</v>
      </c>
      <c r="Q6" s="36">
        <f>VLOOKUP($A6,[29]HISTODEC24!$A$6:$AU$38,23,0)</f>
        <v>0</v>
      </c>
      <c r="R6" s="36">
        <f>VLOOKUP($A6,[29]HISTODEC24!$A$6:$AU$38,46,0)</f>
        <v>0</v>
      </c>
      <c r="S6" s="36">
        <f>VLOOKUP($A6,[29]HISTODEC24!$A$6:$AU$38,26,0)</f>
        <v>0</v>
      </c>
      <c r="T6" s="36">
        <f>VLOOKUP($A6,[29]HISTODEC24!$A$6:$BG$38,58,0)</f>
        <v>0</v>
      </c>
      <c r="U6" s="36">
        <f>VLOOKUP($A6,[29]HISTODEC24!$A$6:$AU$38,28,0)</f>
        <v>0</v>
      </c>
      <c r="V6" s="36">
        <f>VLOOKUP($A6,[29]HISTODEC24!$A$6:$AU$38,19,0)</f>
        <v>0</v>
      </c>
      <c r="W6" s="36">
        <f>VLOOKUP($A6,[29]HISTODEC24!$A$6:$AU$38,20,0)</f>
        <v>0</v>
      </c>
      <c r="X6" s="36">
        <f>VLOOKUP($A6,[29]HISTODEC24!$A$6:$AU$38,27,0)</f>
        <v>0</v>
      </c>
      <c r="Y6" s="36">
        <f>VLOOKUP($A6,[29]HISTODEC24!$A$6:$BM$38,33,0)</f>
        <v>0</v>
      </c>
      <c r="Z6" s="36">
        <f>VLOOKUP($A6,[29]HISTODEC24!$A$6:$BM$38,65,0)</f>
        <v>0</v>
      </c>
      <c r="AA6" s="36"/>
      <c r="AB6" s="36">
        <f>VLOOKUP($A6,[29]HISTODEC24!$A$6:$AU$38,43,0)</f>
        <v>0</v>
      </c>
      <c r="AC6" s="36">
        <f>VLOOKUP($A6,[29]HISTODEC24!$A$6:$AU$38,44,0)</f>
        <v>0</v>
      </c>
      <c r="AD6" s="36">
        <f>VLOOKUP($A6,[29]HISTODEC24!$A$6:$AU$38,47,0)</f>
        <v>0</v>
      </c>
      <c r="AE6" s="36">
        <f>VLOOKUP(A6,[29]HISTODEC24!$A$6:$BB$38,54,0)</f>
        <v>0</v>
      </c>
      <c r="AF6" s="36">
        <f>VLOOKUP($A6,[29]HISTODEC24!$A$6:$CB$38,60,0)-4000000</f>
        <v>31000</v>
      </c>
      <c r="AG6" s="36">
        <f>VLOOKUP($A6,[29]HISTODEC24!$A$6:$CB$38,61,0)</f>
        <v>0</v>
      </c>
      <c r="AH6" s="36">
        <f>VLOOKUP($A6,[29]HISTODEC24!$A$6:$CB$38,62,0)</f>
        <v>0</v>
      </c>
      <c r="AI6" s="36">
        <f>VLOOKUP($A6,[29]HISTODEC24!$A$6:$CB$38,63,0)</f>
        <v>0</v>
      </c>
      <c r="AJ6" s="36">
        <f>VLOOKUP($A6,[29]HISTODEC24!$A$6:$CB$38,64,0)</f>
        <v>0</v>
      </c>
      <c r="AK6" s="36">
        <f>VLOOKUP($A6,[29]HISTODEC24!$A$6:$CB$38,65,0)</f>
        <v>0</v>
      </c>
      <c r="AL6" s="36">
        <f>VLOOKUP($A6,[29]HISTODEC24!$A$6:$CB$38,66,0)+4000000</f>
        <v>5026618</v>
      </c>
    </row>
    <row r="7" spans="1:39" x14ac:dyDescent="0.35">
      <c r="A7" s="1" t="s">
        <v>17</v>
      </c>
      <c r="B7" s="1" t="str">
        <f>VLOOKUP(A7,[19]LISTADHERENT!A$5:H$60,3,0)</f>
        <v>BAKOP ACHILLE</v>
      </c>
      <c r="C7" s="36"/>
      <c r="D7" s="36"/>
      <c r="E7" s="36">
        <f>VLOOKUP($A7,[29]HISTODEC24!$A$6:$BA$38,48,0)</f>
        <v>0</v>
      </c>
      <c r="F7" s="36">
        <f>MVTNOV24!I7-E7+L7</f>
        <v>927954.0172185261</v>
      </c>
      <c r="G7" s="5">
        <f>IF(MVTNOV24!I7+L7&gt;700000,(MVTNOV24!I7-E7+L7),0)</f>
        <v>927954.0172185261</v>
      </c>
      <c r="H7" s="36">
        <f t="shared" si="0"/>
        <v>3796.3342965083434</v>
      </c>
      <c r="I7" s="6">
        <f t="shared" ref="I7:I39" si="2">F7+H7</f>
        <v>931750.35151503445</v>
      </c>
      <c r="J7" s="36">
        <f>VLOOKUP($A7,[29]HISTODEC24!$A$6:$AQ$42,22,0)</f>
        <v>0</v>
      </c>
      <c r="K7" s="36">
        <f>VLOOKUP($A7,[29]HISTODEC24!$A$6:$AU$38,45,0)</f>
        <v>25000</v>
      </c>
      <c r="L7" s="36">
        <f>IF(K7=0,0,K7-(M7+N7+O7))</f>
        <v>19000</v>
      </c>
      <c r="M7" s="36">
        <f>IF(K7=0,0,1000)</f>
        <v>1000</v>
      </c>
      <c r="N7" s="36">
        <f t="shared" si="1"/>
        <v>1000</v>
      </c>
      <c r="O7" s="36">
        <f>IF(K7=0,0,4000)</f>
        <v>4000</v>
      </c>
      <c r="P7" s="36">
        <f>VLOOKUP($A7,[29]HISTODEC24!$A$6:$AU$38,7,0)</f>
        <v>0</v>
      </c>
      <c r="Q7" s="36">
        <f>VLOOKUP($A7,[29]HISTODEC24!$A$6:$AU$38,23,0)</f>
        <v>0</v>
      </c>
      <c r="R7" s="36">
        <f>VLOOKUP($A7,[29]HISTODEC24!$A$6:$AU$38,46,0)</f>
        <v>0</v>
      </c>
      <c r="S7" s="36">
        <f>VLOOKUP($A7,[29]HISTODEC24!$A$6:$AU$38,26,0)</f>
        <v>0</v>
      </c>
      <c r="T7" s="13">
        <f>VLOOKUP($A7,[29]HISTODEC24!$A$6:$BG$38,58,0)</f>
        <v>93000</v>
      </c>
      <c r="U7" s="36">
        <f>VLOOKUP($A7,[29]HISTODEC24!$A$6:$AU$38,28,0)</f>
        <v>0</v>
      </c>
      <c r="V7" s="36">
        <f>VLOOKUP($A7,[29]HISTODEC24!$A$6:$AU$38,19,0)</f>
        <v>0</v>
      </c>
      <c r="W7" s="36">
        <f>VLOOKUP($A7,[29]HISTODEC24!$A$6:$AU$38,20,0)</f>
        <v>0</v>
      </c>
      <c r="X7" s="36">
        <f>VLOOKUP($A7,[29]HISTODEC24!$A$6:$AU$38,27,0)</f>
        <v>0</v>
      </c>
      <c r="Y7" s="36">
        <f>VLOOKUP($A7,[29]HISTODEC24!$A$6:$BM$38,33,0)</f>
        <v>0</v>
      </c>
      <c r="Z7" s="36">
        <f>VLOOKUP($A7,[29]HISTODEC24!$A$6:$BM$38,65,0)</f>
        <v>0</v>
      </c>
      <c r="AA7" s="36"/>
      <c r="AB7" s="36">
        <f>VLOOKUP($A7,[29]HISTODEC24!$A$6:$AU$38,43,0)</f>
        <v>0</v>
      </c>
      <c r="AC7" s="36">
        <f>VLOOKUP($A7,[29]HISTODEC24!$A$6:$AU$38,44,0)</f>
        <v>0</v>
      </c>
      <c r="AD7" s="36">
        <f>VLOOKUP($A7,[29]HISTODEC24!$A$6:$AU$38,47,0)</f>
        <v>0</v>
      </c>
      <c r="AE7" s="36">
        <f>VLOOKUP(A7,[29]HISTODEC24!$A$6:$BB$38,54,0)</f>
        <v>0</v>
      </c>
      <c r="AF7" s="36">
        <f>VLOOKUP($A7,[29]HISTODEC24!$A$6:$CB$38,60,0)</f>
        <v>0</v>
      </c>
      <c r="AG7" s="36">
        <f>VLOOKUP($A7,[29]HISTODEC24!$A$6:$CB$38,61,0)</f>
        <v>0</v>
      </c>
      <c r="AH7" s="36">
        <f>VLOOKUP($A7,[29]HISTODEC24!$A$6:$CB$38,62,0)</f>
        <v>0</v>
      </c>
      <c r="AI7" s="36">
        <f>VLOOKUP($A7,[29]HISTODEC24!$A$6:$CB$38,63,0)</f>
        <v>0</v>
      </c>
      <c r="AJ7" s="36">
        <f>VLOOKUP($A7,[29]HISTODEC24!$A$6:$CB$38,64,0)</f>
        <v>0</v>
      </c>
      <c r="AK7" s="36">
        <f>VLOOKUP($A7,[29]HISTODEC24!$A$6:$CB$38,65,0)</f>
        <v>0</v>
      </c>
    </row>
    <row r="8" spans="1:39" x14ac:dyDescent="0.35">
      <c r="A8" s="1" t="s">
        <v>19</v>
      </c>
      <c r="B8" s="1" t="str">
        <f>VLOOKUP(A8,[19]LISTADHERENT!A$5:H$60,3,0)</f>
        <v>BOUTCHOUANG WILLIAM</v>
      </c>
      <c r="C8" s="36"/>
      <c r="D8" s="36"/>
      <c r="E8" s="36">
        <f>VLOOKUP($A8,[29]HISTODEC24!$A$6:$BA$38,48,0)</f>
        <v>0</v>
      </c>
      <c r="F8" s="36">
        <f>MVTNOV24!I8-E8+L8</f>
        <v>982346.23247952305</v>
      </c>
      <c r="G8" s="5">
        <f>IF(MVTNOV24!I8+L8&gt;700000,(MVTNOV24!I8-E8+L8),0)</f>
        <v>982346.23247952305</v>
      </c>
      <c r="H8" s="36">
        <f t="shared" si="0"/>
        <v>4018.8572108196895</v>
      </c>
      <c r="I8" s="6">
        <f t="shared" si="2"/>
        <v>986365.08969034278</v>
      </c>
      <c r="J8" s="36">
        <f>VLOOKUP($A8,[29]HISTODEC24!$A$6:$AQ$42,22,0)</f>
        <v>0</v>
      </c>
      <c r="K8" s="36">
        <f>VLOOKUP($A8,[29]HISTODEC24!$A$6:$AU$38,45,0)</f>
        <v>25000</v>
      </c>
      <c r="L8" s="36">
        <f t="shared" ref="L8:L39" si="3">IF(K8=0,0,K8-(M8+N8+O8))</f>
        <v>19000</v>
      </c>
      <c r="M8" s="36">
        <f t="shared" ref="M8:M39" si="4">IF(K8=0,0,1000)</f>
        <v>1000</v>
      </c>
      <c r="N8" s="36">
        <f t="shared" si="1"/>
        <v>1000</v>
      </c>
      <c r="O8" s="36">
        <f t="shared" ref="O8:O39" si="5">IF(K8=0,0,4000)</f>
        <v>4000</v>
      </c>
      <c r="P8" s="36">
        <f>VLOOKUP($A8,[29]HISTODEC24!$A$6:$AU$38,7,0)</f>
        <v>0</v>
      </c>
      <c r="Q8" s="36">
        <f>VLOOKUP($A8,[29]HISTODEC24!$A$6:$AU$38,23,0)</f>
        <v>0</v>
      </c>
      <c r="R8" s="36">
        <f>VLOOKUP($A8,[29]HISTODEC24!$A$6:$AU$38,46,0)</f>
        <v>0</v>
      </c>
      <c r="S8" s="36">
        <f>VLOOKUP($A8,[29]HISTODEC24!$A$6:$AU$38,26,0)</f>
        <v>500000</v>
      </c>
      <c r="T8" s="36"/>
      <c r="U8" s="36">
        <f>VLOOKUP($A8,[29]HISTODEC24!$A$6:$AU$38,28,0)</f>
        <v>0</v>
      </c>
      <c r="V8" s="36">
        <f>VLOOKUP($A8,[29]HISTODEC24!$A$6:$AU$38,19,0)</f>
        <v>500000</v>
      </c>
      <c r="W8" s="36">
        <f>VLOOKUP($A8,[29]HISTODEC24!$A$6:$AU$38,20,0)</f>
        <v>0</v>
      </c>
      <c r="X8" s="36">
        <f>VLOOKUP($A8,[29]HISTODEC24!$A$6:$AU$38,27,0)</f>
        <v>0</v>
      </c>
      <c r="Y8" s="36">
        <f>VLOOKUP($A8,[29]HISTODEC24!$A$6:$BM$38,33,0)</f>
        <v>0</v>
      </c>
      <c r="Z8" s="36">
        <f>VLOOKUP($A8,[29]HISTODEC24!$A$6:$BM$38,65,0)</f>
        <v>0</v>
      </c>
      <c r="AA8" s="36"/>
      <c r="AB8" s="36">
        <f>VLOOKUP($A8,[29]HISTODEC24!$A$6:$AU$38,43,0)</f>
        <v>0</v>
      </c>
      <c r="AC8" s="36">
        <f>VLOOKUP($A8,[29]HISTODEC24!$A$6:$AU$38,44,0)</f>
        <v>0</v>
      </c>
      <c r="AD8" s="36">
        <f>VLOOKUP($A8,[29]HISTODEC24!$A$6:$AU$38,47,0)</f>
        <v>0</v>
      </c>
      <c r="AE8" s="36">
        <f>VLOOKUP(A8,[29]HISTODEC24!$A$6:$BB$38,54,0)</f>
        <v>0</v>
      </c>
      <c r="AF8" s="36">
        <f>VLOOKUP($A8,[29]HISTODEC24!$A$6:$CB$38,60,0)</f>
        <v>0</v>
      </c>
      <c r="AG8" s="36">
        <f>VLOOKUP($A8,[29]HISTODEC24!$A$6:$CB$38,61,0)</f>
        <v>0</v>
      </c>
      <c r="AH8" s="36">
        <f>VLOOKUP($A8,[29]HISTODEC24!$A$6:$CB$38,62,0)</f>
        <v>0</v>
      </c>
      <c r="AI8" s="36">
        <f>VLOOKUP($A8,[29]HISTODEC24!$A$6:$CB$38,63,0)</f>
        <v>0</v>
      </c>
      <c r="AJ8" s="36">
        <f>VLOOKUP($A8,[29]HISTODEC24!$A$6:$CB$38,64,0)</f>
        <v>0</v>
      </c>
      <c r="AK8" s="36">
        <f>VLOOKUP($A8,[29]HISTODEC24!$A$6:$CB$38,65,0)</f>
        <v>0</v>
      </c>
    </row>
    <row r="9" spans="1:39" x14ac:dyDescent="0.35">
      <c r="A9" s="1" t="s">
        <v>23</v>
      </c>
      <c r="B9" s="1" t="str">
        <f>VLOOKUP(A9,[19]LISTADHERENT!A$5:H$60,3,0)</f>
        <v xml:space="preserve">DJOMO JEAN PAUL </v>
      </c>
      <c r="C9" s="36"/>
      <c r="D9" s="36"/>
      <c r="E9" s="36">
        <f>VLOOKUP($A9,[29]HISTODEC24!$A$6:$BA$38,48,0)</f>
        <v>0</v>
      </c>
      <c r="F9" s="36">
        <f>MVTNOV24!I9-E9+L9</f>
        <v>1035404.4269359384</v>
      </c>
      <c r="G9" s="5">
        <f>IF(MVTNOV24!I9+L9&gt;700000,(MVTNOV24!I9-E9+L9),0)</f>
        <v>1035404.4269359384</v>
      </c>
      <c r="H9" s="36">
        <f t="shared" si="0"/>
        <v>4235.9225390451766</v>
      </c>
      <c r="I9" s="6">
        <f t="shared" si="2"/>
        <v>1039640.3494749836</v>
      </c>
      <c r="J9" s="36">
        <f>VLOOKUP($A9,[29]HISTODEC24!$A$6:$AQ$42,22,0)</f>
        <v>0</v>
      </c>
      <c r="K9" s="36">
        <f>VLOOKUP($A9,[29]HISTODEC24!$A$6:$AU$38,45,0)</f>
        <v>25000</v>
      </c>
      <c r="L9" s="36">
        <f t="shared" si="3"/>
        <v>19000</v>
      </c>
      <c r="M9" s="36">
        <f t="shared" si="4"/>
        <v>1000</v>
      </c>
      <c r="N9" s="36">
        <f t="shared" si="1"/>
        <v>1000</v>
      </c>
      <c r="O9" s="36">
        <f t="shared" si="5"/>
        <v>4000</v>
      </c>
      <c r="P9" s="36">
        <f>VLOOKUP($A9,[29]HISTODEC24!$A$6:$AU$38,7,0)</f>
        <v>0</v>
      </c>
      <c r="Q9" s="36">
        <f>VLOOKUP($A9,[29]HISTODEC24!$A$6:$AU$38,23,0)</f>
        <v>0</v>
      </c>
      <c r="R9" s="36">
        <f>VLOOKUP($A9,[29]HISTODEC24!$A$6:$AU$38,46,0)</f>
        <v>0</v>
      </c>
      <c r="S9" s="36">
        <f>VLOOKUP($A9,[29]HISTODEC24!$A$6:$AU$38,26,0)</f>
        <v>1000000</v>
      </c>
      <c r="T9" s="36"/>
      <c r="U9" s="36">
        <f>VLOOKUP($A9,[29]HISTODEC24!$A$6:$AU$38,28,0)</f>
        <v>0</v>
      </c>
      <c r="V9" s="36">
        <f>VLOOKUP($A9,[29]HISTODEC24!$A$6:$AU$38,19,0)</f>
        <v>1000000</v>
      </c>
      <c r="W9" s="36">
        <f>VLOOKUP($A9,[29]HISTODEC24!$A$6:$AU$38,20,0)</f>
        <v>0</v>
      </c>
      <c r="X9" s="36">
        <f>VLOOKUP($A9,[29]HISTODEC24!$A$6:$AU$38,27,0)</f>
        <v>0</v>
      </c>
      <c r="Y9" s="36">
        <f>VLOOKUP($A9,[29]HISTODEC24!$A$6:$BM$38,33,0)</f>
        <v>0</v>
      </c>
      <c r="Z9" s="36">
        <f>VLOOKUP($A9,[29]HISTODEC24!$A$6:$BM$38,65,0)</f>
        <v>0</v>
      </c>
      <c r="AA9" s="36"/>
      <c r="AB9" s="36">
        <f>VLOOKUP($A9,[29]HISTODEC24!$A$6:$AU$38,43,0)</f>
        <v>0</v>
      </c>
      <c r="AC9" s="36">
        <f>VLOOKUP($A9,[29]HISTODEC24!$A$6:$AU$38,44,0)</f>
        <v>0</v>
      </c>
      <c r="AD9" s="36">
        <f>VLOOKUP($A9,[29]HISTODEC24!$A$6:$AU$38,47,0)</f>
        <v>0</v>
      </c>
      <c r="AE9" s="36">
        <f>VLOOKUP(A9,[29]HISTODEC24!$A$6:$BB$38,54,0)</f>
        <v>0</v>
      </c>
      <c r="AF9" s="36">
        <f>VLOOKUP($A9,[29]HISTODEC24!$A$6:$CB$38,60,0)</f>
        <v>0</v>
      </c>
      <c r="AG9" s="36">
        <f>VLOOKUP($A9,[29]HISTODEC24!$A$6:$CB$38,61,0)</f>
        <v>0</v>
      </c>
      <c r="AH9" s="36">
        <f>VLOOKUP($A9,[29]HISTODEC24!$A$6:$CB$38,62,0)</f>
        <v>0</v>
      </c>
      <c r="AI9" s="36">
        <f>VLOOKUP($A9,[29]HISTODEC24!$A$6:$CB$38,63,0)</f>
        <v>0</v>
      </c>
      <c r="AJ9" s="36">
        <f>VLOOKUP($A9,[29]HISTODEC24!$A$6:$CB$38,64,0)</f>
        <v>0</v>
      </c>
      <c r="AK9" s="36">
        <f>VLOOKUP($A9,[29]HISTODEC24!$A$6:$CB$38,65,0)</f>
        <v>0</v>
      </c>
    </row>
    <row r="10" spans="1:39" x14ac:dyDescent="0.35">
      <c r="A10" s="1" t="s">
        <v>154</v>
      </c>
      <c r="B10" s="1" t="str">
        <f>VLOOKUP(A10,[19]LISTADHERENT!A$5:H$60,3,0)</f>
        <v>DJOMOU TCHAPDA</v>
      </c>
      <c r="C10" s="36"/>
      <c r="D10" s="36"/>
      <c r="E10" s="36">
        <f>VLOOKUP($A10,[29]HISTODEC24!$A$6:$BA$38,48,0)</f>
        <v>0</v>
      </c>
      <c r="F10" s="36">
        <f>MVTNOV24!I10-E10+L10</f>
        <v>979078.22072936664</v>
      </c>
      <c r="G10" s="5">
        <f>IF(MVTNOV24!I10+L10&gt;700000,(MVTNOV24!I10-E10+L10),0)</f>
        <v>979078.22072936664</v>
      </c>
      <c r="H10" s="36">
        <f t="shared" si="0"/>
        <v>4005.4875126899278</v>
      </c>
      <c r="I10" s="6">
        <f t="shared" si="2"/>
        <v>983083.70824205654</v>
      </c>
      <c r="J10" s="36">
        <f>VLOOKUP($A10,[29]HISTODEC24!$A$6:$AQ$42,22,0)</f>
        <v>0</v>
      </c>
      <c r="K10" s="36">
        <f>VLOOKUP($A10,[29]HISTODEC24!$A$6:$AU$38,45,0)</f>
        <v>25000</v>
      </c>
      <c r="L10" s="36">
        <f t="shared" si="3"/>
        <v>19000</v>
      </c>
      <c r="M10" s="36">
        <f t="shared" si="4"/>
        <v>1000</v>
      </c>
      <c r="N10" s="36">
        <f t="shared" si="1"/>
        <v>1000</v>
      </c>
      <c r="O10" s="36">
        <f t="shared" si="5"/>
        <v>4000</v>
      </c>
      <c r="P10" s="36">
        <f>VLOOKUP($A10,[29]HISTODEC24!$A$6:$AU$38,7,0)</f>
        <v>0</v>
      </c>
      <c r="Q10" s="36">
        <f>VLOOKUP($A10,[29]HISTODEC24!$A$6:$AU$38,23,0)</f>
        <v>0</v>
      </c>
      <c r="R10" s="36">
        <f>VLOOKUP($A10,[29]HISTODEC24!$A$6:$AU$38,46,0)</f>
        <v>0</v>
      </c>
      <c r="S10" s="36">
        <f>VLOOKUP($A10,[29]HISTODEC24!$A$6:$AU$38,26,0)</f>
        <v>1000000</v>
      </c>
      <c r="T10" s="36"/>
      <c r="U10" s="36">
        <f>VLOOKUP($A10,[29]HISTODEC24!$A$6:$AU$38,28,0)</f>
        <v>0</v>
      </c>
      <c r="V10" s="36">
        <f>VLOOKUP($A10,[29]HISTODEC24!$A$6:$AU$38,19,0)</f>
        <v>1000000</v>
      </c>
      <c r="W10" s="36">
        <f>VLOOKUP($A10,[29]HISTODEC24!$A$6:$AU$38,20,0)</f>
        <v>0</v>
      </c>
      <c r="X10" s="36">
        <f>VLOOKUP($A10,[29]HISTODEC24!$A$6:$AU$38,27,0)</f>
        <v>0</v>
      </c>
      <c r="Y10" s="36">
        <f>VLOOKUP($A10,[29]HISTODEC24!$A$6:$BM$38,33,0)</f>
        <v>0</v>
      </c>
      <c r="Z10" s="36">
        <f>VLOOKUP($A10,[29]HISTODEC24!$A$6:$BM$38,65,0)</f>
        <v>0</v>
      </c>
      <c r="AA10" s="36"/>
      <c r="AB10" s="36">
        <f>VLOOKUP($A10,[29]HISTODEC24!$A$6:$AU$38,43,0)</f>
        <v>0</v>
      </c>
      <c r="AC10" s="36">
        <f>VLOOKUP($A10,[29]HISTODEC24!$A$6:$AU$38,44,0)</f>
        <v>0</v>
      </c>
      <c r="AD10" s="36">
        <f>VLOOKUP($A10,[29]HISTODEC24!$A$6:$AU$38,47,0)</f>
        <v>0</v>
      </c>
      <c r="AE10" s="36">
        <f>VLOOKUP(A10,[29]HISTODEC24!$A$6:$BB$38,54,0)</f>
        <v>0</v>
      </c>
      <c r="AF10" s="36">
        <f>VLOOKUP($A10,[29]HISTODEC24!$A$6:$CB$38,60,0)</f>
        <v>0</v>
      </c>
      <c r="AG10" s="36">
        <f>VLOOKUP($A10,[29]HISTODEC24!$A$6:$CB$38,61,0)</f>
        <v>0</v>
      </c>
      <c r="AH10" s="36">
        <f>VLOOKUP($A10,[29]HISTODEC24!$A$6:$CB$38,62,0)</f>
        <v>0</v>
      </c>
      <c r="AI10" s="36">
        <f>VLOOKUP($A10,[29]HISTODEC24!$A$6:$CB$38,63,0)</f>
        <v>0</v>
      </c>
      <c r="AJ10" s="36">
        <f>VLOOKUP($A10,[29]HISTODEC24!$A$6:$CB$38,64,0)</f>
        <v>0</v>
      </c>
      <c r="AK10" s="36">
        <f>VLOOKUP($A10,[29]HISTODEC24!$A$6:$CB$38,65,0)</f>
        <v>0</v>
      </c>
    </row>
    <row r="11" spans="1:39" x14ac:dyDescent="0.35">
      <c r="A11" s="1" t="s">
        <v>24</v>
      </c>
      <c r="B11" s="1" t="str">
        <f>VLOOKUP(A11,[19]LISTADHERENT!A$5:H$60,3,0)</f>
        <v>DJOUKWE NANGUEN GUY BLAISE</v>
      </c>
      <c r="C11" s="36"/>
      <c r="D11" s="36"/>
      <c r="E11" s="36">
        <f>VLOOKUP($A11,[29]HISTODEC24!$A$6:$BA$38,48,0)</f>
        <v>0</v>
      </c>
      <c r="F11" s="36">
        <f>MVTNOV24!I11-E11+L11</f>
        <v>1010968.1442096249</v>
      </c>
      <c r="G11" s="5">
        <f>IF(MVTNOV24!I11+L11&gt;700000,(MVTNOV24!I11-E11+L11),0)</f>
        <v>1010968.1442096249</v>
      </c>
      <c r="H11" s="36">
        <f t="shared" si="0"/>
        <v>4135.9517468812019</v>
      </c>
      <c r="I11" s="6">
        <f t="shared" si="2"/>
        <v>1015104.0959565061</v>
      </c>
      <c r="J11" s="36">
        <f>VLOOKUP($A11,[29]HISTODEC24!$A$6:$AQ$42,22,0)</f>
        <v>0</v>
      </c>
      <c r="K11" s="36">
        <f>VLOOKUP($A11,[29]HISTODEC24!$A$6:$AU$38,45,0)</f>
        <v>25000</v>
      </c>
      <c r="L11" s="36">
        <f t="shared" si="3"/>
        <v>19000</v>
      </c>
      <c r="M11" s="36">
        <f t="shared" si="4"/>
        <v>1000</v>
      </c>
      <c r="N11" s="36">
        <f t="shared" si="1"/>
        <v>1000</v>
      </c>
      <c r="O11" s="36">
        <f t="shared" si="5"/>
        <v>4000</v>
      </c>
      <c r="P11" s="36">
        <f>VLOOKUP($A11,[29]HISTODEC24!$A$6:$AU$38,7,0)</f>
        <v>0</v>
      </c>
      <c r="Q11" s="36">
        <f>VLOOKUP($A11,[29]HISTODEC24!$A$6:$AU$38,23,0)</f>
        <v>0</v>
      </c>
      <c r="R11" s="36">
        <f>VLOOKUP($A11,[29]HISTODEC24!$A$6:$AU$38,46,0)</f>
        <v>0</v>
      </c>
      <c r="S11" s="36">
        <f>VLOOKUP($A11,[29]HISTODEC24!$A$6:$AU$38,26,0)</f>
        <v>0</v>
      </c>
      <c r="T11" s="36"/>
      <c r="U11" s="36">
        <f>VLOOKUP($A11,[29]HISTODEC24!$A$6:$AU$38,28,0)</f>
        <v>0</v>
      </c>
      <c r="V11" s="36">
        <f>VLOOKUP($A11,[29]HISTODEC24!$A$6:$AU$38,19,0)</f>
        <v>0</v>
      </c>
      <c r="W11" s="36">
        <f>VLOOKUP($A11,[29]HISTODEC24!$A$6:$AU$38,20,0)</f>
        <v>0</v>
      </c>
      <c r="X11" s="36">
        <f>VLOOKUP($A11,[29]HISTODEC24!$A$6:$AU$38,27,0)</f>
        <v>0</v>
      </c>
      <c r="Y11" s="36">
        <f>VLOOKUP($A11,[29]HISTODEC24!$A$6:$BM$38,33,0)</f>
        <v>0</v>
      </c>
      <c r="Z11" s="36">
        <f>VLOOKUP($A11,[29]HISTODEC24!$A$6:$BM$38,65,0)</f>
        <v>0</v>
      </c>
      <c r="AA11" s="36"/>
      <c r="AB11" s="36">
        <f>VLOOKUP($A11,[29]HISTODEC24!$A$6:$AU$38,43,0)</f>
        <v>0</v>
      </c>
      <c r="AC11" s="36">
        <f>VLOOKUP($A11,[29]HISTODEC24!$A$6:$AU$38,44,0)</f>
        <v>0</v>
      </c>
      <c r="AD11" s="36">
        <f>VLOOKUP($A11,[29]HISTODEC24!$A$6:$AU$38,47,0)</f>
        <v>0</v>
      </c>
      <c r="AE11" s="36">
        <f>VLOOKUP(A11,[29]HISTODEC24!$A$6:$BB$38,54,0)</f>
        <v>0</v>
      </c>
      <c r="AF11" s="36">
        <f>VLOOKUP($A11,[29]HISTODEC24!$A$6:$CB$38,60,0)</f>
        <v>0</v>
      </c>
      <c r="AG11" s="36">
        <f>VLOOKUP($A11,[29]HISTODEC24!$A$6:$CB$38,61,0)</f>
        <v>0</v>
      </c>
      <c r="AH11" s="36">
        <f>VLOOKUP($A11,[29]HISTODEC24!$A$6:$CB$38,62,0)</f>
        <v>0</v>
      </c>
      <c r="AI11" s="36">
        <f>VLOOKUP($A11,[29]HISTODEC24!$A$6:$CB$38,63,0)</f>
        <v>0</v>
      </c>
      <c r="AJ11" s="36">
        <f>VLOOKUP($A11,[29]HISTODEC24!$A$6:$CB$38,64,0)</f>
        <v>0</v>
      </c>
      <c r="AK11" s="36">
        <f>VLOOKUP($A11,[29]HISTODEC24!$A$6:$CB$38,65,0)</f>
        <v>0</v>
      </c>
    </row>
    <row r="12" spans="1:39" x14ac:dyDescent="0.35">
      <c r="A12" s="1" t="s">
        <v>25</v>
      </c>
      <c r="B12" s="1" t="str">
        <f>VLOOKUP(A12,[19]LISTADHERENT!A$5:H$60,3,0)</f>
        <v>DJUOMBESSY ANTOINE</v>
      </c>
      <c r="C12" s="36"/>
      <c r="D12" s="36"/>
      <c r="E12" s="36">
        <f>VLOOKUP($A12,[29]HISTODEC24!$A$6:$BA$38,48,0)</f>
        <v>0</v>
      </c>
      <c r="F12" s="36">
        <f>MVTNOV24!I12-E12+L12</f>
        <v>1069172.7951158585</v>
      </c>
      <c r="G12" s="5">
        <f>IF(MVTNOV24!I12+L12&gt;700000,(MVTNOV24!I12-E12+L12),0)</f>
        <v>1069172.7951158585</v>
      </c>
      <c r="H12" s="36">
        <f t="shared" si="0"/>
        <v>4374.0716411341027</v>
      </c>
      <c r="I12" s="6">
        <f t="shared" si="2"/>
        <v>1073546.8667569926</v>
      </c>
      <c r="J12" s="36">
        <f>VLOOKUP($A12,[29]HISTODEC24!$A$6:$AQ$42,22,0)</f>
        <v>0</v>
      </c>
      <c r="K12" s="36">
        <f>VLOOKUP($A12,[29]HISTODEC24!$A$6:$AU$38,45,0)</f>
        <v>30000</v>
      </c>
      <c r="L12" s="36">
        <f t="shared" si="3"/>
        <v>24000</v>
      </c>
      <c r="M12" s="36">
        <f t="shared" si="4"/>
        <v>1000</v>
      </c>
      <c r="N12" s="36">
        <f t="shared" si="1"/>
        <v>1000</v>
      </c>
      <c r="O12" s="36">
        <f t="shared" si="5"/>
        <v>4000</v>
      </c>
      <c r="P12" s="36">
        <f>VLOOKUP($A12,[29]HISTODEC24!$A$6:$AU$38,7,0)</f>
        <v>0</v>
      </c>
      <c r="Q12" s="36">
        <f>VLOOKUP($A12,[29]HISTODEC24!$A$6:$AU$38,23,0)</f>
        <v>0</v>
      </c>
      <c r="R12" s="36">
        <f>VLOOKUP($A12,[29]HISTODEC24!$A$6:$AU$38,46,0)</f>
        <v>0</v>
      </c>
      <c r="S12" s="36">
        <f>VLOOKUP($A12,[29]HISTODEC24!$A$6:$AU$38,26,0)</f>
        <v>1000000</v>
      </c>
      <c r="T12" s="36"/>
      <c r="U12" s="36">
        <f>VLOOKUP($A12,[29]HISTODEC24!$A$6:$AU$38,28,0)</f>
        <v>0</v>
      </c>
      <c r="V12" s="36">
        <f>VLOOKUP($A12,[29]HISTODEC24!$A$6:$AU$38,19,0)</f>
        <v>40000</v>
      </c>
      <c r="W12" s="36">
        <f>VLOOKUP($A12,[29]HISTODEC24!$A$6:$AU$38,20,0)</f>
        <v>0</v>
      </c>
      <c r="X12" s="36">
        <f>VLOOKUP($A12,[29]HISTODEC24!$A$6:$AU$38,27,0)</f>
        <v>0</v>
      </c>
      <c r="Y12" s="36">
        <f>VLOOKUP($A12,[29]HISTODEC24!$A$6:$BM$38,33,0)</f>
        <v>0</v>
      </c>
      <c r="Z12" s="36">
        <f>VLOOKUP($A12,[29]HISTODEC24!$A$6:$BM$38,65,0)</f>
        <v>0</v>
      </c>
      <c r="AA12" s="36"/>
      <c r="AB12" s="36">
        <f>VLOOKUP($A12,[29]HISTODEC24!$A$6:$AU$38,43,0)</f>
        <v>0</v>
      </c>
      <c r="AC12" s="36">
        <f>VLOOKUP($A12,[29]HISTODEC24!$A$6:$AU$38,44,0)</f>
        <v>0</v>
      </c>
      <c r="AD12" s="36">
        <f>VLOOKUP($A12,[29]HISTODEC24!$A$6:$AU$38,47,0)</f>
        <v>0</v>
      </c>
      <c r="AE12" s="36">
        <f>VLOOKUP(A12,[29]HISTODEC24!$A$6:$BB$38,54,0)</f>
        <v>0</v>
      </c>
      <c r="AF12" s="36">
        <f>VLOOKUP($A12,[29]HISTODEC24!$A$6:$CB$38,60,0)</f>
        <v>0</v>
      </c>
      <c r="AG12" s="36">
        <f>VLOOKUP($A12,[29]HISTODEC24!$A$6:$CB$38,61,0)</f>
        <v>0</v>
      </c>
      <c r="AH12" s="36">
        <f>VLOOKUP($A12,[29]HISTODEC24!$A$6:$CB$38,62,0)</f>
        <v>0</v>
      </c>
      <c r="AI12" s="36">
        <f>VLOOKUP($A12,[29]HISTODEC24!$A$6:$CB$38,63,0)</f>
        <v>0</v>
      </c>
      <c r="AJ12" s="36">
        <f>VLOOKUP($A12,[29]HISTODEC24!$A$6:$CB$38,64,0)</f>
        <v>0</v>
      </c>
      <c r="AK12" s="36">
        <f>VLOOKUP($A12,[29]HISTODEC24!$A$6:$CB$38,65,0)</f>
        <v>0</v>
      </c>
    </row>
    <row r="13" spans="1:39" x14ac:dyDescent="0.35">
      <c r="A13" s="1" t="s">
        <v>79</v>
      </c>
      <c r="B13" s="1" t="str">
        <f>VLOOKUP(A13,[19]LISTADHERENT!A$5:H$60,3,0)</f>
        <v>DOMOU FABIEN</v>
      </c>
      <c r="C13" s="36"/>
      <c r="D13" s="36"/>
      <c r="E13" s="36">
        <f>VLOOKUP($A13,[29]HISTODEC24!$A$6:$BA$38,48,0)</f>
        <v>0</v>
      </c>
      <c r="F13" s="36">
        <f>MVTNOV24!I13-E13+L13</f>
        <v>985405.65692185995</v>
      </c>
      <c r="G13" s="5">
        <f>IF(MVTNOV24!I13+L13&gt;700000,(MVTNOV24!I13-E13+L13),0)</f>
        <v>985405.65692185995</v>
      </c>
      <c r="H13" s="36">
        <f t="shared" si="0"/>
        <v>4031.3735615466717</v>
      </c>
      <c r="I13" s="6">
        <f t="shared" si="2"/>
        <v>989437.03048340662</v>
      </c>
      <c r="J13" s="36">
        <f>VLOOKUP($A13,[29]HISTODEC24!$A$6:$AQ$42,22,0)</f>
        <v>0</v>
      </c>
      <c r="K13" s="36">
        <f>VLOOKUP($A13,[29]HISTODEC24!$A$6:$AU$38,45,0)</f>
        <v>25000</v>
      </c>
      <c r="L13" s="36">
        <f t="shared" si="3"/>
        <v>19000</v>
      </c>
      <c r="M13" s="36">
        <f t="shared" si="4"/>
        <v>1000</v>
      </c>
      <c r="N13" s="36">
        <f t="shared" si="1"/>
        <v>1000</v>
      </c>
      <c r="O13" s="36">
        <f t="shared" si="5"/>
        <v>4000</v>
      </c>
      <c r="P13" s="36">
        <f>VLOOKUP($A13,[29]HISTODEC24!$A$6:$AU$38,7,0)</f>
        <v>0</v>
      </c>
      <c r="Q13" s="36">
        <f>VLOOKUP($A13,[29]HISTODEC24!$A$6:$AU$38,23,0)</f>
        <v>0</v>
      </c>
      <c r="R13" s="36">
        <f>VLOOKUP($A13,[29]HISTODEC24!$A$6:$AU$38,46,0)</f>
        <v>0</v>
      </c>
      <c r="S13" s="36">
        <f>VLOOKUP($A13,[29]HISTODEC24!$A$6:$AU$38,26,0)</f>
        <v>0</v>
      </c>
      <c r="T13" s="36"/>
      <c r="U13" s="36">
        <f>VLOOKUP($A13,[29]HISTODEC24!$A$6:$AU$38,28,0)</f>
        <v>0</v>
      </c>
      <c r="V13" s="36">
        <f>VLOOKUP($A13,[29]HISTODEC24!$A$6:$AU$38,19,0)</f>
        <v>1000000</v>
      </c>
      <c r="W13" s="36">
        <f>VLOOKUP($A13,[29]HISTODEC24!$A$6:$AU$38,20,0)</f>
        <v>0</v>
      </c>
      <c r="X13" s="36">
        <f>VLOOKUP($A13,[29]HISTODEC24!$A$6:$AU$38,27,0)</f>
        <v>0</v>
      </c>
      <c r="Y13" s="36">
        <f>VLOOKUP($A13,[29]HISTODEC24!$A$6:$BM$38,33,0)</f>
        <v>0</v>
      </c>
      <c r="Z13" s="36">
        <f>VLOOKUP($A13,[29]HISTODEC24!$A$6:$BM$38,65,0)</f>
        <v>0</v>
      </c>
      <c r="AA13" s="36"/>
      <c r="AB13" s="36">
        <f>VLOOKUP($A13,[29]HISTODEC24!$A$6:$AU$38,43,0)</f>
        <v>0</v>
      </c>
      <c r="AC13" s="36">
        <f>VLOOKUP($A13,[29]HISTODEC24!$A$6:$AU$38,44,0)</f>
        <v>0</v>
      </c>
      <c r="AD13" s="36">
        <f>VLOOKUP($A13,[29]HISTODEC24!$A$6:$AU$38,47,0)</f>
        <v>0</v>
      </c>
      <c r="AE13" s="36">
        <f>VLOOKUP(A13,[29]HISTODEC24!$A$6:$BB$38,54,0)</f>
        <v>0</v>
      </c>
      <c r="AF13" s="36">
        <f>VLOOKUP($A13,[29]HISTODEC24!$A$6:$CB$38,60,0)</f>
        <v>0</v>
      </c>
      <c r="AG13" s="36">
        <f>VLOOKUP($A13,[29]HISTODEC24!$A$6:$CB$38,61,0)</f>
        <v>0</v>
      </c>
      <c r="AH13" s="36">
        <f>VLOOKUP($A13,[29]HISTODEC24!$A$6:$CB$38,62,0)</f>
        <v>0</v>
      </c>
      <c r="AI13" s="36">
        <f>VLOOKUP($A13,[29]HISTODEC24!$A$6:$CB$38,63,0)</f>
        <v>0</v>
      </c>
      <c r="AJ13" s="36">
        <f>VLOOKUP($A13,[29]HISTODEC24!$A$6:$CB$38,64,0)</f>
        <v>0</v>
      </c>
      <c r="AK13" s="36">
        <f>VLOOKUP($A13,[29]HISTODEC24!$A$6:$CB$38,65,0)</f>
        <v>0</v>
      </c>
    </row>
    <row r="14" spans="1:39" x14ac:dyDescent="0.35">
      <c r="A14" s="1" t="s">
        <v>26</v>
      </c>
      <c r="B14" s="1" t="str">
        <f>VLOOKUP(A14,[19]LISTADHERENT!A$5:H$60,3,0)</f>
        <v>DONHOU DAVID</v>
      </c>
      <c r="C14" s="36"/>
      <c r="D14" s="36"/>
      <c r="E14" s="36">
        <f>VLOOKUP($A14,[29]HISTODEC24!$A$6:$BA$38,48,0)</f>
        <v>0</v>
      </c>
      <c r="F14" s="36">
        <f>MVTNOV24!I14-E14+L14</f>
        <v>1544433.1189516559</v>
      </c>
      <c r="G14" s="5">
        <f>IF(MVTNOV24!I14+L14&gt;700000,(MVTNOV24!I14-E14+L14),0)</f>
        <v>1544433.1189516559</v>
      </c>
      <c r="H14" s="36">
        <f t="shared" si="0"/>
        <v>6318.3997367822012</v>
      </c>
      <c r="I14" s="6">
        <f t="shared" si="2"/>
        <v>1550751.5186884382</v>
      </c>
      <c r="J14" s="36">
        <f>VLOOKUP($A14,[29]HISTODEC24!$A$6:$AQ$42,22,0)</f>
        <v>0</v>
      </c>
      <c r="K14" s="36">
        <f>VLOOKUP($A14,[29]HISTODEC24!$A$6:$AU$38,45,0)</f>
        <v>25000</v>
      </c>
      <c r="L14" s="36">
        <f t="shared" si="3"/>
        <v>19000</v>
      </c>
      <c r="M14" s="36">
        <f t="shared" si="4"/>
        <v>1000</v>
      </c>
      <c r="N14" s="36">
        <f t="shared" si="1"/>
        <v>1000</v>
      </c>
      <c r="O14" s="36">
        <f t="shared" si="5"/>
        <v>4000</v>
      </c>
      <c r="P14" s="36">
        <f>VLOOKUP($A14,[29]HISTODEC24!$A$6:$AU$38,7,0)</f>
        <v>0</v>
      </c>
      <c r="Q14" s="36">
        <f>VLOOKUP($A14,[29]HISTODEC24!$A$6:$AU$38,23,0)</f>
        <v>0</v>
      </c>
      <c r="R14" s="36">
        <f>VLOOKUP($A14,[29]HISTODEC24!$A$6:$AU$38,46,0)</f>
        <v>0</v>
      </c>
      <c r="S14" s="36">
        <f>VLOOKUP($A14,[29]HISTODEC24!$A$6:$AU$38,26,0)</f>
        <v>0</v>
      </c>
      <c r="T14" s="36"/>
      <c r="U14" s="36">
        <f>VLOOKUP($A14,[29]HISTODEC24!$A$6:$AU$38,28,0)</f>
        <v>0</v>
      </c>
      <c r="V14" s="36">
        <f>VLOOKUP($A14,[29]HISTODEC24!$A$6:$AU$38,19,0)</f>
        <v>0</v>
      </c>
      <c r="W14" s="36">
        <f>VLOOKUP($A14,[29]HISTODEC24!$A$6:$AU$38,20,0)</f>
        <v>0</v>
      </c>
      <c r="X14" s="36">
        <f>VLOOKUP($A14,[29]HISTODEC24!$A$6:$AU$38,27,0)</f>
        <v>0</v>
      </c>
      <c r="Y14" s="36">
        <f>VLOOKUP($A14,[29]HISTODEC24!$A$6:$BM$38,33,0)</f>
        <v>0</v>
      </c>
      <c r="Z14" s="36">
        <f>VLOOKUP($A14,[29]HISTODEC24!$A$6:$BM$38,65,0)</f>
        <v>0</v>
      </c>
      <c r="AA14" s="36"/>
      <c r="AB14" s="36">
        <f>VLOOKUP($A14,[29]HISTODEC24!$A$6:$AU$38,43,0)</f>
        <v>0</v>
      </c>
      <c r="AC14" s="36">
        <f>VLOOKUP($A14,[29]HISTODEC24!$A$6:$AU$38,44,0)</f>
        <v>0</v>
      </c>
      <c r="AD14" s="36">
        <f>VLOOKUP($A14,[29]HISTODEC24!$A$6:$AU$38,47,0)</f>
        <v>0</v>
      </c>
      <c r="AE14" s="36">
        <f>VLOOKUP(A14,[29]HISTODEC24!$A$6:$BB$38,54,0)</f>
        <v>0</v>
      </c>
      <c r="AF14" s="36">
        <f>VLOOKUP($A14,[29]HISTODEC24!$A$6:$CB$38,60,0)</f>
        <v>0</v>
      </c>
      <c r="AG14" s="36">
        <f>VLOOKUP($A14,[29]HISTODEC24!$A$6:$CB$38,61,0)</f>
        <v>0</v>
      </c>
      <c r="AH14" s="36">
        <f>VLOOKUP($A14,[29]HISTODEC24!$A$6:$CB$38,62,0)</f>
        <v>0</v>
      </c>
      <c r="AI14" s="36">
        <f>VLOOKUP($A14,[29]HISTODEC24!$A$6:$CB$38,63,0)</f>
        <v>0</v>
      </c>
      <c r="AJ14" s="36">
        <f>VLOOKUP($A14,[29]HISTODEC24!$A$6:$CB$38,64,0)</f>
        <v>0</v>
      </c>
      <c r="AK14" s="36">
        <f>VLOOKUP($A14,[29]HISTODEC24!$A$6:$CB$38,65,0)</f>
        <v>0</v>
      </c>
    </row>
    <row r="15" spans="1:39" ht="14.25" customHeight="1" x14ac:dyDescent="0.35">
      <c r="A15" s="1" t="s">
        <v>28</v>
      </c>
      <c r="B15" s="1" t="str">
        <f>VLOOKUP(A15,[19]LISTADHERENT!A$5:H$60,3,0)</f>
        <v>HENGUE PAUL OMER</v>
      </c>
      <c r="C15" s="36"/>
      <c r="D15" s="36"/>
      <c r="E15" s="36">
        <f>VLOOKUP($A15,[29]HISTODEC24!$A$6:$BA$38,48,0)</f>
        <v>0</v>
      </c>
      <c r="F15" s="36">
        <f>MVTNOV24!I15-E15+L15</f>
        <v>1047847.8141107176</v>
      </c>
      <c r="G15" s="5">
        <f>IF(MVTNOV24!I15+L15&gt;700000,(MVTNOV24!I15-E15+L15),0)</f>
        <v>1047847.8141107176</v>
      </c>
      <c r="H15" s="36">
        <f t="shared" si="0"/>
        <v>4286.8294338048354</v>
      </c>
      <c r="I15" s="6">
        <f t="shared" si="2"/>
        <v>1052134.6435445223</v>
      </c>
      <c r="J15" s="36">
        <f>VLOOKUP($A15,[29]HISTODEC24!$A$6:$AQ$42,22,0)</f>
        <v>0</v>
      </c>
      <c r="K15" s="36">
        <f>VLOOKUP($A15,[29]HISTODEC24!$A$6:$AU$38,45,0)</f>
        <v>25000</v>
      </c>
      <c r="L15" s="36">
        <f t="shared" si="3"/>
        <v>19000</v>
      </c>
      <c r="M15" s="36">
        <f t="shared" si="4"/>
        <v>1000</v>
      </c>
      <c r="N15" s="36">
        <f t="shared" si="1"/>
        <v>1000</v>
      </c>
      <c r="O15" s="36">
        <f t="shared" si="5"/>
        <v>4000</v>
      </c>
      <c r="P15" s="36">
        <f>VLOOKUP($A15,[29]HISTODEC24!$A$6:$AU$38,7,0)</f>
        <v>0</v>
      </c>
      <c r="Q15" s="36">
        <f>VLOOKUP($A15,[29]HISTODEC24!$A$6:$AU$38,23,0)</f>
        <v>0</v>
      </c>
      <c r="R15" s="36">
        <f>VLOOKUP($A15,[29]HISTODEC24!$A$6:$AU$38,46,0)</f>
        <v>0</v>
      </c>
      <c r="S15" s="36">
        <f>VLOOKUP($A15,[29]HISTODEC24!$A$6:$AU$38,26,0)</f>
        <v>0</v>
      </c>
      <c r="T15" s="36"/>
      <c r="U15" s="36">
        <f>VLOOKUP($A15,[29]HISTODEC24!$A$6:$AU$38,28,0)</f>
        <v>0</v>
      </c>
      <c r="V15" s="36">
        <f>VLOOKUP($A15,[29]HISTODEC24!$A$6:$AU$38,19,0)</f>
        <v>0</v>
      </c>
      <c r="W15" s="36">
        <f>VLOOKUP($A15,[29]HISTODEC24!$A$6:$AU$38,20,0)</f>
        <v>0</v>
      </c>
      <c r="X15" s="36">
        <f>VLOOKUP($A15,[29]HISTODEC24!$A$6:$AU$38,27,0)</f>
        <v>0</v>
      </c>
      <c r="Y15" s="36">
        <f>VLOOKUP($A15,[29]HISTODEC24!$A$6:$BM$38,33,0)</f>
        <v>0</v>
      </c>
      <c r="Z15" s="36">
        <f>VLOOKUP($A15,[29]HISTODEC24!$A$6:$BM$38,65,0)</f>
        <v>0</v>
      </c>
      <c r="AA15" s="36"/>
      <c r="AB15" s="36">
        <f>VLOOKUP($A15,[29]HISTODEC24!$A$6:$AU$38,43,0)</f>
        <v>0</v>
      </c>
      <c r="AC15" s="36">
        <f>VLOOKUP($A15,[29]HISTODEC24!$A$6:$AU$38,44,0)</f>
        <v>0</v>
      </c>
      <c r="AD15" s="36">
        <f>VLOOKUP($A15,[29]HISTODEC24!$A$6:$AU$38,47,0)</f>
        <v>0</v>
      </c>
      <c r="AE15" s="36">
        <f>VLOOKUP(A15,[29]HISTODEC24!$A$6:$BB$38,54,0)</f>
        <v>0</v>
      </c>
      <c r="AF15" s="36">
        <f>VLOOKUP($A15,[29]HISTODEC24!$A$6:$CB$38,60,0)</f>
        <v>0</v>
      </c>
      <c r="AG15" s="36">
        <f>VLOOKUP($A15,[29]HISTODEC24!$A$6:$CB$38,61,0)</f>
        <v>0</v>
      </c>
      <c r="AH15" s="36">
        <f>VLOOKUP($A15,[29]HISTODEC24!$A$6:$CB$38,62,0)</f>
        <v>0</v>
      </c>
      <c r="AI15" s="36">
        <f>VLOOKUP($A15,[29]HISTODEC24!$A$6:$CB$38,63,0)</f>
        <v>0</v>
      </c>
      <c r="AJ15" s="36">
        <f>VLOOKUP($A15,[29]HISTODEC24!$A$6:$CB$38,64,0)</f>
        <v>0</v>
      </c>
      <c r="AK15" s="36">
        <f>VLOOKUP($A15,[29]HISTODEC24!$A$6:$CB$38,65,0)</f>
        <v>0</v>
      </c>
    </row>
    <row r="16" spans="1:39" x14ac:dyDescent="0.35">
      <c r="A16" s="1" t="s">
        <v>29</v>
      </c>
      <c r="B16" s="1" t="str">
        <f>VLOOKUP(A16,[19]LISTADHERENT!A$5:H$60,3,0)</f>
        <v>HOTCHO BENJAMIN</v>
      </c>
      <c r="C16" s="36"/>
      <c r="D16" s="36"/>
      <c r="E16" s="36">
        <f>VLOOKUP($A16,[29]HISTODEC24!$A$6:$BA$38,48,0)</f>
        <v>0</v>
      </c>
      <c r="F16" s="36">
        <f>MVTNOV24!I16-E16+L16</f>
        <v>1379742.1014354646</v>
      </c>
      <c r="G16" s="5">
        <f>IF(MVTNOV24!I16+L16&gt;700000,(MVTNOV24!I16-E16+L16),0)</f>
        <v>1379742.1014354646</v>
      </c>
      <c r="H16" s="36">
        <f t="shared" si="0"/>
        <v>5644.6355776510936</v>
      </c>
      <c r="I16" s="6">
        <f t="shared" si="2"/>
        <v>1385386.7370131158</v>
      </c>
      <c r="J16" s="36">
        <f>VLOOKUP($A16,[29]HISTODEC24!$A$6:$AQ$42,22,0)</f>
        <v>0</v>
      </c>
      <c r="K16" s="36">
        <f>VLOOKUP($A16,[29]HISTODEC24!$A$6:$AU$38,45,0)</f>
        <v>80000</v>
      </c>
      <c r="L16" s="36">
        <f t="shared" si="3"/>
        <v>74000</v>
      </c>
      <c r="M16" s="36">
        <f t="shared" si="4"/>
        <v>1000</v>
      </c>
      <c r="N16" s="36">
        <f t="shared" si="1"/>
        <v>1000</v>
      </c>
      <c r="O16" s="36">
        <f t="shared" si="5"/>
        <v>4000</v>
      </c>
      <c r="P16" s="36">
        <f>VLOOKUP($A16,[29]HISTODEC24!$A$6:$AU$38,7,0)</f>
        <v>0</v>
      </c>
      <c r="Q16" s="36">
        <f>VLOOKUP($A16,[29]HISTODEC24!$A$6:$AU$38,23,0)</f>
        <v>0</v>
      </c>
      <c r="R16" s="36">
        <f>VLOOKUP($A16,[29]HISTODEC24!$A$6:$AU$38,46,0)</f>
        <v>0</v>
      </c>
      <c r="S16" s="36">
        <f>VLOOKUP($A16,[29]HISTODEC24!$A$6:$AU$38,26,0)</f>
        <v>0</v>
      </c>
      <c r="T16" s="36"/>
      <c r="U16" s="36">
        <f>VLOOKUP($A16,[29]HISTODEC24!$A$6:$AU$38,28,0)</f>
        <v>0</v>
      </c>
      <c r="V16" s="36">
        <f>VLOOKUP($A16,[29]HISTODEC24!$A$6:$AU$38,19,0)</f>
        <v>1000000</v>
      </c>
      <c r="W16" s="36">
        <f>VLOOKUP($A16,[29]HISTODEC24!$A$6:$AU$38,20,0)</f>
        <v>0</v>
      </c>
      <c r="X16" s="36">
        <f>VLOOKUP($A16,[29]HISTODEC24!$A$6:$AU$38,27,0)</f>
        <v>0</v>
      </c>
      <c r="Y16" s="36">
        <f>VLOOKUP($A16,[29]HISTODEC24!$A$6:$BM$38,33,0)</f>
        <v>0</v>
      </c>
      <c r="Z16" s="36">
        <f>VLOOKUP($A16,[29]HISTODEC24!$A$6:$BM$38,65,0)</f>
        <v>0</v>
      </c>
      <c r="AA16" s="36"/>
      <c r="AB16" s="36">
        <f>VLOOKUP($A16,[29]HISTODEC24!$A$6:$AU$38,43,0)</f>
        <v>0</v>
      </c>
      <c r="AC16" s="36">
        <f>VLOOKUP($A16,[29]HISTODEC24!$A$6:$AU$38,44,0)</f>
        <v>0</v>
      </c>
      <c r="AD16" s="36">
        <f>VLOOKUP($A16,[29]HISTODEC24!$A$6:$AU$38,47,0)</f>
        <v>0</v>
      </c>
      <c r="AE16" s="36">
        <f>VLOOKUP(A16,[29]HISTODEC24!$A$6:$BB$38,54,0)</f>
        <v>0</v>
      </c>
      <c r="AF16" s="36">
        <f>VLOOKUP($A16,[29]HISTODEC24!$A$6:$CB$38,60,0)</f>
        <v>0</v>
      </c>
      <c r="AG16" s="36">
        <f>VLOOKUP($A16,[29]HISTODEC24!$A$6:$CB$38,61,0)</f>
        <v>0</v>
      </c>
      <c r="AH16" s="36">
        <f>VLOOKUP($A16,[29]HISTODEC24!$A$6:$CB$38,62,0)</f>
        <v>0</v>
      </c>
      <c r="AI16" s="36">
        <f>VLOOKUP($A16,[29]HISTODEC24!$A$6:$CB$38,63,0)</f>
        <v>0</v>
      </c>
      <c r="AJ16" s="36">
        <f>VLOOKUP($A16,[29]HISTODEC24!$A$6:$CB$38,64,0)</f>
        <v>0</v>
      </c>
      <c r="AK16" s="36">
        <f>VLOOKUP($A16,[29]HISTODEC24!$A$6:$CB$38,65,0)</f>
        <v>0</v>
      </c>
    </row>
    <row r="17" spans="1:37" x14ac:dyDescent="0.35">
      <c r="A17" s="1" t="s">
        <v>33</v>
      </c>
      <c r="B17" s="1" t="str">
        <f>VLOOKUP(A17,[19]LISTADHERENT!A$5:H$60,3,0)</f>
        <v>KOUAMOU MOISE</v>
      </c>
      <c r="C17" s="36"/>
      <c r="D17" s="36"/>
      <c r="E17" s="36">
        <f>VLOOKUP($A17,[29]HISTODEC24!$A$6:$BA$38,48,0)</f>
        <v>0</v>
      </c>
      <c r="F17" s="36">
        <f>MVTNOV24!I17-E17+L17</f>
        <v>991355.40833892452</v>
      </c>
      <c r="G17" s="5">
        <f>IF(MVTNOV24!I17+L17&gt;700000,(MVTNOV24!I17-E17+L17),0)</f>
        <v>991355.40833892452</v>
      </c>
      <c r="H17" s="36">
        <f t="shared" si="0"/>
        <v>4055.7144717008246</v>
      </c>
      <c r="I17" s="6">
        <f t="shared" si="2"/>
        <v>995411.12281062535</v>
      </c>
      <c r="J17" s="36">
        <f>VLOOKUP($A17,[29]HISTODEC24!$A$6:$AQ$42,22,0)</f>
        <v>0</v>
      </c>
      <c r="K17" s="36">
        <f>VLOOKUP($A17,[29]HISTODEC24!$A$6:$AU$38,45,0)</f>
        <v>30500</v>
      </c>
      <c r="L17" s="36">
        <f t="shared" si="3"/>
        <v>24500</v>
      </c>
      <c r="M17" s="36">
        <f t="shared" si="4"/>
        <v>1000</v>
      </c>
      <c r="N17" s="36">
        <f t="shared" si="1"/>
        <v>1000</v>
      </c>
      <c r="O17" s="36">
        <f t="shared" si="5"/>
        <v>4000</v>
      </c>
      <c r="P17" s="36">
        <f>VLOOKUP($A17,[29]HISTODEC24!$A$6:$AU$38,7,0)</f>
        <v>0</v>
      </c>
      <c r="Q17" s="36">
        <f>VLOOKUP($A17,[29]HISTODEC24!$A$6:$AU$38,23,0)</f>
        <v>0</v>
      </c>
      <c r="R17" s="36">
        <f>VLOOKUP($A17,[29]HISTODEC24!$A$6:$AU$38,46,0)</f>
        <v>0</v>
      </c>
      <c r="S17" s="36">
        <f>VLOOKUP($A17,[29]HISTODEC24!$A$6:$AU$38,26,0)</f>
        <v>0</v>
      </c>
      <c r="T17" s="36"/>
      <c r="U17" s="36">
        <f>VLOOKUP($A17,[29]HISTODEC24!$A$6:$AU$38,28,0)</f>
        <v>0</v>
      </c>
      <c r="V17" s="36">
        <f>VLOOKUP($A17,[29]HISTODEC24!$A$6:$AU$38,19,0)</f>
        <v>170000</v>
      </c>
      <c r="W17" s="36">
        <f>VLOOKUP($A17,[29]HISTODEC24!$A$6:$AU$38,20,0)</f>
        <v>0</v>
      </c>
      <c r="X17" s="36">
        <f>VLOOKUP($A17,[29]HISTODEC24!$A$6:$AU$38,27,0)</f>
        <v>0</v>
      </c>
      <c r="Y17" s="36">
        <f>VLOOKUP($A17,[29]HISTODEC24!$A$6:$BM$38,33,0)</f>
        <v>0</v>
      </c>
      <c r="Z17" s="36">
        <f>VLOOKUP($A17,[29]HISTODEC24!$A$6:$BM$38,65,0)</f>
        <v>0</v>
      </c>
      <c r="AA17" s="36"/>
      <c r="AB17" s="36">
        <f>VLOOKUP($A17,[29]HISTODEC24!$A$6:$AU$38,43,0)</f>
        <v>0</v>
      </c>
      <c r="AC17" s="36">
        <f>VLOOKUP($A17,[29]HISTODEC24!$A$6:$AU$38,44,0)</f>
        <v>0</v>
      </c>
      <c r="AD17" s="36">
        <f>VLOOKUP($A17,[29]HISTODEC24!$A$6:$AU$38,47,0)</f>
        <v>0</v>
      </c>
      <c r="AE17" s="36">
        <f>VLOOKUP(A17,[29]HISTODEC24!$A$6:$BB$38,54,0)</f>
        <v>0</v>
      </c>
      <c r="AF17" s="36">
        <f>VLOOKUP($A17,[29]HISTODEC24!$A$6:$CB$38,60,0)</f>
        <v>0</v>
      </c>
      <c r="AG17" s="36">
        <f>VLOOKUP($A17,[29]HISTODEC24!$A$6:$CB$38,61,0)</f>
        <v>0</v>
      </c>
      <c r="AH17" s="36">
        <f>VLOOKUP($A17,[29]HISTODEC24!$A$6:$CB$38,62,0)</f>
        <v>0</v>
      </c>
      <c r="AI17" s="36">
        <f>VLOOKUP($A17,[29]HISTODEC24!$A$6:$CB$38,63,0)</f>
        <v>0</v>
      </c>
      <c r="AJ17" s="36">
        <f>VLOOKUP($A17,[29]HISTODEC24!$A$6:$CB$38,64,0)</f>
        <v>0</v>
      </c>
      <c r="AK17" s="36">
        <f>VLOOKUP($A17,[29]HISTODEC24!$A$6:$CB$38,65,0)</f>
        <v>0</v>
      </c>
    </row>
    <row r="18" spans="1:37" x14ac:dyDescent="0.35">
      <c r="A18" s="1" t="s">
        <v>35</v>
      </c>
      <c r="B18" s="1" t="str">
        <f>VLOOKUP(A18,[19]LISTADHERENT!A$5:H$60,3,0)</f>
        <v>KOUATCHO MESSACK</v>
      </c>
      <c r="C18" s="36"/>
      <c r="D18" s="36"/>
      <c r="E18" s="36">
        <f>VLOOKUP($A18,[29]HISTODEC24!$A$6:$BA$38,48,0)</f>
        <v>0</v>
      </c>
      <c r="F18" s="36">
        <f>MVTNOV24!I18-E18+L18</f>
        <v>1104474.8900474524</v>
      </c>
      <c r="G18" s="5">
        <f>IF(MVTNOV24!I18+L18&gt;700000,(MVTNOV24!I18-E18+L18),0)</f>
        <v>1104474.8900474524</v>
      </c>
      <c r="H18" s="36">
        <f t="shared" si="0"/>
        <v>4518.4953423527404</v>
      </c>
      <c r="I18" s="6">
        <f t="shared" si="2"/>
        <v>1108993.3853898051</v>
      </c>
      <c r="J18" s="36">
        <f>VLOOKUP($A18,[29]HISTODEC24!$A$6:$AQ$42,22,0)</f>
        <v>0</v>
      </c>
      <c r="K18" s="36">
        <f>VLOOKUP($A18,[29]HISTODEC24!$A$6:$AU$38,45,0)</f>
        <v>35000</v>
      </c>
      <c r="L18" s="36">
        <f t="shared" si="3"/>
        <v>29000</v>
      </c>
      <c r="M18" s="36">
        <f t="shared" si="4"/>
        <v>1000</v>
      </c>
      <c r="N18" s="36">
        <f t="shared" si="1"/>
        <v>1000</v>
      </c>
      <c r="O18" s="36">
        <f t="shared" si="5"/>
        <v>4000</v>
      </c>
      <c r="P18" s="36">
        <f>VLOOKUP($A18,[29]HISTODEC24!$A$6:$AU$38,7,0)</f>
        <v>0</v>
      </c>
      <c r="Q18" s="36">
        <f>VLOOKUP($A18,[29]HISTODEC24!$A$6:$AU$38,23,0)</f>
        <v>0</v>
      </c>
      <c r="R18" s="36">
        <f>VLOOKUP($A18,[29]HISTODEC24!$A$6:$AU$38,46,0)</f>
        <v>0</v>
      </c>
      <c r="S18" s="36">
        <f>VLOOKUP($A18,[29]HISTODEC24!$A$6:$AU$38,26,0)</f>
        <v>1000000</v>
      </c>
      <c r="T18" s="36"/>
      <c r="U18" s="36">
        <f>VLOOKUP($A18,[29]HISTODEC24!$A$6:$AU$38,28,0)</f>
        <v>0</v>
      </c>
      <c r="V18" s="36">
        <f>VLOOKUP($A18,[29]HISTODEC24!$A$6:$AU$38,19,0)</f>
        <v>350000</v>
      </c>
      <c r="W18" s="36">
        <f>VLOOKUP($A18,[29]HISTODEC24!$A$6:$AU$38,20,0)</f>
        <v>0</v>
      </c>
      <c r="X18" s="36">
        <f>VLOOKUP($A18,[29]HISTODEC24!$A$6:$AU$38,27,0)</f>
        <v>0</v>
      </c>
      <c r="Y18" s="36">
        <f>VLOOKUP($A18,[29]HISTODEC24!$A$6:$BM$38,33,0)</f>
        <v>0</v>
      </c>
      <c r="Z18" s="36">
        <f>VLOOKUP($A18,[29]HISTODEC24!$A$6:$BM$38,65,0)</f>
        <v>0</v>
      </c>
      <c r="AA18" s="36"/>
      <c r="AB18" s="36">
        <f>VLOOKUP($A18,[29]HISTODEC24!$A$6:$AU$38,43,0)</f>
        <v>0</v>
      </c>
      <c r="AC18" s="36">
        <f>VLOOKUP($A18,[29]HISTODEC24!$A$6:$AU$38,44,0)</f>
        <v>0</v>
      </c>
      <c r="AD18" s="36">
        <f>VLOOKUP($A18,[29]HISTODEC24!$A$6:$AU$38,47,0)</f>
        <v>0</v>
      </c>
      <c r="AE18" s="36">
        <f>VLOOKUP(A18,[29]HISTODEC24!$A$6:$BB$38,54,0)</f>
        <v>0</v>
      </c>
      <c r="AF18" s="36">
        <f>VLOOKUP($A18,[29]HISTODEC24!$A$6:$CB$38,60,0)</f>
        <v>0</v>
      </c>
      <c r="AG18" s="36">
        <f>VLOOKUP($A18,[29]HISTODEC24!$A$6:$CB$38,61,0)</f>
        <v>0</v>
      </c>
      <c r="AH18" s="36">
        <f>VLOOKUP($A18,[29]HISTODEC24!$A$6:$CB$38,62,0)</f>
        <v>0</v>
      </c>
      <c r="AI18" s="36">
        <f>VLOOKUP($A18,[29]HISTODEC24!$A$6:$CB$38,63,0)</f>
        <v>0</v>
      </c>
      <c r="AJ18" s="36">
        <f>VLOOKUP($A18,[29]HISTODEC24!$A$6:$CB$38,64,0)</f>
        <v>0</v>
      </c>
      <c r="AK18" s="36">
        <f>VLOOKUP($A18,[29]HISTODEC24!$A$6:$CB$38,65,0)</f>
        <v>0</v>
      </c>
    </row>
    <row r="19" spans="1:37" x14ac:dyDescent="0.35">
      <c r="A19" s="1" t="s">
        <v>36</v>
      </c>
      <c r="B19" s="1" t="str">
        <f>VLOOKUP(A19,[19]LISTADHERENT!A$5:H$60,3,0)</f>
        <v>LOWE JEAN</v>
      </c>
      <c r="C19" s="36"/>
      <c r="D19" s="36"/>
      <c r="E19" s="36"/>
      <c r="F19" s="36">
        <f>MVTNOV24!I19-E19+L19</f>
        <v>676217</v>
      </c>
      <c r="G19" s="5">
        <f>IF(MVTNOV24!I19+L19&gt;700000,(MVTNOV24!I19-E19+L19),0)</f>
        <v>0</v>
      </c>
      <c r="H19" s="36">
        <f t="shared" si="0"/>
        <v>0</v>
      </c>
      <c r="I19" s="6">
        <f t="shared" si="2"/>
        <v>676217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</row>
    <row r="20" spans="1:37" x14ac:dyDescent="0.35">
      <c r="A20" s="1" t="s">
        <v>329</v>
      </c>
      <c r="B20" s="1" t="str">
        <f>VLOOKUP(A20,[19]LISTADHERENT!A$5:H$60,3,0)</f>
        <v>MASSEUNGOUE DAGOBERT</v>
      </c>
      <c r="C20" s="36"/>
      <c r="D20" s="36"/>
      <c r="E20" s="36">
        <f>VLOOKUP($A20,[29]HISTOJANV24!$A$6:$BA$38,48,0)</f>
        <v>0</v>
      </c>
      <c r="F20" s="36">
        <f>MVTNOV24!I20-E20+L20</f>
        <v>525500</v>
      </c>
      <c r="G20" s="5">
        <f>IF(MVTNOV24!I20+L20&gt;700000,(MVTNOV24!I20-E20+L20),0)</f>
        <v>0</v>
      </c>
      <c r="H20" s="36">
        <f t="shared" si="0"/>
        <v>0</v>
      </c>
      <c r="I20" s="6">
        <f t="shared" si="2"/>
        <v>525500</v>
      </c>
      <c r="J20" s="36">
        <f>VLOOKUP($A20,[29]HISTODEC24!$A$6:$AQ$42,22,0)</f>
        <v>0</v>
      </c>
      <c r="K20" s="36">
        <f>VLOOKUP($A20,[29]HISTODEC24!$A$6:$AU$38,45,0)</f>
        <v>322500</v>
      </c>
      <c r="L20" s="36">
        <f t="shared" ref="L20" si="6">IF(K20=0,0,K20-(M20+N20+O20))</f>
        <v>316500</v>
      </c>
      <c r="M20" s="36">
        <f t="shared" ref="M20" si="7">IF(K20=0,0,1000)</f>
        <v>1000</v>
      </c>
      <c r="N20" s="36">
        <f t="shared" ref="N20" si="8">IF(K20=0,0,1000)</f>
        <v>1000</v>
      </c>
      <c r="O20" s="36">
        <f t="shared" ref="O20" si="9">IF(K20=0,0,4000)</f>
        <v>4000</v>
      </c>
      <c r="P20" s="36">
        <f>VLOOKUP($A20,[29]HISTODEC24!$A$6:$AU$38,7,0)</f>
        <v>0</v>
      </c>
      <c r="Q20" s="36">
        <f>VLOOKUP($A20,[29]HISTODEC24!$A$6:$AU$38,23,0)</f>
        <v>0</v>
      </c>
      <c r="R20" s="36">
        <f>VLOOKUP($A20,[29]HISTODEC24!$A$6:$AU$38,46,0)</f>
        <v>0</v>
      </c>
      <c r="S20" s="36">
        <f>VLOOKUP($A20,[29]HISTODEC24!$A$6:$AU$38,26,0)</f>
        <v>0</v>
      </c>
      <c r="T20" s="36"/>
      <c r="U20" s="36">
        <f>VLOOKUP($A20,[29]HISTODEC24!$A$6:$AU$38,28,0)</f>
        <v>0</v>
      </c>
      <c r="V20" s="36">
        <f>VLOOKUP($A20,[29]HISTODEC24!$A$6:$AU$38,19,0)</f>
        <v>0</v>
      </c>
      <c r="W20" s="36">
        <f>VLOOKUP($A20,[29]HISTODEC24!$A$6:$AU$38,20,0)</f>
        <v>0</v>
      </c>
      <c r="X20" s="36">
        <f>VLOOKUP($A20,[29]HISTODEC24!$A$6:$AU$38,27,0)</f>
        <v>0</v>
      </c>
      <c r="Y20" s="36">
        <f>VLOOKUP($A20,[29]HISTODEC24!$A$6:$BM$38,33,0)</f>
        <v>0</v>
      </c>
      <c r="Z20" s="36">
        <f>VLOOKUP($A20,[29]HISTODEC24!$A$6:$BM$38,65,0)</f>
        <v>0</v>
      </c>
      <c r="AA20" s="36"/>
      <c r="AB20" s="36">
        <f>VLOOKUP($A20,[29]HISTODEC24!$A$6:$AU$38,43,0)</f>
        <v>0</v>
      </c>
      <c r="AC20" s="36">
        <f>VLOOKUP($A20,[29]HISTODEC24!$A$6:$AU$38,44,0)</f>
        <v>0</v>
      </c>
      <c r="AD20" s="36">
        <f>VLOOKUP($A20,[29]HISTODEC24!$A$6:$AU$38,47,0)</f>
        <v>0</v>
      </c>
      <c r="AE20" s="36">
        <f>VLOOKUP(A20,[29]HISTODEC24!$A$6:$BB$38,54,0)</f>
        <v>190000</v>
      </c>
      <c r="AF20" s="36">
        <f>VLOOKUP($A20,[29]HISTODEC24!$A$6:$CB$38,60,0)</f>
        <v>0</v>
      </c>
      <c r="AG20" s="36">
        <f>VLOOKUP($A20,[29]HISTODEC24!$A$6:$CB$38,61,0)</f>
        <v>0</v>
      </c>
      <c r="AH20" s="36">
        <f>VLOOKUP($A20,[29]HISTODEC24!$A$6:$CB$38,62,0)</f>
        <v>0</v>
      </c>
      <c r="AI20" s="36">
        <f>VLOOKUP($A20,[29]HISTODEC24!$A$6:$CB$38,63,0)</f>
        <v>0</v>
      </c>
      <c r="AJ20" s="36">
        <f>VLOOKUP($A20,[29]HISTODEC24!$A$6:$CB$38,64,0)</f>
        <v>0</v>
      </c>
      <c r="AK20" s="36">
        <f>VLOOKUP($A20,[29]HISTODEC24!$A$6:$CB$38,65,0)</f>
        <v>0</v>
      </c>
    </row>
    <row r="21" spans="1:37" x14ac:dyDescent="0.35">
      <c r="A21" s="1" t="s">
        <v>75</v>
      </c>
      <c r="B21" s="1" t="str">
        <f>VLOOKUP(A21,[19]LISTADHERENT!A$5:H$60,3,0)</f>
        <v>MBOGNING TUGMA GUY</v>
      </c>
      <c r="C21" s="36"/>
      <c r="D21" s="36"/>
      <c r="E21" s="36">
        <f>VLOOKUP($A21,[29]HISTOJANV24!$A$6:$BA$38,48,0)</f>
        <v>0</v>
      </c>
      <c r="F21" s="36">
        <f>MVTNOV24!I21-E21+L21</f>
        <v>1018064.0502007741</v>
      </c>
      <c r="G21" s="5">
        <f>IF(MVTNOV24!I21+L21&gt;700000,(MVTNOV24!I21-E21+L21),0)</f>
        <v>1018064.0502007741</v>
      </c>
      <c r="H21" s="36">
        <f t="shared" si="0"/>
        <v>4164.9816673073719</v>
      </c>
      <c r="I21" s="6">
        <f t="shared" si="2"/>
        <v>1022229.0318680814</v>
      </c>
      <c r="J21" s="36">
        <f>VLOOKUP($A21,[29]HISTODEC24!$A$6:$AQ$42,22,0)</f>
        <v>0</v>
      </c>
      <c r="K21" s="36">
        <f>VLOOKUP($A21,[29]HISTODEC24!$A$6:$AU$38,45,0)</f>
        <v>25000</v>
      </c>
      <c r="L21" s="36">
        <f t="shared" si="3"/>
        <v>19000</v>
      </c>
      <c r="M21" s="36">
        <f t="shared" si="4"/>
        <v>1000</v>
      </c>
      <c r="N21" s="36">
        <f t="shared" si="1"/>
        <v>1000</v>
      </c>
      <c r="O21" s="36">
        <f t="shared" si="5"/>
        <v>4000</v>
      </c>
      <c r="P21" s="36">
        <f>VLOOKUP($A21,[29]HISTODEC24!$A$6:$AU$38,7,0)</f>
        <v>0</v>
      </c>
      <c r="Q21" s="36">
        <f>VLOOKUP($A21,[29]HISTODEC24!$A$6:$AU$38,23,0)</f>
        <v>0</v>
      </c>
      <c r="R21" s="36">
        <f>VLOOKUP($A21,[29]HISTODEC24!$A$6:$AU$38,46,0)</f>
        <v>0</v>
      </c>
      <c r="S21" s="36">
        <f>VLOOKUP($A21,[29]HISTODEC24!$A$6:$AU$38,26,0)</f>
        <v>1000000</v>
      </c>
      <c r="T21" s="36"/>
      <c r="U21" s="36">
        <f>VLOOKUP($A21,[29]HISTODEC24!$A$6:$AU$38,28,0)</f>
        <v>0</v>
      </c>
      <c r="V21" s="36">
        <f>VLOOKUP($A21,[29]HISTODEC24!$A$6:$AU$38,19,0)</f>
        <v>1000000</v>
      </c>
      <c r="W21" s="36">
        <f>VLOOKUP($A21,[29]HISTODEC24!$A$6:$AU$38,20,0)</f>
        <v>0</v>
      </c>
      <c r="X21" s="36">
        <f>VLOOKUP($A21,[29]HISTODEC24!$A$6:$AU$38,27,0)</f>
        <v>0</v>
      </c>
      <c r="Y21" s="36">
        <f>VLOOKUP($A21,[29]HISTODEC24!$A$6:$BM$38,33,0)</f>
        <v>0</v>
      </c>
      <c r="Z21" s="36">
        <f>VLOOKUP($A21,[29]HISTODEC24!$A$6:$BM$38,65,0)</f>
        <v>0</v>
      </c>
      <c r="AA21" s="36"/>
      <c r="AB21" s="36">
        <f>VLOOKUP($A21,[29]HISTODEC24!$A$6:$AU$38,43,0)</f>
        <v>0</v>
      </c>
      <c r="AC21" s="36">
        <f>VLOOKUP($A21,[29]HISTODEC24!$A$6:$AU$38,44,0)</f>
        <v>0</v>
      </c>
      <c r="AD21" s="36">
        <f>VLOOKUP($A21,[29]HISTODEC24!$A$6:$AU$38,47,0)</f>
        <v>0</v>
      </c>
      <c r="AE21" s="36">
        <f>VLOOKUP(A21,[29]HISTODEC24!$A$6:$BB$38,54,0)</f>
        <v>66700</v>
      </c>
      <c r="AF21" s="36">
        <f>VLOOKUP($A21,[29]HISTODEC24!$A$6:$CB$38,60,0)</f>
        <v>0</v>
      </c>
      <c r="AG21" s="36">
        <f>VLOOKUP($A21,[29]HISTODEC24!$A$6:$CB$38,61,0)</f>
        <v>0</v>
      </c>
      <c r="AH21" s="36">
        <f>VLOOKUP($A21,[29]HISTODEC24!$A$6:$CB$38,62,0)</f>
        <v>0</v>
      </c>
      <c r="AI21" s="36">
        <f>VLOOKUP($A21,[29]HISTODEC24!$A$6:$CB$38,63,0)</f>
        <v>0</v>
      </c>
      <c r="AJ21" s="36">
        <f>VLOOKUP($A21,[29]HISTODEC24!$A$6:$CB$38,64,0)</f>
        <v>0</v>
      </c>
      <c r="AK21" s="36">
        <f>VLOOKUP($A21,[29]HISTODEC24!$A$6:$CB$38,65,0)</f>
        <v>0</v>
      </c>
    </row>
    <row r="22" spans="1:37" x14ac:dyDescent="0.35">
      <c r="A22" s="1" t="s">
        <v>50</v>
      </c>
      <c r="B22" s="1" t="str">
        <f>VLOOKUP(A22,[19]LISTADHERENT!A$5:H$60,3,0)</f>
        <v>NANGUEN MARTIN</v>
      </c>
      <c r="C22" s="36"/>
      <c r="D22" s="36"/>
      <c r="E22" s="36">
        <f>VLOOKUP($A22,[29]HISTOJANV24!$A$6:$BA$38,48,0)</f>
        <v>0</v>
      </c>
      <c r="F22" s="36">
        <f>MVTNOV24!I22-E22+L22</f>
        <v>986602.65296518349</v>
      </c>
      <c r="G22" s="5">
        <f>IF(MVTNOV24!I22+L22&gt;700000,(MVTNOV24!I22-E22+L22),0)</f>
        <v>986602.65296518349</v>
      </c>
      <c r="H22" s="36">
        <f t="shared" si="0"/>
        <v>4036.2705683462918</v>
      </c>
      <c r="I22" s="6">
        <f t="shared" si="2"/>
        <v>990638.92353352974</v>
      </c>
      <c r="J22" s="36">
        <f>VLOOKUP($A22,[29]HISTODEC24!$A$6:$AQ$42,22,0)</f>
        <v>0</v>
      </c>
      <c r="K22" s="36">
        <f>VLOOKUP($A22,[29]HISTODEC24!$A$6:$AU$38,45,0)</f>
        <v>25000</v>
      </c>
      <c r="L22" s="36">
        <f t="shared" si="3"/>
        <v>19000</v>
      </c>
      <c r="M22" s="36">
        <f t="shared" si="4"/>
        <v>1000</v>
      </c>
      <c r="N22" s="36">
        <f t="shared" si="1"/>
        <v>1000</v>
      </c>
      <c r="O22" s="36">
        <f t="shared" si="5"/>
        <v>4000</v>
      </c>
      <c r="P22" s="36">
        <f>VLOOKUP($A22,[29]HISTODEC24!$A$6:$AU$38,7,0)</f>
        <v>0</v>
      </c>
      <c r="Q22" s="36">
        <f>VLOOKUP($A22,[29]HISTODEC24!$A$6:$AU$38,23,0)</f>
        <v>0</v>
      </c>
      <c r="R22" s="36">
        <f>VLOOKUP($A22,[29]HISTODEC24!$A$6:$AU$38,46,0)</f>
        <v>0</v>
      </c>
      <c r="S22" s="36">
        <f>VLOOKUP($A22,[29]HISTODEC24!$A$6:$AU$38,26,0)</f>
        <v>0</v>
      </c>
      <c r="T22" s="13">
        <f>VLOOKUP($A22,[29]HISTODEC24!$A$6:$BG$38,58,0)</f>
        <v>46500</v>
      </c>
      <c r="U22" s="36">
        <f>VLOOKUP($A22,[29]HISTODEC24!$A$6:$AU$38,28,0)</f>
        <v>0</v>
      </c>
      <c r="V22" s="36">
        <f>VLOOKUP($A22,[29]HISTODEC24!$A$6:$AU$38,19,0)</f>
        <v>300000</v>
      </c>
      <c r="W22" s="36">
        <f>VLOOKUP($A22,[29]HISTODEC24!$A$6:$AU$38,20,0)</f>
        <v>0</v>
      </c>
      <c r="X22" s="36">
        <f>VLOOKUP($A22,[29]HISTODEC24!$A$6:$AU$38,27,0)</f>
        <v>0</v>
      </c>
      <c r="Y22" s="36">
        <f>VLOOKUP($A22,[29]HISTODEC24!$A$6:$BM$38,33,0)</f>
        <v>0</v>
      </c>
      <c r="Z22" s="36">
        <f>VLOOKUP($A22,[29]HISTODEC24!$A$6:$BM$38,65,0)</f>
        <v>0</v>
      </c>
      <c r="AA22" s="36"/>
      <c r="AB22" s="36">
        <f>VLOOKUP($A22,[29]HISTODEC24!$A$6:$AU$38,43,0)</f>
        <v>0</v>
      </c>
      <c r="AC22" s="36">
        <f>VLOOKUP($A22,[29]HISTODEC24!$A$6:$AU$38,44,0)</f>
        <v>0</v>
      </c>
      <c r="AD22" s="36">
        <f>VLOOKUP($A22,[29]HISTODEC24!$A$6:$AU$38,47,0)</f>
        <v>0</v>
      </c>
      <c r="AE22" s="36">
        <f>VLOOKUP(A22,[29]HISTODEC24!$A$6:$BB$38,54,0)</f>
        <v>0</v>
      </c>
      <c r="AF22" s="36">
        <f>VLOOKUP($A22,[29]HISTODEC24!$A$6:$CB$38,60,0)</f>
        <v>0</v>
      </c>
      <c r="AG22" s="36">
        <f>VLOOKUP($A22,[29]HISTODEC24!$A$6:$CB$38,61,0)</f>
        <v>0</v>
      </c>
      <c r="AH22" s="36">
        <f>VLOOKUP($A22,[29]HISTODEC24!$A$6:$CB$38,62,0)</f>
        <v>0</v>
      </c>
      <c r="AI22" s="36">
        <f>VLOOKUP($A22,[29]HISTODEC24!$A$6:$CB$38,63,0)</f>
        <v>0</v>
      </c>
      <c r="AJ22" s="36">
        <f>VLOOKUP($A22,[29]HISTODEC24!$A$6:$CB$38,64,0)</f>
        <v>0</v>
      </c>
      <c r="AK22" s="36">
        <f>VLOOKUP($A22,[29]HISTODEC24!$A$6:$CB$38,65,0)</f>
        <v>0</v>
      </c>
    </row>
    <row r="23" spans="1:37" x14ac:dyDescent="0.35">
      <c r="A23" s="1" t="s">
        <v>37</v>
      </c>
      <c r="B23" s="1" t="str">
        <f>VLOOKUP(A23,[19]LISTADHERENT!A$5:H$60,3,0)</f>
        <v>NANKAM APPOLINAIRE</v>
      </c>
      <c r="C23" s="36"/>
      <c r="D23" s="36"/>
      <c r="E23" s="36">
        <f>VLOOKUP($A23,[29]HISTOJANV24!$A$6:$BA$38,48,0)</f>
        <v>0</v>
      </c>
      <c r="F23" s="36">
        <f>MVTNOV24!I23-E23+L23</f>
        <v>1093717.6867783549</v>
      </c>
      <c r="G23" s="5">
        <f>IF(MVTNOV24!I23+L23&gt;700000,(MVTNOV24!I23-E23+L23),0)</f>
        <v>1093717.6867783549</v>
      </c>
      <c r="H23" s="36">
        <f t="shared" si="0"/>
        <v>4474.4867611652862</v>
      </c>
      <c r="I23" s="6">
        <f t="shared" si="2"/>
        <v>1098192.1735395202</v>
      </c>
      <c r="J23" s="36">
        <f>VLOOKUP($A23,[29]HISTODEC24!$A$6:$AQ$42,22,0)</f>
        <v>0</v>
      </c>
      <c r="K23" s="36">
        <f>VLOOKUP($A23,[29]HISTODEC24!$A$6:$AU$38,45,0)</f>
        <v>25000</v>
      </c>
      <c r="L23" s="36">
        <f t="shared" si="3"/>
        <v>19000</v>
      </c>
      <c r="M23" s="36">
        <f t="shared" si="4"/>
        <v>1000</v>
      </c>
      <c r="N23" s="36">
        <f t="shared" si="1"/>
        <v>1000</v>
      </c>
      <c r="O23" s="36">
        <f t="shared" si="5"/>
        <v>4000</v>
      </c>
      <c r="P23" s="36">
        <f>VLOOKUP($A23,[29]HISTODEC24!$A$6:$AU$38,7,0)</f>
        <v>0</v>
      </c>
      <c r="Q23" s="36">
        <f>VLOOKUP($A23,[29]HISTODEC24!$A$6:$AU$38,23,0)</f>
        <v>0</v>
      </c>
      <c r="R23" s="36">
        <f>VLOOKUP($A23,[29]HISTODEC24!$A$6:$AU$38,46,0)</f>
        <v>0</v>
      </c>
      <c r="S23" s="36">
        <f>VLOOKUP($A23,[29]HISTODEC24!$A$6:$AU$38,26,0)</f>
        <v>900000</v>
      </c>
      <c r="T23" s="36"/>
      <c r="U23" s="36">
        <f>VLOOKUP($A23,[29]HISTODEC24!$A$6:$AU$38,28,0)</f>
        <v>0</v>
      </c>
      <c r="V23" s="36">
        <f>VLOOKUP($A23,[29]HISTODEC24!$A$6:$AU$38,19,0)</f>
        <v>107500</v>
      </c>
      <c r="W23" s="36">
        <f>VLOOKUP($A23,[29]HISTODEC24!$A$6:$AU$38,20,0)</f>
        <v>0</v>
      </c>
      <c r="X23" s="36">
        <f>VLOOKUP($A23,[29]HISTODEC24!$A$6:$AU$38,27,0)</f>
        <v>0</v>
      </c>
      <c r="Y23" s="36">
        <f>VLOOKUP($A23,[29]HISTODEC24!$A$6:$BM$38,33,0)</f>
        <v>0</v>
      </c>
      <c r="Z23" s="36">
        <f>VLOOKUP($A23,[29]HISTODEC24!$A$6:$BM$38,65,0)</f>
        <v>0</v>
      </c>
      <c r="AA23" s="36"/>
      <c r="AB23" s="36">
        <f>VLOOKUP($A23,[29]HISTODEC24!$A$6:$AU$38,43,0)</f>
        <v>0</v>
      </c>
      <c r="AC23" s="36">
        <f>VLOOKUP($A23,[29]HISTODEC24!$A$6:$AU$38,44,0)</f>
        <v>0</v>
      </c>
      <c r="AD23" s="36">
        <f>VLOOKUP($A23,[29]HISTODEC24!$A$6:$AU$38,47,0)</f>
        <v>0</v>
      </c>
      <c r="AE23" s="36">
        <f>VLOOKUP(A23,[29]HISTODEC24!$A$6:$BB$38,54,0)</f>
        <v>0</v>
      </c>
      <c r="AF23" s="36">
        <f>VLOOKUP($A23,[29]HISTODEC24!$A$6:$CB$38,60,0)</f>
        <v>0</v>
      </c>
      <c r="AG23" s="36">
        <f>VLOOKUP($A23,[29]HISTODEC24!$A$6:$CB$38,61,0)</f>
        <v>0</v>
      </c>
      <c r="AH23" s="36">
        <f>VLOOKUP($A23,[29]HISTODEC24!$A$6:$CB$38,62,0)</f>
        <v>0</v>
      </c>
      <c r="AI23" s="36">
        <f>VLOOKUP($A23,[29]HISTODEC24!$A$6:$CB$38,63,0)</f>
        <v>0</v>
      </c>
      <c r="AJ23" s="36">
        <f>VLOOKUP($A23,[29]HISTODEC24!$A$6:$CB$38,64,0)</f>
        <v>0</v>
      </c>
      <c r="AK23" s="36">
        <f>VLOOKUP($A23,[29]HISTODEC24!$A$6:$CB$38,65,0)</f>
        <v>0</v>
      </c>
    </row>
    <row r="24" spans="1:37" x14ac:dyDescent="0.35">
      <c r="A24" s="1" t="s">
        <v>38</v>
      </c>
      <c r="B24" s="1" t="str">
        <f>VLOOKUP(A24,[19]LISTADHERENT!A$5:H$60,3,0)</f>
        <v>NDJOMO ETIENNE</v>
      </c>
      <c r="C24" s="36"/>
      <c r="D24" s="36"/>
      <c r="E24" s="36">
        <f>VLOOKUP($A24,[29]HISTOJANV24!$A$6:$BA$38,48,0)</f>
        <v>0</v>
      </c>
      <c r="F24" s="36">
        <f>MVTNOV24!I24-E24+L24</f>
        <v>1369338.144939593</v>
      </c>
      <c r="G24" s="5">
        <f>IF(MVTNOV24!I24+L24&gt;700000,(MVTNOV24!I24-E24+L24),0)</f>
        <v>1369338.144939593</v>
      </c>
      <c r="H24" s="36">
        <f t="shared" si="0"/>
        <v>5602.0721573395494</v>
      </c>
      <c r="I24" s="6">
        <f t="shared" si="2"/>
        <v>1374940.2170969327</v>
      </c>
      <c r="J24" s="36">
        <f>VLOOKUP($A24,[29]HISTODEC24!$A$6:$AQ$42,22,0)</f>
        <v>0</v>
      </c>
      <c r="K24" s="36">
        <f>VLOOKUP($A24,[29]HISTODEC24!$A$6:$AU$38,45,0)</f>
        <v>35000</v>
      </c>
      <c r="L24" s="36">
        <f t="shared" si="3"/>
        <v>29000</v>
      </c>
      <c r="M24" s="36">
        <f t="shared" si="4"/>
        <v>1000</v>
      </c>
      <c r="N24" s="36">
        <f t="shared" si="1"/>
        <v>1000</v>
      </c>
      <c r="O24" s="36">
        <f t="shared" si="5"/>
        <v>4000</v>
      </c>
      <c r="P24" s="36">
        <f>VLOOKUP($A24,[29]HISTODEC24!$A$6:$AU$38,7,0)</f>
        <v>0</v>
      </c>
      <c r="Q24" s="36">
        <f>VLOOKUP($A24,[29]HISTODEC24!$A$6:$AU$38,23,0)</f>
        <v>0</v>
      </c>
      <c r="R24" s="36">
        <f>VLOOKUP($A24,[29]HISTODEC24!$A$6:$AU$38,46,0)</f>
        <v>0</v>
      </c>
      <c r="S24" s="36">
        <f>VLOOKUP($A24,[29]HISTODEC24!$A$6:$AU$38,26,0)</f>
        <v>500000</v>
      </c>
      <c r="T24" s="36"/>
      <c r="U24" s="36">
        <f>VLOOKUP($A24,[29]HISTODEC24!$A$6:$AU$38,28,0)</f>
        <v>0</v>
      </c>
      <c r="V24" s="36">
        <f>VLOOKUP($A24,[29]HISTODEC24!$A$6:$AU$38,19,0)</f>
        <v>500000</v>
      </c>
      <c r="W24" s="36">
        <f>VLOOKUP($A24,[29]HISTODEC24!$A$6:$AU$38,20,0)</f>
        <v>0</v>
      </c>
      <c r="X24" s="36">
        <f>VLOOKUP($A24,[29]HISTODEC24!$A$6:$AU$38,27,0)</f>
        <v>0</v>
      </c>
      <c r="Y24" s="36">
        <f>VLOOKUP($A24,[29]HISTODEC24!$A$6:$BM$38,33,0)</f>
        <v>0</v>
      </c>
      <c r="Z24" s="36">
        <f>VLOOKUP($A24,[29]HISTODEC24!$A$6:$BM$38,65,0)</f>
        <v>0</v>
      </c>
      <c r="AA24" s="36"/>
      <c r="AB24" s="36">
        <f>VLOOKUP($A24,[29]HISTODEC24!$A$6:$AU$38,43,0)</f>
        <v>0</v>
      </c>
      <c r="AC24" s="36">
        <f>VLOOKUP($A24,[29]HISTODEC24!$A$6:$AU$38,44,0)</f>
        <v>0</v>
      </c>
      <c r="AD24" s="36">
        <f>VLOOKUP($A24,[29]HISTODEC24!$A$6:$AU$38,47,0)</f>
        <v>0</v>
      </c>
      <c r="AE24" s="36">
        <f>VLOOKUP(A24,[29]HISTODEC24!$A$6:$BB$38,54,0)</f>
        <v>0</v>
      </c>
      <c r="AF24" s="36">
        <f>VLOOKUP($A24,[29]HISTODEC24!$A$6:$CB$38,60,0)</f>
        <v>0</v>
      </c>
      <c r="AG24" s="36">
        <f>VLOOKUP($A24,[29]HISTODEC24!$A$6:$CB$38,61,0)</f>
        <v>0</v>
      </c>
      <c r="AH24" s="36">
        <f>VLOOKUP($A24,[29]HISTODEC24!$A$6:$CB$38,62,0)</f>
        <v>0</v>
      </c>
      <c r="AI24" s="36">
        <f>VLOOKUP($A24,[29]HISTODEC24!$A$6:$CB$38,63,0)</f>
        <v>0</v>
      </c>
      <c r="AJ24" s="36">
        <f>VLOOKUP($A24,[29]HISTODEC24!$A$6:$CB$38,64,0)</f>
        <v>0</v>
      </c>
      <c r="AK24" s="36">
        <f>VLOOKUP($A24,[29]HISTODEC24!$A$6:$CB$38,65,0)</f>
        <v>0</v>
      </c>
    </row>
    <row r="25" spans="1:37" x14ac:dyDescent="0.35">
      <c r="A25" s="1" t="s">
        <v>39</v>
      </c>
      <c r="B25" s="1" t="str">
        <f>VLOOKUP(A25,[19]LISTADHERENT!A$5:H$60,3,0)</f>
        <v>NGONDIEP CLAUDE</v>
      </c>
      <c r="C25" s="36"/>
      <c r="D25" s="36"/>
      <c r="E25" s="36">
        <f>VLOOKUP($A25,[29]HISTOJANV24!$A$6:$BA$38,48,0)</f>
        <v>0</v>
      </c>
      <c r="F25" s="36">
        <f>MVTNOV24!I25-E25+L25</f>
        <v>1213902.9603721222</v>
      </c>
      <c r="G25" s="5">
        <f>IF(MVTNOV24!I25+L25&gt;700000,(MVTNOV24!I25-E25+L25),0)</f>
        <v>1213902.9603721222</v>
      </c>
      <c r="H25" s="36">
        <f t="shared" si="0"/>
        <v>4966.1743530212634</v>
      </c>
      <c r="I25" s="6">
        <f t="shared" si="2"/>
        <v>1218869.1347251434</v>
      </c>
      <c r="J25" s="36">
        <f>VLOOKUP($A25,[29]HISTODEC24!$A$6:$AQ$42,22,0)</f>
        <v>0</v>
      </c>
      <c r="K25" s="36">
        <f>VLOOKUP($A25,[29]HISTODEC24!$A$6:$AU$38,45,0)</f>
        <v>38000</v>
      </c>
      <c r="L25" s="36">
        <f t="shared" si="3"/>
        <v>32000</v>
      </c>
      <c r="M25" s="36">
        <f t="shared" si="4"/>
        <v>1000</v>
      </c>
      <c r="N25" s="36">
        <f t="shared" si="1"/>
        <v>1000</v>
      </c>
      <c r="O25" s="36">
        <f t="shared" si="5"/>
        <v>4000</v>
      </c>
      <c r="P25" s="36">
        <f>VLOOKUP($A25,[29]HISTODEC24!$A$6:$AU$38,7,0)</f>
        <v>0</v>
      </c>
      <c r="Q25" s="36">
        <f>VLOOKUP($A25,[29]HISTODEC24!$A$6:$AU$38,23,0)</f>
        <v>0</v>
      </c>
      <c r="R25" s="36">
        <f>VLOOKUP($A25,[29]HISTODEC24!$A$6:$AU$38,46,0)</f>
        <v>0</v>
      </c>
      <c r="S25" s="36">
        <f>VLOOKUP($A25,[29]HISTODEC24!$A$6:$AU$38,26,0)</f>
        <v>0</v>
      </c>
      <c r="T25" s="36"/>
      <c r="U25" s="36">
        <f>VLOOKUP($A25,[29]HISTODEC24!$A$6:$AU$38,28,0)</f>
        <v>0</v>
      </c>
      <c r="V25" s="36">
        <f>VLOOKUP($A25,[29]HISTODEC24!$A$6:$AU$38,19,0)</f>
        <v>500000</v>
      </c>
      <c r="W25" s="36">
        <f>VLOOKUP($A25,[29]HISTODEC24!$A$6:$AU$38,20,0)</f>
        <v>0</v>
      </c>
      <c r="X25" s="36">
        <f>VLOOKUP($A25,[29]HISTODEC24!$A$6:$AU$38,27,0)</f>
        <v>0</v>
      </c>
      <c r="Y25" s="36">
        <f>VLOOKUP($A25,[29]HISTODEC24!$A$6:$BM$38,33,0)</f>
        <v>0</v>
      </c>
      <c r="Z25" s="36">
        <f>VLOOKUP($A25,[29]HISTODEC24!$A$6:$BM$38,65,0)</f>
        <v>0</v>
      </c>
      <c r="AA25" s="36"/>
      <c r="AB25" s="36">
        <f>VLOOKUP($A25,[29]HISTODEC24!$A$6:$AU$38,43,0)</f>
        <v>0</v>
      </c>
      <c r="AC25" s="36">
        <f>VLOOKUP($A25,[29]HISTODEC24!$A$6:$AU$38,44,0)</f>
        <v>0</v>
      </c>
      <c r="AD25" s="36">
        <f>VLOOKUP($A25,[29]HISTODEC24!$A$6:$AU$38,47,0)</f>
        <v>0</v>
      </c>
      <c r="AE25" s="36">
        <f>VLOOKUP(A25,[29]HISTODEC24!$A$6:$BB$38,54,0)</f>
        <v>0</v>
      </c>
      <c r="AF25" s="36">
        <f>VLOOKUP($A25,[29]HISTODEC24!$A$6:$CB$38,60,0)</f>
        <v>0</v>
      </c>
      <c r="AG25" s="36">
        <f>VLOOKUP($A25,[29]HISTODEC24!$A$6:$CB$38,61,0)</f>
        <v>0</v>
      </c>
      <c r="AH25" s="36">
        <f>VLOOKUP($A25,[29]HISTODEC24!$A$6:$CB$38,62,0)</f>
        <v>0</v>
      </c>
      <c r="AI25" s="36">
        <f>VLOOKUP($A25,[29]HISTODEC24!$A$6:$CB$38,63,0)</f>
        <v>0</v>
      </c>
      <c r="AJ25" s="36">
        <f>VLOOKUP($A25,[29]HISTODEC24!$A$6:$CB$38,64,0)</f>
        <v>0</v>
      </c>
      <c r="AK25" s="36">
        <f>VLOOKUP($A25,[29]HISTODEC24!$A$6:$CB$38,65,0)</f>
        <v>0</v>
      </c>
    </row>
    <row r="26" spans="1:37" x14ac:dyDescent="0.35">
      <c r="A26" s="1" t="s">
        <v>41</v>
      </c>
      <c r="B26" s="1" t="str">
        <f>VLOOKUP(A26,[19]LISTADHERENT!A$5:H$60,3,0)</f>
        <v>NGUIEMEGNI MATHIEU BLAISE</v>
      </c>
      <c r="C26" s="36"/>
      <c r="D26" s="36"/>
      <c r="E26" s="36">
        <f>VLOOKUP($A26,[29]HISTOJANV24!$A$6:$BA$38,48,0)</f>
        <v>0</v>
      </c>
      <c r="F26" s="36">
        <f>MVTNOV24!I26-E26+L26</f>
        <v>999872.42433941911</v>
      </c>
      <c r="G26" s="5">
        <f>IF(MVTNOV24!I26+L26&gt;700000,(MVTNOV24!I26-E26+L26),0)</f>
        <v>999872.42433941911</v>
      </c>
      <c r="H26" s="36">
        <f t="shared" si="0"/>
        <v>4090.5582671331726</v>
      </c>
      <c r="I26" s="6">
        <f t="shared" si="2"/>
        <v>1003962.9826065523</v>
      </c>
      <c r="J26" s="36">
        <f>VLOOKUP($A26,[29]HISTODEC24!$A$6:$AQ$42,22,0)</f>
        <v>0</v>
      </c>
      <c r="K26" s="36">
        <f>VLOOKUP($A26,[29]HISTODEC24!$A$6:$AU$38,45,0)</f>
        <v>25000</v>
      </c>
      <c r="L26" s="36">
        <f t="shared" si="3"/>
        <v>19000</v>
      </c>
      <c r="M26" s="36">
        <f t="shared" si="4"/>
        <v>1000</v>
      </c>
      <c r="N26" s="36">
        <f t="shared" si="1"/>
        <v>1000</v>
      </c>
      <c r="O26" s="36">
        <f t="shared" si="5"/>
        <v>4000</v>
      </c>
      <c r="P26" s="36">
        <f>VLOOKUP($A26,[29]HISTODEC24!$A$6:$AU$38,7,0)</f>
        <v>0</v>
      </c>
      <c r="Q26" s="36">
        <f>VLOOKUP($A26,[29]HISTODEC24!$A$6:$AU$38,23,0)</f>
        <v>0</v>
      </c>
      <c r="R26" s="36">
        <f>VLOOKUP($A26,[29]HISTODEC24!$A$6:$AU$38,46,0)</f>
        <v>0</v>
      </c>
      <c r="S26" s="36">
        <f>VLOOKUP($A26,[29]HISTODEC24!$A$6:$AU$38,26,0)</f>
        <v>1000000</v>
      </c>
      <c r="T26" s="36"/>
      <c r="U26" s="36">
        <f>VLOOKUP($A26,[29]HISTODEC24!$A$6:$AU$38,28,0)</f>
        <v>0</v>
      </c>
      <c r="V26" s="36">
        <f>VLOOKUP($A26,[29]HISTODEC24!$A$6:$AU$38,19,0)</f>
        <v>1000000</v>
      </c>
      <c r="W26" s="36">
        <f>VLOOKUP($A26,[29]HISTODEC24!$A$6:$AU$38,20,0)</f>
        <v>0</v>
      </c>
      <c r="X26" s="36">
        <f>VLOOKUP($A26,[29]HISTODEC24!$A$6:$AU$38,27,0)</f>
        <v>0</v>
      </c>
      <c r="Y26" s="36">
        <f>VLOOKUP($A26,[29]HISTODEC24!$A$6:$BM$38,33,0)</f>
        <v>0</v>
      </c>
      <c r="Z26" s="36">
        <f>VLOOKUP($A26,[29]HISTODEC24!$A$6:$BM$38,65,0)</f>
        <v>0</v>
      </c>
      <c r="AA26" s="36"/>
      <c r="AB26" s="36">
        <f>VLOOKUP($A26,[29]HISTODEC24!$A$6:$AU$38,43,0)</f>
        <v>0</v>
      </c>
      <c r="AC26" s="36">
        <f>VLOOKUP($A26,[29]HISTODEC24!$A$6:$AU$38,44,0)</f>
        <v>0</v>
      </c>
      <c r="AD26" s="36">
        <f>VLOOKUP($A26,[29]HISTODEC24!$A$6:$AU$38,47,0)</f>
        <v>0</v>
      </c>
      <c r="AE26" s="36">
        <f>VLOOKUP(A26,[29]HISTODEC24!$A$6:$BB$38,54,0)</f>
        <v>0</v>
      </c>
      <c r="AF26" s="36">
        <f>VLOOKUP($A26,[29]HISTODEC24!$A$6:$CB$38,60,0)</f>
        <v>0</v>
      </c>
      <c r="AG26" s="36">
        <f>VLOOKUP($A26,[29]HISTODEC24!$A$6:$CB$38,61,0)</f>
        <v>0</v>
      </c>
      <c r="AH26" s="36">
        <f>VLOOKUP($A26,[29]HISTODEC24!$A$6:$CB$38,62,0)</f>
        <v>0</v>
      </c>
      <c r="AI26" s="36">
        <f>VLOOKUP($A26,[29]HISTODEC24!$A$6:$CB$38,63,0)</f>
        <v>0</v>
      </c>
      <c r="AJ26" s="36">
        <f>VLOOKUP($A26,[29]HISTODEC24!$A$6:$CB$38,64,0)</f>
        <v>0</v>
      </c>
      <c r="AK26" s="36">
        <f>VLOOKUP($A26,[29]HISTODEC24!$A$6:$CB$38,65,0)</f>
        <v>0</v>
      </c>
    </row>
    <row r="27" spans="1:37" x14ac:dyDescent="0.35">
      <c r="A27" s="1" t="s">
        <v>43</v>
      </c>
      <c r="B27" s="1" t="str">
        <f>VLOOKUP(A27,[19]LISTADHERENT!A$5:H$60,3,0)</f>
        <v>NKAMGANG JUSTIN DEJOLIE</v>
      </c>
      <c r="C27" s="36"/>
      <c r="D27" s="36"/>
      <c r="E27" s="36">
        <f>VLOOKUP($A27,[29]HISTOJANV24!$A$6:$BA$38,48,0)</f>
        <v>0</v>
      </c>
      <c r="F27" s="36">
        <f>MVTNOV24!I27-E27+L27</f>
        <v>1007405.9978122362</v>
      </c>
      <c r="G27" s="5">
        <f>IF(MVTNOV24!I27+L27&gt;700000,(MVTNOV24!I27-E27+L27),0)</f>
        <v>1007405.9978122362</v>
      </c>
      <c r="H27" s="36">
        <f t="shared" si="0"/>
        <v>4121.378720323135</v>
      </c>
      <c r="I27" s="6">
        <f t="shared" si="2"/>
        <v>1011527.3765325593</v>
      </c>
      <c r="J27" s="36">
        <f>VLOOKUP($A27,[29]HISTODEC24!$A$6:$AQ$42,22,0)</f>
        <v>0</v>
      </c>
      <c r="K27" s="36">
        <f>VLOOKUP($A27,[29]HISTODEC24!$A$6:$AU$38,45,0)</f>
        <v>25000</v>
      </c>
      <c r="L27" s="36">
        <f t="shared" si="3"/>
        <v>19000</v>
      </c>
      <c r="M27" s="36">
        <f t="shared" si="4"/>
        <v>1000</v>
      </c>
      <c r="N27" s="36">
        <f t="shared" si="1"/>
        <v>1000</v>
      </c>
      <c r="O27" s="36">
        <f t="shared" si="5"/>
        <v>4000</v>
      </c>
      <c r="P27" s="36">
        <f>VLOOKUP($A27,[29]HISTODEC24!$A$6:$AU$38,7,0)</f>
        <v>0</v>
      </c>
      <c r="Q27" s="36">
        <f>VLOOKUP($A27,[29]HISTODEC24!$A$6:$AU$38,23,0)</f>
        <v>0</v>
      </c>
      <c r="R27" s="36">
        <f>VLOOKUP($A27,[29]HISTODEC24!$A$6:$AU$38,46,0)</f>
        <v>0</v>
      </c>
      <c r="S27" s="36">
        <f>VLOOKUP($A27,[29]HISTODEC24!$A$6:$AU$38,26,0)</f>
        <v>1000000</v>
      </c>
      <c r="T27" s="36"/>
      <c r="U27" s="36">
        <f>VLOOKUP($A27,[29]HISTODEC24!$A$6:$AU$38,28,0)</f>
        <v>0</v>
      </c>
      <c r="V27" s="36">
        <f>VLOOKUP($A27,[29]HISTODEC24!$A$6:$AU$38,19,0)</f>
        <v>1000000</v>
      </c>
      <c r="W27" s="36">
        <f>VLOOKUP($A27,[29]HISTODEC24!$A$6:$AU$38,20,0)</f>
        <v>0</v>
      </c>
      <c r="X27" s="36">
        <f>VLOOKUP($A27,[29]HISTODEC24!$A$6:$AU$38,27,0)</f>
        <v>0</v>
      </c>
      <c r="Y27" s="36">
        <f>VLOOKUP($A27,[29]HISTODEC24!$A$6:$BM$38,33,0)</f>
        <v>0</v>
      </c>
      <c r="Z27" s="36">
        <f>VLOOKUP($A27,[29]HISTODEC24!$A$6:$BM$38,65,0)</f>
        <v>0</v>
      </c>
      <c r="AA27" s="36"/>
      <c r="AB27" s="36">
        <f>VLOOKUP($A27,[29]HISTODEC24!$A$6:$AU$38,43,0)</f>
        <v>0</v>
      </c>
      <c r="AC27" s="36">
        <f>VLOOKUP($A27,[29]HISTODEC24!$A$6:$AU$38,44,0)</f>
        <v>0</v>
      </c>
      <c r="AD27" s="36">
        <f>VLOOKUP($A27,[29]HISTODEC24!$A$6:$AU$38,47,0)</f>
        <v>0</v>
      </c>
      <c r="AE27" s="36">
        <f>VLOOKUP(A27,[29]HISTODEC24!$A$6:$BB$38,54,0)</f>
        <v>0</v>
      </c>
      <c r="AF27" s="36">
        <f>VLOOKUP($A27,[29]HISTODEC24!$A$6:$CB$38,60,0)</f>
        <v>0</v>
      </c>
      <c r="AG27" s="36">
        <f>VLOOKUP($A27,[29]HISTODEC24!$A$6:$CB$38,61,0)</f>
        <v>0</v>
      </c>
      <c r="AH27" s="36">
        <f>VLOOKUP($A27,[29]HISTODEC24!$A$6:$CB$38,62,0)</f>
        <v>0</v>
      </c>
      <c r="AI27" s="36">
        <f>VLOOKUP($A27,[29]HISTODEC24!$A$6:$CB$38,63,0)</f>
        <v>0</v>
      </c>
      <c r="AJ27" s="36">
        <f>VLOOKUP($A27,[29]HISTODEC24!$A$6:$CB$38,64,0)</f>
        <v>0</v>
      </c>
      <c r="AK27" s="36">
        <f>VLOOKUP($A27,[29]HISTODEC24!$A$6:$CB$38,65,0)</f>
        <v>0</v>
      </c>
    </row>
    <row r="28" spans="1:37" x14ac:dyDescent="0.35">
      <c r="A28" s="1" t="s">
        <v>172</v>
      </c>
      <c r="B28" s="1" t="str">
        <f>VLOOKUP(A28,[19]LISTADHERENT!A$5:H$60,3,0)</f>
        <v>NOUBE ETIENNE</v>
      </c>
      <c r="C28" s="36"/>
      <c r="D28" s="36"/>
      <c r="E28" s="36">
        <f>VLOOKUP($A28,[29]HISTOJANV24!$A$6:$BA$38,48,0)</f>
        <v>0</v>
      </c>
      <c r="F28" s="36">
        <f>MVTNOV24!I28-E28+L28</f>
        <v>907028.42220575782</v>
      </c>
      <c r="G28" s="5">
        <f>IF(MVTNOV24!I28+L28&gt;700000,(MVTNOV24!I28-E28+L28),0)</f>
        <v>907028.42220575782</v>
      </c>
      <c r="H28" s="36">
        <f t="shared" si="0"/>
        <v>3710.7260093003915</v>
      </c>
      <c r="I28" s="6">
        <f t="shared" si="2"/>
        <v>910739.14821505826</v>
      </c>
      <c r="J28" s="36">
        <f>VLOOKUP($A28,[29]HISTODEC24!$A$6:$AQ$42,22,0)</f>
        <v>0</v>
      </c>
      <c r="K28" s="36">
        <f>VLOOKUP($A28,[29]HISTODEC24!$A$6:$AU$38,45,0)</f>
        <v>25000</v>
      </c>
      <c r="L28" s="36">
        <f t="shared" si="3"/>
        <v>19000</v>
      </c>
      <c r="M28" s="36">
        <f t="shared" si="4"/>
        <v>1000</v>
      </c>
      <c r="N28" s="36">
        <f t="shared" si="1"/>
        <v>1000</v>
      </c>
      <c r="O28" s="36">
        <f t="shared" si="5"/>
        <v>4000</v>
      </c>
      <c r="P28" s="36">
        <f>VLOOKUP($A28,[29]HISTODEC24!$A$6:$AU$38,7,0)</f>
        <v>0</v>
      </c>
      <c r="Q28" s="36">
        <f>VLOOKUP($A28,[29]HISTODEC24!$A$6:$AU$38,23,0)</f>
        <v>0</v>
      </c>
      <c r="R28" s="36">
        <f>VLOOKUP($A28,[29]HISTODEC24!$A$6:$AU$38,46,0)</f>
        <v>0</v>
      </c>
      <c r="S28" s="36">
        <f>VLOOKUP($A28,[29]HISTODEC24!$A$6:$AU$38,26,0)</f>
        <v>0</v>
      </c>
      <c r="T28" s="13">
        <f>VLOOKUP($A28,[29]HISTODEC24!$A$6:$BG$38,58,0)</f>
        <v>7750</v>
      </c>
      <c r="U28" s="36">
        <f>VLOOKUP($A28,[29]HISTODEC24!$A$6:$AU$38,28,0)</f>
        <v>0</v>
      </c>
      <c r="V28" s="36">
        <f>VLOOKUP($A28,[29]HISTODEC24!$A$6:$AU$38,19,0)</f>
        <v>50000</v>
      </c>
      <c r="W28" s="36">
        <f>VLOOKUP($A28,[29]HISTODEC24!$A$6:$AU$38,20,0)</f>
        <v>0</v>
      </c>
      <c r="X28" s="36">
        <f>VLOOKUP($A28,[29]HISTODEC24!$A$6:$AU$38,27,0)</f>
        <v>0</v>
      </c>
      <c r="Y28" s="36">
        <f>VLOOKUP($A28,[29]HISTODEC24!$A$6:$BM$38,33,0)</f>
        <v>0</v>
      </c>
      <c r="Z28" s="36">
        <f>VLOOKUP($A28,[29]HISTODEC24!$A$6:$BM$38,65,0)</f>
        <v>0</v>
      </c>
      <c r="AA28" s="36"/>
      <c r="AB28" s="36">
        <f>VLOOKUP($A28,[29]HISTODEC24!$A$6:$AU$38,43,0)</f>
        <v>0</v>
      </c>
      <c r="AC28" s="36">
        <f>VLOOKUP($A28,[29]HISTODEC24!$A$6:$AU$38,44,0)</f>
        <v>0</v>
      </c>
      <c r="AD28" s="36">
        <f>VLOOKUP($A28,[29]HISTODEC24!$A$6:$AU$38,47,0)</f>
        <v>0</v>
      </c>
      <c r="AE28" s="36">
        <f>VLOOKUP(A28,[29]HISTODEC24!$A$6:$BB$38,54,0)</f>
        <v>0</v>
      </c>
      <c r="AF28" s="36">
        <f>VLOOKUP($A28,[29]HISTODEC24!$A$6:$CB$38,60,0)</f>
        <v>0</v>
      </c>
      <c r="AG28" s="36">
        <f>VLOOKUP($A28,[29]HISTODEC24!$A$6:$CB$38,61,0)</f>
        <v>0</v>
      </c>
      <c r="AH28" s="36">
        <f>VLOOKUP($A28,[29]HISTODEC24!$A$6:$CB$38,62,0)</f>
        <v>0</v>
      </c>
      <c r="AI28" s="36">
        <f>VLOOKUP($A28,[29]HISTODEC24!$A$6:$CB$38,63,0)</f>
        <v>0</v>
      </c>
      <c r="AJ28" s="36">
        <f>VLOOKUP($A28,[29]HISTODEC24!$A$6:$CB$38,64,0)</f>
        <v>0</v>
      </c>
      <c r="AK28" s="36">
        <f>VLOOKUP($A28,[29]HISTODEC24!$A$6:$CB$38,65,0)</f>
        <v>0</v>
      </c>
    </row>
    <row r="29" spans="1:37" x14ac:dyDescent="0.35">
      <c r="A29" s="1" t="s">
        <v>45</v>
      </c>
      <c r="B29" s="1" t="str">
        <f>VLOOKUP(A29,[19]LISTADHERENT!A$5:H$60,3,0)</f>
        <v>PATEGO NJOSSU GUSTAVE</v>
      </c>
      <c r="C29" s="36"/>
      <c r="D29" s="36"/>
      <c r="E29" s="36">
        <f>VLOOKUP($A29,[29]HISTOJANV24!$A$6:$BA$38,48,0)</f>
        <v>0</v>
      </c>
      <c r="F29" s="36">
        <f>MVTNOV24!I29-E29+L29</f>
        <v>1059520.7381774064</v>
      </c>
      <c r="G29" s="5">
        <f>IF(MVTNOV24!I29+L29&gt;700000,(MVTNOV24!I29-E29+L29),0)</f>
        <v>1059520.7381774064</v>
      </c>
      <c r="H29" s="36">
        <f t="shared" si="0"/>
        <v>4334.5843022063291</v>
      </c>
      <c r="I29" s="6">
        <f t="shared" si="2"/>
        <v>1063855.3224796127</v>
      </c>
      <c r="J29" s="36">
        <f>VLOOKUP($A29,[29]HISTODEC24!$A$6:$AQ$42,22,0)</f>
        <v>0</v>
      </c>
      <c r="K29" s="36">
        <f>VLOOKUP($A29,[29]HISTODEC24!$A$6:$AU$38,45,0)</f>
        <v>52000</v>
      </c>
      <c r="L29" s="36">
        <f t="shared" si="3"/>
        <v>46000</v>
      </c>
      <c r="M29" s="36">
        <f t="shared" si="4"/>
        <v>1000</v>
      </c>
      <c r="N29" s="36">
        <f t="shared" si="1"/>
        <v>1000</v>
      </c>
      <c r="O29" s="36">
        <f t="shared" si="5"/>
        <v>4000</v>
      </c>
      <c r="P29" s="36">
        <f>VLOOKUP($A29,[29]HISTODEC24!$A$6:$AU$38,7,0)</f>
        <v>0</v>
      </c>
      <c r="Q29" s="36">
        <f>VLOOKUP($A29,[29]HISTODEC24!$A$6:$AU$38,23,0)</f>
        <v>0</v>
      </c>
      <c r="R29" s="36">
        <f>VLOOKUP($A29,[29]HISTODEC24!$A$6:$AU$38,46,0)</f>
        <v>0</v>
      </c>
      <c r="S29" s="36">
        <f>VLOOKUP($A29,[29]HISTODEC24!$A$6:$AU$38,26,0)</f>
        <v>0</v>
      </c>
      <c r="T29" s="36"/>
      <c r="U29" s="36">
        <f>VLOOKUP($A29,[29]HISTODEC24!$A$6:$AU$38,28,0)</f>
        <v>0</v>
      </c>
      <c r="V29" s="36">
        <f>VLOOKUP($A29,[29]HISTODEC24!$A$6:$AU$38,19,0)</f>
        <v>0</v>
      </c>
      <c r="W29" s="36">
        <f>VLOOKUP($A29,[29]HISTODEC24!$A$6:$AU$38,20,0)</f>
        <v>0</v>
      </c>
      <c r="X29" s="36">
        <f>VLOOKUP($A29,[29]HISTODEC24!$A$6:$AU$38,27,0)</f>
        <v>0</v>
      </c>
      <c r="Y29" s="36">
        <f>VLOOKUP($A29,[29]HISTODEC24!$A$6:$BM$38,33,0)</f>
        <v>0</v>
      </c>
      <c r="Z29" s="36">
        <f>VLOOKUP($A29,[29]HISTODEC24!$A$6:$BM$38,65,0)</f>
        <v>0</v>
      </c>
      <c r="AA29" s="36"/>
      <c r="AB29" s="36">
        <f>VLOOKUP($A29,[29]HISTODEC24!$A$6:$AU$38,43,0)</f>
        <v>0</v>
      </c>
      <c r="AC29" s="36">
        <f>VLOOKUP($A29,[29]HISTODEC24!$A$6:$AU$38,44,0)</f>
        <v>0</v>
      </c>
      <c r="AD29" s="36">
        <f>VLOOKUP($A29,[29]HISTODEC24!$A$6:$AU$38,47,0)</f>
        <v>0</v>
      </c>
      <c r="AE29" s="36">
        <f>VLOOKUP(A29,[29]HISTODEC24!$A$6:$BB$38,54,0)</f>
        <v>0</v>
      </c>
      <c r="AF29" s="36">
        <f>VLOOKUP($A29,[29]HISTODEC24!$A$6:$CB$38,60,0)</f>
        <v>0</v>
      </c>
      <c r="AG29" s="36">
        <f>VLOOKUP($A29,[29]HISTODEC24!$A$6:$CB$38,61,0)</f>
        <v>0</v>
      </c>
      <c r="AH29" s="36">
        <f>VLOOKUP($A29,[29]HISTODEC24!$A$6:$CB$38,62,0)</f>
        <v>0</v>
      </c>
      <c r="AI29" s="36">
        <f>VLOOKUP($A29,[29]HISTODEC24!$A$6:$CB$38,63,0)</f>
        <v>0</v>
      </c>
      <c r="AJ29" s="36">
        <f>VLOOKUP($A29,[29]HISTODEC24!$A$6:$CB$38,64,0)</f>
        <v>0</v>
      </c>
      <c r="AK29" s="36">
        <f>VLOOKUP($A29,[29]HISTODEC24!$A$6:$CB$38,65,0)</f>
        <v>0</v>
      </c>
    </row>
    <row r="30" spans="1:37" x14ac:dyDescent="0.35">
      <c r="A30" s="1" t="s">
        <v>312</v>
      </c>
      <c r="B30" s="1" t="str">
        <f>VLOOKUP(A30,[19]LISTADHERENT!A$5:H$60,3,0)</f>
        <v>SEUMO POLYCARPE</v>
      </c>
      <c r="C30" s="36"/>
      <c r="D30" s="36"/>
      <c r="E30" s="36">
        <f>VLOOKUP($A30,[29]HISTOJANV24!$A$6:$BA$38,48,0)</f>
        <v>0</v>
      </c>
      <c r="F30" s="36">
        <f>MVTNOV24!I30-E30+L30</f>
        <v>944509.15650175198</v>
      </c>
      <c r="G30" s="5">
        <f>IF(MVTNOV24!I30+L30&gt;700000,(MVTNOV24!I30-E30+L30),0)</f>
        <v>944509.15650175198</v>
      </c>
      <c r="H30" s="36">
        <f t="shared" si="0"/>
        <v>3864.0626988625545</v>
      </c>
      <c r="I30" s="6">
        <f t="shared" si="2"/>
        <v>948373.21920061449</v>
      </c>
      <c r="J30" s="36">
        <f>VLOOKUP($A30,[29]HISTODEC24!$A$6:$AQ$42,22,0)</f>
        <v>0</v>
      </c>
      <c r="K30" s="36">
        <f>VLOOKUP($A30,[29]HISTODEC24!$A$6:$AU$38,45,0)</f>
        <v>24000</v>
      </c>
      <c r="L30" s="36">
        <f t="shared" si="3"/>
        <v>18000</v>
      </c>
      <c r="M30" s="36">
        <f t="shared" si="4"/>
        <v>1000</v>
      </c>
      <c r="N30" s="36">
        <f t="shared" si="1"/>
        <v>1000</v>
      </c>
      <c r="O30" s="36">
        <f t="shared" si="5"/>
        <v>4000</v>
      </c>
      <c r="P30" s="36">
        <f>VLOOKUP($A30,[29]HISTODEC24!$A$6:$AU$38,7,0)</f>
        <v>0</v>
      </c>
      <c r="Q30" s="36">
        <f>VLOOKUP($A30,[29]HISTODEC24!$A$6:$AU$38,23,0)</f>
        <v>0</v>
      </c>
      <c r="R30" s="36">
        <f>VLOOKUP($A30,[29]HISTODEC24!$A$6:$AU$38,46,0)</f>
        <v>0</v>
      </c>
      <c r="S30" s="36">
        <f>VLOOKUP($A30,[29]HISTODEC24!$A$6:$AU$38,26,0)</f>
        <v>1000000</v>
      </c>
      <c r="T30" s="36"/>
      <c r="U30" s="36">
        <f>VLOOKUP($A30,[29]HISTODEC24!$A$6:$AU$38,28,0)</f>
        <v>0</v>
      </c>
      <c r="V30" s="36">
        <f>VLOOKUP($A30,[29]HISTODEC24!$A$6:$AU$38,19,0)</f>
        <v>0</v>
      </c>
      <c r="W30" s="36">
        <f>VLOOKUP($A30,[29]HISTODEC24!$A$6:$AU$38,20,0)</f>
        <v>0</v>
      </c>
      <c r="X30" s="36">
        <f>VLOOKUP($A30,[29]HISTODEC24!$A$6:$AU$38,27,0)</f>
        <v>0</v>
      </c>
      <c r="Y30" s="36">
        <f>VLOOKUP($A30,[29]HISTODEC24!$A$6:$BM$38,33,0)</f>
        <v>0</v>
      </c>
      <c r="Z30" s="36">
        <f>VLOOKUP($A30,[29]HISTODEC24!$A$6:$BM$38,65,0)</f>
        <v>0</v>
      </c>
      <c r="AA30" s="36"/>
      <c r="AB30" s="36">
        <f>VLOOKUP($A30,[29]HISTODEC24!$A$6:$AU$38,43,0)</f>
        <v>0</v>
      </c>
      <c r="AC30" s="36">
        <f>VLOOKUP($A30,[29]HISTODEC24!$A$6:$AU$38,44,0)</f>
        <v>0</v>
      </c>
      <c r="AD30" s="36">
        <f>VLOOKUP($A30,[29]HISTODEC24!$A$6:$AU$38,47,0)</f>
        <v>0</v>
      </c>
      <c r="AE30" s="36">
        <f>VLOOKUP(A30,[29]HISTODEC24!$A$6:$BB$38,54,0)</f>
        <v>115000</v>
      </c>
      <c r="AF30" s="36">
        <f>VLOOKUP($A30,[29]HISTODEC24!$A$6:$CB$38,60,0)</f>
        <v>0</v>
      </c>
      <c r="AG30" s="36">
        <f>VLOOKUP($A30,[29]HISTODEC24!$A$6:$CB$38,61,0)</f>
        <v>0</v>
      </c>
      <c r="AH30" s="36">
        <f>VLOOKUP($A30,[29]HISTODEC24!$A$6:$CB$38,62,0)</f>
        <v>0</v>
      </c>
      <c r="AI30" s="36">
        <f>VLOOKUP($A30,[29]HISTODEC24!$A$6:$CB$38,63,0)</f>
        <v>100000</v>
      </c>
      <c r="AJ30" s="36">
        <f>VLOOKUP($A30,[29]HISTODEC24!$A$6:$CB$38,64,0)</f>
        <v>0</v>
      </c>
      <c r="AK30" s="36">
        <f>VLOOKUP($A30,[29]HISTODEC24!$A$6:$CB$38,65,0)</f>
        <v>0</v>
      </c>
    </row>
    <row r="31" spans="1:37" x14ac:dyDescent="0.35">
      <c r="A31" s="1" t="s">
        <v>81</v>
      </c>
      <c r="B31" s="1" t="str">
        <f>VLOOKUP(A31,[19]LISTADHERENT!A$5:H$60,3,0)</f>
        <v>SIME BRICE</v>
      </c>
      <c r="C31" s="36"/>
      <c r="D31" s="36"/>
      <c r="E31" s="36">
        <f>VLOOKUP($A31,[29]HISTOJANV24!$A$6:$BA$38,48,0)</f>
        <v>0</v>
      </c>
      <c r="F31" s="36">
        <f>MVTNOV24!I31-E31+L31</f>
        <v>1101010.4861848836</v>
      </c>
      <c r="G31" s="5">
        <f>IF(MVTNOV24!I31+L31&gt;700000,(MVTNOV24!I31-E31+L31),0)</f>
        <v>1101010.4861848836</v>
      </c>
      <c r="H31" s="36">
        <f t="shared" si="0"/>
        <v>4504.3221883425367</v>
      </c>
      <c r="I31" s="6">
        <f t="shared" si="2"/>
        <v>1105514.8083732261</v>
      </c>
      <c r="J31" s="36">
        <f>VLOOKUP($A31,[29]HISTODEC24!$A$6:$AQ$42,22,0)</f>
        <v>0</v>
      </c>
      <c r="K31" s="36">
        <f>VLOOKUP($A31,[29]HISTODEC24!$A$6:$AU$38,45,0)</f>
        <v>25000</v>
      </c>
      <c r="L31" s="36">
        <f t="shared" si="3"/>
        <v>19000</v>
      </c>
      <c r="M31" s="36">
        <f t="shared" si="4"/>
        <v>1000</v>
      </c>
      <c r="N31" s="36">
        <f t="shared" si="1"/>
        <v>1000</v>
      </c>
      <c r="O31" s="36">
        <f t="shared" si="5"/>
        <v>4000</v>
      </c>
      <c r="P31" s="36">
        <f>VLOOKUP($A31,[29]HISTODEC24!$A$6:$AU$38,7,0)</f>
        <v>0</v>
      </c>
      <c r="Q31" s="36">
        <f>VLOOKUP($A31,[29]HISTODEC24!$A$6:$AU$38,23,0)</f>
        <v>0</v>
      </c>
      <c r="R31" s="36">
        <f>VLOOKUP($A31,[29]HISTODEC24!$A$6:$AU$38,46,0)</f>
        <v>0</v>
      </c>
      <c r="S31" s="36">
        <f>VLOOKUP($A31,[29]HISTODEC24!$A$6:$AU$38,26,0)</f>
        <v>1000000</v>
      </c>
      <c r="T31" s="36"/>
      <c r="U31" s="36">
        <f>VLOOKUP($A31,[29]HISTODEC24!$A$6:$AU$38,28,0)</f>
        <v>0</v>
      </c>
      <c r="V31" s="36">
        <f>VLOOKUP($A31,[29]HISTODEC24!$A$6:$AU$38,19,0)</f>
        <v>1000000</v>
      </c>
      <c r="W31" s="36">
        <f>VLOOKUP($A31,[29]HISTODEC24!$A$6:$AU$38,20,0)</f>
        <v>0</v>
      </c>
      <c r="X31" s="36">
        <f>VLOOKUP($A31,[29]HISTODEC24!$A$6:$AU$38,27,0)</f>
        <v>0</v>
      </c>
      <c r="Y31" s="36">
        <f>VLOOKUP($A31,[29]HISTODEC24!$A$6:$BM$38,33,0)</f>
        <v>0</v>
      </c>
      <c r="Z31" s="36">
        <f>VLOOKUP($A31,[29]HISTODEC24!$A$6:$BM$38,65,0)</f>
        <v>0</v>
      </c>
      <c r="AA31" s="36"/>
      <c r="AB31" s="36">
        <f>VLOOKUP($A31,[29]HISTODEC24!$A$6:$AU$38,43,0)</f>
        <v>0</v>
      </c>
      <c r="AC31" s="36">
        <f>VLOOKUP($A31,[29]HISTODEC24!$A$6:$AU$38,44,0)</f>
        <v>0</v>
      </c>
      <c r="AD31" s="36">
        <f>VLOOKUP($A31,[29]HISTODEC24!$A$6:$AU$38,47,0)</f>
        <v>0</v>
      </c>
      <c r="AE31" s="36">
        <f>VLOOKUP(A31,[29]HISTODEC24!$A$6:$BB$38,54,0)</f>
        <v>0</v>
      </c>
      <c r="AF31" s="36">
        <f>VLOOKUP($A31,[29]HISTODEC24!$A$6:$CB$38,60,0)</f>
        <v>0</v>
      </c>
      <c r="AG31" s="36">
        <f>VLOOKUP($A31,[29]HISTODEC24!$A$6:$CB$38,61,0)</f>
        <v>0</v>
      </c>
      <c r="AH31" s="36">
        <f>VLOOKUP($A31,[29]HISTODEC24!$A$6:$CB$38,62,0)</f>
        <v>0</v>
      </c>
      <c r="AI31" s="36">
        <f>VLOOKUP($A31,[29]HISTODEC24!$A$6:$CB$38,63,0)</f>
        <v>0</v>
      </c>
      <c r="AJ31" s="36">
        <f>VLOOKUP($A31,[29]HISTODEC24!$A$6:$CB$38,64,0)</f>
        <v>0</v>
      </c>
      <c r="AK31" s="36">
        <f>VLOOKUP($A31,[29]HISTODEC24!$A$6:$CB$38,65,0)</f>
        <v>0</v>
      </c>
    </row>
    <row r="32" spans="1:37" x14ac:dyDescent="0.35">
      <c r="A32" s="1" t="s">
        <v>49</v>
      </c>
      <c r="B32" s="1" t="str">
        <f>VLOOKUP(A32,[19]LISTADHERENT!A$5:H$60,3,0)</f>
        <v>SIMO PIERRE</v>
      </c>
      <c r="C32" s="36"/>
      <c r="D32" s="36"/>
      <c r="E32" s="36">
        <f>VLOOKUP($A32,[29]HISTOJANV24!$A$6:$BA$38,48,0)</f>
        <v>0</v>
      </c>
      <c r="F32" s="36">
        <f>MVTNOV24!I32-E32+L32</f>
        <v>986102.16279974184</v>
      </c>
      <c r="G32" s="5">
        <f>IF(MVTNOV24!I32+L32&gt;700000,(MVTNOV24!I32-E32+L32),0)</f>
        <v>986102.16279974184</v>
      </c>
      <c r="H32" s="36">
        <f t="shared" si="0"/>
        <v>4034.223022945469</v>
      </c>
      <c r="I32" s="6">
        <f t="shared" si="2"/>
        <v>990136.3858226873</v>
      </c>
      <c r="J32" s="36">
        <f>VLOOKUP($A32,[29]HISTODEC24!$A$6:$AQ$42,22,0)</f>
        <v>0</v>
      </c>
      <c r="K32" s="36">
        <f>VLOOKUP($A32,[29]HISTODEC24!$A$6:$AU$38,45,0)</f>
        <v>25000</v>
      </c>
      <c r="L32" s="36">
        <f t="shared" si="3"/>
        <v>19000</v>
      </c>
      <c r="M32" s="36">
        <f t="shared" si="4"/>
        <v>1000</v>
      </c>
      <c r="N32" s="36">
        <f t="shared" si="1"/>
        <v>1000</v>
      </c>
      <c r="O32" s="36">
        <f t="shared" si="5"/>
        <v>4000</v>
      </c>
      <c r="P32" s="36">
        <f>VLOOKUP($A32,[29]HISTODEC24!$A$6:$AU$38,7,0)</f>
        <v>0</v>
      </c>
      <c r="Q32" s="36">
        <f>VLOOKUP($A32,[29]HISTODEC24!$A$6:$AU$38,23,0)</f>
        <v>0</v>
      </c>
      <c r="R32" s="36">
        <f>VLOOKUP($A32,[29]HISTODEC24!$A$6:$AU$38,46,0)</f>
        <v>0</v>
      </c>
      <c r="S32" s="36">
        <f>VLOOKUP($A32,[29]HISTODEC24!$A$6:$AU$38,26,0)</f>
        <v>1000000</v>
      </c>
      <c r="T32" s="36"/>
      <c r="U32" s="36">
        <f>VLOOKUP($A32,[29]HISTODEC24!$A$6:$AU$38,28,0)</f>
        <v>0</v>
      </c>
      <c r="V32" s="36">
        <f>VLOOKUP($A32,[29]HISTODEC24!$A$6:$AU$38,19,0)</f>
        <v>1000000</v>
      </c>
      <c r="W32" s="36">
        <f>VLOOKUP($A32,[29]HISTODEC24!$A$6:$AU$38,20,0)</f>
        <v>0</v>
      </c>
      <c r="X32" s="36">
        <f>VLOOKUP($A32,[29]HISTODEC24!$A$6:$AU$38,27,0)</f>
        <v>0</v>
      </c>
      <c r="Y32" s="36">
        <f>VLOOKUP($A32,[29]HISTODEC24!$A$6:$BM$38,33,0)</f>
        <v>0</v>
      </c>
      <c r="Z32" s="36">
        <f>VLOOKUP($A32,[29]HISTODEC24!$A$6:$BM$38,65,0)</f>
        <v>0</v>
      </c>
      <c r="AA32" s="36"/>
      <c r="AB32" s="36">
        <f>VLOOKUP($A32,[29]HISTODEC24!$A$6:$AU$38,43,0)</f>
        <v>0</v>
      </c>
      <c r="AC32" s="36">
        <f>VLOOKUP($A32,[29]HISTODEC24!$A$6:$AU$38,44,0)</f>
        <v>0</v>
      </c>
      <c r="AD32" s="36">
        <f>VLOOKUP($A32,[29]HISTODEC24!$A$6:$AU$38,47,0)</f>
        <v>0</v>
      </c>
      <c r="AE32" s="36">
        <f>VLOOKUP(A32,[29]HISTODEC24!$A$6:$BB$38,54,0)</f>
        <v>0</v>
      </c>
      <c r="AF32" s="36">
        <f>VLOOKUP($A32,[29]HISTODEC24!$A$6:$CB$38,60,0)</f>
        <v>0</v>
      </c>
      <c r="AG32" s="36">
        <f>VLOOKUP($A32,[29]HISTODEC24!$A$6:$CB$38,61,0)</f>
        <v>0</v>
      </c>
      <c r="AH32" s="36">
        <f>VLOOKUP($A32,[29]HISTODEC24!$A$6:$CB$38,62,0)</f>
        <v>0</v>
      </c>
      <c r="AI32" s="36">
        <f>VLOOKUP($A32,[29]HISTODEC24!$A$6:$CB$38,63,0)</f>
        <v>0</v>
      </c>
      <c r="AJ32" s="36">
        <f>VLOOKUP($A32,[29]HISTODEC24!$A$6:$CB$38,64,0)</f>
        <v>0</v>
      </c>
      <c r="AK32" s="36">
        <f>VLOOKUP($A32,[29]HISTODEC24!$A$6:$CB$38,65,0)</f>
        <v>0</v>
      </c>
    </row>
    <row r="33" spans="1:38" x14ac:dyDescent="0.35">
      <c r="A33" s="1" t="s">
        <v>51</v>
      </c>
      <c r="B33" s="1" t="str">
        <f>VLOOKUP(A33,[19]LISTADHERENT!A$5:H$60,3,0)</f>
        <v>TCHOUAMOU MATHIEU</v>
      </c>
      <c r="C33" s="36"/>
      <c r="D33" s="36"/>
      <c r="E33" s="36">
        <f>VLOOKUP($A33,[29]HISTOJANV24!$A$6:$BA$38,48,0)</f>
        <v>0</v>
      </c>
      <c r="F33" s="36">
        <f>MVTNOV24!I33-E33+L33</f>
        <v>1992081.9868132719</v>
      </c>
      <c r="G33" s="5">
        <f>IF(MVTNOV24!I33+L33&gt;700000,(MVTNOV24!I33-E33+L33),0)</f>
        <v>1992081.9868132719</v>
      </c>
      <c r="H33" s="36">
        <f t="shared" si="0"/>
        <v>8149.7671518940888</v>
      </c>
      <c r="I33" s="6">
        <f t="shared" si="2"/>
        <v>2000231.7539651659</v>
      </c>
      <c r="J33" s="36">
        <f>VLOOKUP($A33,[29]HISTODEC24!$A$6:$AQ$42,22,0)</f>
        <v>0</v>
      </c>
      <c r="K33" s="36">
        <f>VLOOKUP($A33,[29]HISTODEC24!$A$6:$AU$38,45,0)</f>
        <v>25000</v>
      </c>
      <c r="L33" s="36">
        <f t="shared" si="3"/>
        <v>19000</v>
      </c>
      <c r="M33" s="36">
        <f t="shared" si="4"/>
        <v>1000</v>
      </c>
      <c r="N33" s="36">
        <f t="shared" si="1"/>
        <v>1000</v>
      </c>
      <c r="O33" s="36">
        <f t="shared" si="5"/>
        <v>4000</v>
      </c>
      <c r="P33" s="36">
        <f>VLOOKUP($A33,[29]HISTODEC24!$A$6:$AU$38,7,0)</f>
        <v>0</v>
      </c>
      <c r="Q33" s="36">
        <f>VLOOKUP($A33,[29]HISTODEC24!$A$6:$AU$38,23,0)</f>
        <v>0</v>
      </c>
      <c r="R33" s="36">
        <f>VLOOKUP($A33,[29]HISTODEC24!$A$6:$AU$38,46,0)</f>
        <v>0</v>
      </c>
      <c r="S33" s="36">
        <f>VLOOKUP($A33,[29]HISTODEC24!$A$6:$AU$38,26,0)</f>
        <v>1000000</v>
      </c>
      <c r="T33" s="36"/>
      <c r="U33" s="36">
        <f>VLOOKUP($A33,[29]HISTODEC24!$A$6:$AU$38,28,0)</f>
        <v>0</v>
      </c>
      <c r="V33" s="36">
        <f>VLOOKUP($A33,[29]HISTODEC24!$A$6:$AU$38,19,0)</f>
        <v>0</v>
      </c>
      <c r="W33" s="36">
        <f>VLOOKUP($A33,[29]HISTODEC24!$A$6:$AU$38,20,0)</f>
        <v>0</v>
      </c>
      <c r="X33" s="36">
        <f>VLOOKUP($A33,[29]HISTODEC24!$A$6:$AU$38,27,0)</f>
        <v>0</v>
      </c>
      <c r="Y33" s="36">
        <f>VLOOKUP($A33,[29]HISTODEC24!$A$6:$BM$38,33,0)</f>
        <v>0</v>
      </c>
      <c r="Z33" s="36">
        <f>VLOOKUP($A33,[29]HISTODEC24!$A$6:$BM$38,65,0)</f>
        <v>0</v>
      </c>
      <c r="AA33" s="36"/>
      <c r="AB33" s="36">
        <f>VLOOKUP($A33,[29]HISTODEC24!$A$6:$AU$38,43,0)</f>
        <v>0</v>
      </c>
      <c r="AC33" s="36">
        <f>VLOOKUP($A33,[29]HISTODEC24!$A$6:$AU$38,44,0)</f>
        <v>0</v>
      </c>
      <c r="AD33" s="36">
        <f>VLOOKUP($A33,[29]HISTODEC24!$A$6:$AU$38,47,0)</f>
        <v>0</v>
      </c>
      <c r="AE33" s="36">
        <f>VLOOKUP(A33,[29]HISTODEC24!$A$6:$BB$38,54,0)</f>
        <v>0</v>
      </c>
      <c r="AF33" s="36">
        <f>VLOOKUP($A33,[29]HISTODEC24!$A$6:$CB$38,60,0)</f>
        <v>0</v>
      </c>
      <c r="AG33" s="36">
        <f>VLOOKUP($A33,[29]HISTODEC24!$A$6:$CB$38,61,0)</f>
        <v>0</v>
      </c>
      <c r="AH33" s="36">
        <f>VLOOKUP($A33,[29]HISTODEC24!$A$6:$CB$38,62,0)</f>
        <v>0</v>
      </c>
      <c r="AI33" s="36">
        <f>VLOOKUP($A33,[29]HISTODEC24!$A$6:$CB$38,63,0)</f>
        <v>0</v>
      </c>
      <c r="AJ33" s="36">
        <f>VLOOKUP($A33,[29]HISTODEC24!$A$6:$CB$38,64,0)</f>
        <v>0</v>
      </c>
      <c r="AK33" s="36">
        <f>VLOOKUP($A33,[29]HISTODEC24!$A$6:$CB$38,65,0)</f>
        <v>0</v>
      </c>
    </row>
    <row r="34" spans="1:38" x14ac:dyDescent="0.35">
      <c r="A34" s="1" t="s">
        <v>327</v>
      </c>
      <c r="B34" s="1" t="str">
        <f>VLOOKUP(A34,[19]LISTADHERENT!A$5:H$60,3,0)</f>
        <v>TCHOUATEU AUGUSTIN</v>
      </c>
      <c r="C34" s="36"/>
      <c r="D34" s="36"/>
      <c r="E34" s="36">
        <f>VLOOKUP($A34,[29]HISTOJANV24!$A$6:$BA$38,48,0)</f>
        <v>0</v>
      </c>
      <c r="F34" s="36">
        <f>MVTNOV24!I34-E34+L34</f>
        <v>972739.10692510835</v>
      </c>
      <c r="G34" s="5">
        <f>IF(MVTNOV24!I34+L34&gt;700000,(MVTNOV24!I34-E34+L34),0)</f>
        <v>972739.10692510835</v>
      </c>
      <c r="H34" s="36">
        <f t="shared" si="0"/>
        <v>3979.5536897870329</v>
      </c>
      <c r="I34" s="6">
        <f t="shared" si="2"/>
        <v>976718.6606148954</v>
      </c>
      <c r="J34" s="36">
        <f>VLOOKUP($A34,[29]HISTODEC24!$A$6:$AQ$42,22,0)</f>
        <v>0</v>
      </c>
      <c r="K34" s="36">
        <f>VLOOKUP($A34,[29]HISTODEC24!$A$6:$AU$38,45,0)</f>
        <v>35000</v>
      </c>
      <c r="L34" s="36">
        <f t="shared" si="3"/>
        <v>29000</v>
      </c>
      <c r="M34" s="36">
        <f t="shared" si="4"/>
        <v>1000</v>
      </c>
      <c r="N34" s="36">
        <f t="shared" si="1"/>
        <v>1000</v>
      </c>
      <c r="O34" s="36">
        <f t="shared" si="5"/>
        <v>4000</v>
      </c>
      <c r="P34" s="36">
        <f>VLOOKUP($A34,[29]HISTODEC24!$A$6:$AU$38,7,0)</f>
        <v>0</v>
      </c>
      <c r="Q34" s="36">
        <f>VLOOKUP($A34,[29]HISTODEC24!$A$6:$AU$38,23,0)</f>
        <v>0</v>
      </c>
      <c r="R34" s="36">
        <f>VLOOKUP($A34,[29]HISTODEC24!$A$6:$AU$38,46,0)</f>
        <v>0</v>
      </c>
      <c r="S34" s="36">
        <f>VLOOKUP($A34,[29]HISTODEC24!$A$6:$AU$38,26,0)</f>
        <v>1000000</v>
      </c>
      <c r="T34" s="36"/>
      <c r="U34" s="36">
        <f>VLOOKUP($A34,[29]HISTODEC24!$A$6:$AU$38,28,0)</f>
        <v>0</v>
      </c>
      <c r="V34" s="36">
        <f>VLOOKUP($A34,[29]HISTODEC24!$A$6:$AU$38,19,0)</f>
        <v>0</v>
      </c>
      <c r="W34" s="36">
        <f>VLOOKUP($A34,[29]HISTODEC24!$A$6:$AU$38,20,0)</f>
        <v>0</v>
      </c>
      <c r="X34" s="36">
        <f>VLOOKUP($A34,[29]HISTODEC24!$A$6:$AU$38,27,0)</f>
        <v>0</v>
      </c>
      <c r="Y34" s="36">
        <f>VLOOKUP($A34,[29]HISTODEC24!$A$6:$BM$38,33,0)</f>
        <v>0</v>
      </c>
      <c r="Z34" s="36">
        <f>VLOOKUP($A34,[29]HISTODEC24!$A$6:$BM$38,65,0)</f>
        <v>0</v>
      </c>
      <c r="AA34" s="36"/>
      <c r="AB34" s="36">
        <f>VLOOKUP($A34,[29]HISTODEC24!$A$6:$AU$38,43,0)</f>
        <v>0</v>
      </c>
      <c r="AC34" s="36">
        <f>VLOOKUP($A34,[29]HISTODEC24!$A$6:$AU$38,44,0)</f>
        <v>0</v>
      </c>
      <c r="AD34" s="36">
        <f>VLOOKUP($A34,[29]HISTODEC24!$A$6:$AU$38,47,0)</f>
        <v>0</v>
      </c>
      <c r="AE34" s="36">
        <f>VLOOKUP(A34,[29]HISTODEC24!$A$6:$BB$38,54,0)</f>
        <v>0</v>
      </c>
      <c r="AF34" s="36">
        <f>VLOOKUP($A34,[29]HISTODEC24!$A$6:$CB$38,60,0)</f>
        <v>0</v>
      </c>
      <c r="AG34" s="36">
        <f>VLOOKUP($A34,[29]HISTODEC24!$A$6:$CB$38,61,0)</f>
        <v>0</v>
      </c>
      <c r="AH34" s="36">
        <f>VLOOKUP($A34,[29]HISTODEC24!$A$6:$CB$38,62,0)</f>
        <v>0</v>
      </c>
      <c r="AI34" s="36">
        <f>VLOOKUP($A34,[29]HISTODEC24!$A$6:$CB$38,63,0)</f>
        <v>0</v>
      </c>
      <c r="AJ34" s="36">
        <f>VLOOKUP($A34,[29]HISTODEC24!$A$6:$CB$38,64,0)</f>
        <v>0</v>
      </c>
      <c r="AK34" s="36">
        <f>VLOOKUP($A34,[29]HISTODEC24!$A$6:$CB$38,65,0)</f>
        <v>0</v>
      </c>
    </row>
    <row r="35" spans="1:38" x14ac:dyDescent="0.35">
      <c r="A35" s="1" t="s">
        <v>53</v>
      </c>
      <c r="B35" s="1" t="str">
        <f>VLOOKUP(A35,[19]LISTADHERENT!A$5:H$60,3,0)</f>
        <v>TCHOUTOU NANA CLAUDE</v>
      </c>
      <c r="C35" s="36"/>
      <c r="D35" s="36"/>
      <c r="E35" s="36">
        <f>VLOOKUP($A35,[29]HISTOJANV24!$A$6:$BA$38,48,0)</f>
        <v>0</v>
      </c>
      <c r="F35" s="36">
        <f>MVTNOV24!I35-E35+L35</f>
        <v>631750</v>
      </c>
      <c r="G35" s="5">
        <f>IF(MVTNOV24!I35+L35&gt;700000,(MVTNOV24!I35-E35+L35),0)</f>
        <v>0</v>
      </c>
      <c r="H35" s="36">
        <f t="shared" si="0"/>
        <v>0</v>
      </c>
      <c r="I35" s="6">
        <f t="shared" si="2"/>
        <v>631750</v>
      </c>
      <c r="J35" s="36">
        <f>VLOOKUP($A35,[29]HISTODEC24!$A$6:$AQ$42,22,0)</f>
        <v>0</v>
      </c>
      <c r="K35" s="36">
        <f>VLOOKUP($A35,[29]HISTODEC24!$A$6:$AU$38,45,0)</f>
        <v>322500</v>
      </c>
      <c r="L35" s="36">
        <f t="shared" si="3"/>
        <v>316500</v>
      </c>
      <c r="M35" s="36">
        <f t="shared" si="4"/>
        <v>1000</v>
      </c>
      <c r="N35" s="36">
        <f t="shared" si="1"/>
        <v>1000</v>
      </c>
      <c r="O35" s="36">
        <f t="shared" si="5"/>
        <v>4000</v>
      </c>
      <c r="P35" s="36">
        <f>VLOOKUP($A35,[29]HISTODEC24!$A$6:$AU$38,7,0)</f>
        <v>0</v>
      </c>
      <c r="Q35" s="36">
        <f>VLOOKUP($A35,[29]HISTODEC24!$A$6:$AU$38,23,0)</f>
        <v>0</v>
      </c>
      <c r="R35" s="36">
        <f>VLOOKUP($A35,[29]HISTODEC24!$A$6:$AU$38,46,0)</f>
        <v>0</v>
      </c>
      <c r="S35" s="36">
        <f>VLOOKUP($A35,[29]HISTODEC24!$A$6:$AU$38,26,0)</f>
        <v>0</v>
      </c>
      <c r="T35" s="36"/>
      <c r="U35" s="36">
        <f>VLOOKUP($A35,[29]HISTODEC24!$A$6:$AU$38,28,0)</f>
        <v>0</v>
      </c>
      <c r="V35" s="36">
        <f>VLOOKUP($A35,[29]HISTODEC24!$A$6:$AU$38,19,0)</f>
        <v>0</v>
      </c>
      <c r="W35" s="36">
        <f>VLOOKUP($A35,[29]HISTODEC24!$A$6:$AU$38,20,0)</f>
        <v>0</v>
      </c>
      <c r="X35" s="36">
        <f>VLOOKUP($A35,[29]HISTODEC24!$A$6:$AU$38,27,0)</f>
        <v>0</v>
      </c>
      <c r="Y35" s="36">
        <f>VLOOKUP($A35,[29]HISTODEC24!$A$6:$BM$38,33,0)</f>
        <v>0</v>
      </c>
      <c r="Z35" s="36">
        <f>VLOOKUP($A35,[29]HISTODEC24!$A$6:$BM$38,65,0)</f>
        <v>0</v>
      </c>
      <c r="AA35" s="36"/>
      <c r="AB35" s="36">
        <f>VLOOKUP($A35,[29]HISTODEC24!$A$6:$AU$38,43,0)</f>
        <v>0</v>
      </c>
      <c r="AC35" s="36">
        <f>VLOOKUP($A35,[29]HISTODEC24!$A$6:$AU$38,44,0)</f>
        <v>0</v>
      </c>
      <c r="AD35" s="36">
        <f>VLOOKUP($A35,[29]HISTODEC24!$A$6:$AU$38,47,0)</f>
        <v>0</v>
      </c>
      <c r="AE35" s="36">
        <f>VLOOKUP(A35,[29]HISTODEC24!$A$6:$BB$38,54,0)</f>
        <v>0</v>
      </c>
      <c r="AF35" s="36">
        <f>VLOOKUP($A35,[29]HISTODEC24!$A$6:$CB$38,60,0)</f>
        <v>0</v>
      </c>
      <c r="AG35" s="36">
        <f>VLOOKUP($A35,[29]HISTODEC24!$A$6:$CB$38,61,0)</f>
        <v>0</v>
      </c>
      <c r="AH35" s="36">
        <f>VLOOKUP($A35,[29]HISTODEC24!$A$6:$CB$38,62,0)</f>
        <v>0</v>
      </c>
      <c r="AI35" s="36">
        <f>VLOOKUP($A35,[29]HISTODEC24!$A$6:$CB$38,63,0)</f>
        <v>0</v>
      </c>
      <c r="AJ35" s="36">
        <f>VLOOKUP($A35,[29]HISTODEC24!$A$6:$CB$38,64,0)</f>
        <v>0</v>
      </c>
      <c r="AK35" s="36">
        <f>VLOOKUP($A35,[29]HISTODEC24!$A$6:$CB$38,65,0)</f>
        <v>0</v>
      </c>
    </row>
    <row r="36" spans="1:38" x14ac:dyDescent="0.35">
      <c r="A36" s="1" t="s">
        <v>313</v>
      </c>
      <c r="B36" s="1" t="str">
        <f>VLOOKUP(A36,[19]LISTADHERENT!A$5:H$60,3,0)</f>
        <v>YANTCHOU GERVAIS</v>
      </c>
      <c r="C36" s="36"/>
      <c r="D36" s="36"/>
      <c r="E36" s="36">
        <f>VLOOKUP($A36,[29]HISTOJANV24!$A$6:$BA$38,48,0)</f>
        <v>0</v>
      </c>
      <c r="F36" s="36">
        <f>MVTNOV24!I36-E36+L36</f>
        <v>1094230.7829868733</v>
      </c>
      <c r="G36" s="5">
        <f>IF(MVTNOV24!I36+L36&gt;700000,(MVTNOV24!I36-E36+L36),0)</f>
        <v>1094230.7829868733</v>
      </c>
      <c r="H36" s="36">
        <f t="shared" si="0"/>
        <v>4476.5858788992073</v>
      </c>
      <c r="I36" s="6">
        <f t="shared" si="2"/>
        <v>1098707.3688657726</v>
      </c>
      <c r="J36" s="36">
        <f>VLOOKUP($A36,[29]HISTODEC24!$A$6:$AQ$42,22,0)</f>
        <v>0</v>
      </c>
      <c r="K36" s="36">
        <f>VLOOKUP($A36,[29]HISTODEC24!$A$6:$AU$38,45,0)</f>
        <v>25000</v>
      </c>
      <c r="L36" s="36">
        <f t="shared" si="3"/>
        <v>19000</v>
      </c>
      <c r="M36" s="36">
        <f t="shared" si="4"/>
        <v>1000</v>
      </c>
      <c r="N36" s="36">
        <f t="shared" si="1"/>
        <v>1000</v>
      </c>
      <c r="O36" s="36">
        <f t="shared" si="5"/>
        <v>4000</v>
      </c>
      <c r="P36" s="36">
        <f>VLOOKUP($A36,[29]HISTODEC24!$A$6:$AU$38,7,0)</f>
        <v>0</v>
      </c>
      <c r="Q36" s="36">
        <f>VLOOKUP($A36,[29]HISTODEC24!$A$6:$AU$38,23,0)</f>
        <v>0</v>
      </c>
      <c r="R36" s="36">
        <f>VLOOKUP($A36,[29]HISTODEC24!$A$6:$AU$38,46,0)</f>
        <v>0</v>
      </c>
      <c r="S36" s="36">
        <f>VLOOKUP($A36,[29]HISTODEC24!$A$6:$AU$38,26,0)</f>
        <v>1000000</v>
      </c>
      <c r="T36" s="36"/>
      <c r="U36" s="36">
        <f>VLOOKUP($A36,[29]HISTODEC24!$A$6:$AU$38,28,0)</f>
        <v>0</v>
      </c>
      <c r="V36" s="36">
        <f>VLOOKUP($A36,[29]HISTODEC24!$A$6:$AU$38,19,0)</f>
        <v>300000</v>
      </c>
      <c r="W36" s="36">
        <f>VLOOKUP($A36,[29]HISTODEC24!$A$6:$AU$38,20,0)</f>
        <v>0</v>
      </c>
      <c r="X36" s="36">
        <f>VLOOKUP($A36,[29]HISTODEC24!$A$6:$AU$38,27,0)</f>
        <v>0</v>
      </c>
      <c r="Y36" s="36">
        <f>VLOOKUP($A36,[29]HISTODEC24!$A$6:$BM$38,33,0)</f>
        <v>0</v>
      </c>
      <c r="Z36" s="36">
        <f>VLOOKUP($A36,[29]HISTODEC24!$A$6:$BM$38,65,0)</f>
        <v>0</v>
      </c>
      <c r="AA36" s="36"/>
      <c r="AB36" s="36">
        <f>VLOOKUP($A36,[29]HISTODEC24!$A$6:$AU$38,43,0)</f>
        <v>0</v>
      </c>
      <c r="AC36" s="36">
        <f>VLOOKUP($A36,[29]HISTODEC24!$A$6:$AU$38,44,0)</f>
        <v>0</v>
      </c>
      <c r="AD36" s="36">
        <f>VLOOKUP($A36,[29]HISTODEC24!$A$6:$AU$38,47,0)</f>
        <v>0</v>
      </c>
      <c r="AE36" s="36">
        <f>VLOOKUP(A36,[29]HISTODEC24!$A$6:$BB$38,54,0)</f>
        <v>0</v>
      </c>
      <c r="AF36" s="36">
        <f>VLOOKUP($A36,[29]HISTODEC24!$A$6:$CB$38,60,0)</f>
        <v>0</v>
      </c>
      <c r="AG36" s="36">
        <f>VLOOKUP($A36,[29]HISTODEC24!$A$6:$CB$38,61,0)</f>
        <v>0</v>
      </c>
      <c r="AH36" s="36">
        <f>VLOOKUP($A36,[29]HISTODEC24!$A$6:$CB$38,62,0)</f>
        <v>0</v>
      </c>
      <c r="AI36" s="36">
        <f>VLOOKUP($A36,[29]HISTODEC24!$A$6:$CB$38,63,0)</f>
        <v>0</v>
      </c>
      <c r="AJ36" s="36">
        <f>VLOOKUP($A36,[29]HISTODEC24!$A$6:$CB$38,64,0)</f>
        <v>0</v>
      </c>
      <c r="AK36" s="36">
        <f>VLOOKUP($A36,[29]HISTODEC24!$A$6:$CB$38,65,0)</f>
        <v>0</v>
      </c>
    </row>
    <row r="37" spans="1:38" x14ac:dyDescent="0.35">
      <c r="A37" s="1" t="s">
        <v>55</v>
      </c>
      <c r="B37" s="1" t="str">
        <f>VLOOKUP(A37,[19]LISTADHERENT!A$5:H$60,3,0)</f>
        <v>YEPMOU JEAN JACQUES</v>
      </c>
      <c r="C37" s="36"/>
      <c r="D37" s="36"/>
      <c r="E37" s="36">
        <f>VLOOKUP($A37,[29]HISTOJANV24!$A$6:$BA$38,48,0)</f>
        <v>0</v>
      </c>
      <c r="F37" s="36">
        <f>MVTNOV24!I37-E37+L37</f>
        <v>2068175.8832408788</v>
      </c>
      <c r="G37" s="5">
        <f>IF(MVTNOV24!I37+L37&gt;700000,(MVTNOV24!I37-E37+L37),0)</f>
        <v>2068175.8832408788</v>
      </c>
      <c r="H37" s="36">
        <f t="shared" si="0"/>
        <v>8461.0733841026286</v>
      </c>
      <c r="I37" s="6">
        <f t="shared" si="2"/>
        <v>2076636.9566249815</v>
      </c>
      <c r="J37" s="36">
        <f>VLOOKUP($A37,[29]HISTODEC24!$A$6:$AQ$42,22,0)</f>
        <v>0</v>
      </c>
      <c r="K37" s="36">
        <f>VLOOKUP($A37,[29]HISTODEC24!$A$6:$AU$38,45,0)</f>
        <v>25000</v>
      </c>
      <c r="L37" s="36">
        <f t="shared" si="3"/>
        <v>19000</v>
      </c>
      <c r="M37" s="36">
        <f t="shared" si="4"/>
        <v>1000</v>
      </c>
      <c r="N37" s="36">
        <f t="shared" si="1"/>
        <v>1000</v>
      </c>
      <c r="O37" s="36">
        <f t="shared" si="5"/>
        <v>4000</v>
      </c>
      <c r="P37" s="36">
        <f>VLOOKUP($A37,[29]HISTODEC24!$A$6:$AU$38,7,0)</f>
        <v>0</v>
      </c>
      <c r="Q37" s="36">
        <f>VLOOKUP($A37,[29]HISTODEC24!$A$6:$AU$38,23,0)</f>
        <v>0</v>
      </c>
      <c r="R37" s="36">
        <f>VLOOKUP($A37,[29]HISTODEC24!$A$6:$AU$38,46,0)</f>
        <v>0</v>
      </c>
      <c r="S37" s="36">
        <f>VLOOKUP($A37,[29]HISTODEC24!$A$6:$AU$38,26,0)</f>
        <v>0</v>
      </c>
      <c r="T37" s="36"/>
      <c r="U37" s="36">
        <f>VLOOKUP($A37,[29]HISTODEC24!$A$6:$AU$38,28,0)</f>
        <v>0</v>
      </c>
      <c r="V37" s="36">
        <f>VLOOKUP($A37,[29]HISTODEC24!$A$6:$AU$38,19,0)</f>
        <v>0</v>
      </c>
      <c r="W37" s="36">
        <f>VLOOKUP($A37,[29]HISTODEC24!$A$6:$AU$38,20,0)</f>
        <v>0</v>
      </c>
      <c r="X37" s="36">
        <f>VLOOKUP($A37,[29]HISTODEC24!$A$6:$AU$38,27,0)</f>
        <v>0</v>
      </c>
      <c r="Y37" s="36">
        <f>VLOOKUP($A37,[29]HISTODEC24!$A$6:$BM$38,33,0)</f>
        <v>0</v>
      </c>
      <c r="Z37" s="36">
        <f>VLOOKUP($A37,[29]HISTODEC24!$A$6:$BM$38,65,0)</f>
        <v>0</v>
      </c>
      <c r="AA37" s="36"/>
      <c r="AB37" s="36">
        <f>VLOOKUP($A37,[29]HISTODEC24!$A$6:$AU$38,43,0)</f>
        <v>0</v>
      </c>
      <c r="AC37" s="36">
        <f>VLOOKUP($A37,[29]HISTODEC24!$A$6:$AU$38,44,0)</f>
        <v>0</v>
      </c>
      <c r="AD37" s="36">
        <f>VLOOKUP($A37,[29]HISTODEC24!$A$6:$AU$38,47,0)</f>
        <v>0</v>
      </c>
      <c r="AE37" s="36">
        <f>VLOOKUP(A37,[29]HISTODEC24!$A$6:$BB$38,54,0)</f>
        <v>0</v>
      </c>
      <c r="AF37" s="36">
        <f>VLOOKUP($A37,[29]HISTODEC24!$A$6:$CB$38,60,0)</f>
        <v>0</v>
      </c>
      <c r="AG37" s="36">
        <f>VLOOKUP($A37,[29]HISTODEC24!$A$6:$CB$38,61,0)</f>
        <v>0</v>
      </c>
      <c r="AH37" s="36">
        <f>VLOOKUP($A37,[29]HISTODEC24!$A$6:$CB$38,62,0)</f>
        <v>0</v>
      </c>
      <c r="AI37" s="36">
        <f>VLOOKUP($A37,[29]HISTODEC24!$A$6:$CB$38,63,0)</f>
        <v>0</v>
      </c>
      <c r="AJ37" s="36">
        <f>VLOOKUP($A37,[29]HISTODEC24!$A$6:$CB$38,64,0)</f>
        <v>0</v>
      </c>
      <c r="AK37" s="36">
        <f>VLOOKUP($A37,[29]HISTODEC24!$A$6:$CB$38,65,0)</f>
        <v>0</v>
      </c>
    </row>
    <row r="38" spans="1:38" x14ac:dyDescent="0.35">
      <c r="A38" s="1" t="s">
        <v>328</v>
      </c>
      <c r="B38" s="1" t="str">
        <f>VLOOKUP(A38,[19]LISTADHERENT!A$5:H$60,3,0)</f>
        <v>YIALA ALAIN OSCAR</v>
      </c>
      <c r="C38" s="36"/>
      <c r="D38" s="36"/>
      <c r="E38" s="36">
        <f>VLOOKUP($A38,[29]HISTOJANV24!$A$6:$BA$38,48,0)</f>
        <v>0</v>
      </c>
      <c r="F38" s="36">
        <f>MVTNOV24!I38-E38+L38</f>
        <v>928771.34199085762</v>
      </c>
      <c r="G38" s="5">
        <f>IF(MVTNOV24!I38+L38&gt;700000,(MVTNOV24!I38-E38+L38),0)</f>
        <v>928771.34199085762</v>
      </c>
      <c r="H38" s="36">
        <f t="shared" si="0"/>
        <v>3799.6780376927272</v>
      </c>
      <c r="I38" s="6">
        <f t="shared" si="2"/>
        <v>932571.02002855029</v>
      </c>
      <c r="J38" s="36">
        <f>VLOOKUP($A38,[29]HISTODEC24!$A$6:$AQ$42,22,0)</f>
        <v>0</v>
      </c>
      <c r="K38" s="36">
        <f>VLOOKUP($A38,[29]HISTODEC24!$A$6:$AU$38,45,0)</f>
        <v>25000</v>
      </c>
      <c r="L38" s="36">
        <f t="shared" si="3"/>
        <v>19000</v>
      </c>
      <c r="M38" s="36">
        <f t="shared" si="4"/>
        <v>1000</v>
      </c>
      <c r="N38" s="36">
        <f t="shared" si="1"/>
        <v>1000</v>
      </c>
      <c r="O38" s="36">
        <f t="shared" si="5"/>
        <v>4000</v>
      </c>
      <c r="P38" s="36">
        <f>VLOOKUP($A38,[29]HISTODEC24!$A$6:$AU$38,7,0)</f>
        <v>0</v>
      </c>
      <c r="Q38" s="36">
        <f>VLOOKUP($A38,[29]HISTODEC24!$A$6:$AU$38,23,0)</f>
        <v>0</v>
      </c>
      <c r="R38" s="36">
        <f>VLOOKUP($A38,[29]HISTODEC24!$A$6:$AU$38,46,0)</f>
        <v>0</v>
      </c>
      <c r="S38" s="36">
        <f>VLOOKUP($A38,[29]HISTODEC24!$A$6:$AU$38,26,0)</f>
        <v>0</v>
      </c>
      <c r="T38" s="36"/>
      <c r="U38" s="36">
        <f>VLOOKUP($A38,[29]HISTODEC24!$A$6:$AU$38,28,0)</f>
        <v>0</v>
      </c>
      <c r="V38" s="36">
        <f>VLOOKUP($A38,[29]HISTODEC24!$A$6:$AU$38,19,0)</f>
        <v>0</v>
      </c>
      <c r="W38" s="36">
        <f>VLOOKUP($A38,[29]HISTODEC24!$A$6:$AU$38,20,0)</f>
        <v>0</v>
      </c>
      <c r="X38" s="36">
        <f>VLOOKUP($A38,[29]HISTODEC24!$A$6:$AU$38,27,0)</f>
        <v>0</v>
      </c>
      <c r="Y38" s="36">
        <f>VLOOKUP($A38,[29]HISTODEC24!$A$6:$BM$38,33,0)</f>
        <v>0</v>
      </c>
      <c r="Z38" s="36">
        <f>VLOOKUP($A38,[29]HISTODEC24!$A$6:$BM$38,65,0)</f>
        <v>0</v>
      </c>
      <c r="AA38" s="36"/>
      <c r="AB38" s="36">
        <f>VLOOKUP($A38,[29]HISTODEC24!$A$6:$AU$38,43,0)</f>
        <v>0</v>
      </c>
      <c r="AC38" s="36">
        <f>VLOOKUP($A38,[29]HISTODEC24!$A$6:$AU$38,44,0)</f>
        <v>0</v>
      </c>
      <c r="AD38" s="36">
        <f>VLOOKUP($A38,[29]HISTODEC24!$A$6:$AU$38,47,0)</f>
        <v>0</v>
      </c>
      <c r="AE38" s="36">
        <f>VLOOKUP(A38,[29]HISTODEC24!$A$6:$BB$38,54,0)</f>
        <v>0</v>
      </c>
      <c r="AF38" s="36">
        <f>VLOOKUP($A38,[29]HISTODEC24!$A$6:$CB$38,60,0)</f>
        <v>0</v>
      </c>
      <c r="AG38" s="36">
        <f>VLOOKUP($A38,[29]HISTODEC24!$A$6:$CB$38,61,0)</f>
        <v>0</v>
      </c>
      <c r="AH38" s="36">
        <f>VLOOKUP($A38,[29]HISTODEC24!$A$6:$CB$38,62,0)</f>
        <v>0</v>
      </c>
      <c r="AI38" s="36">
        <f>VLOOKUP($A38,[29]HISTODEC24!$A$6:$CB$38,63,0)</f>
        <v>0</v>
      </c>
      <c r="AJ38" s="36">
        <f>VLOOKUP($A38,[29]HISTODEC24!$A$6:$CB$38,64,0)</f>
        <v>0</v>
      </c>
      <c r="AK38" s="36">
        <f>VLOOKUP($A38,[29]HISTODEC24!$A$6:$CB$38,65,0)</f>
        <v>0</v>
      </c>
    </row>
    <row r="39" spans="1:38" x14ac:dyDescent="0.35">
      <c r="A39" s="1" t="s">
        <v>56</v>
      </c>
      <c r="B39" s="1" t="str">
        <f>VLOOKUP(A39,[19]LISTADHERENT!A$5:H$60,3,0)</f>
        <v>YOUMBI EMMANUEL</v>
      </c>
      <c r="C39" s="36"/>
      <c r="D39" s="36"/>
      <c r="E39" s="36">
        <f>VLOOKUP($A39,[29]HISTOJANV24!$A$6:$BA$38,48,0)</f>
        <v>0</v>
      </c>
      <c r="F39" s="36">
        <f>MVTNOV24!I39-E39+L39</f>
        <v>2234924.8053753586</v>
      </c>
      <c r="G39" s="5">
        <f>IF(MVTNOV24!I39+L39&gt;700000,(MVTNOV24!I39-E39+L39),0)</f>
        <v>2234924.8053753586</v>
      </c>
      <c r="H39" s="36">
        <f t="shared" si="0"/>
        <v>9143.256596049272</v>
      </c>
      <c r="I39" s="6">
        <f t="shared" si="2"/>
        <v>2244068.0619714078</v>
      </c>
      <c r="J39" s="36">
        <f>VLOOKUP($A39,[29]HISTODEC24!$A$6:$AQ$42,22,0)</f>
        <v>0</v>
      </c>
      <c r="K39" s="36">
        <f>VLOOKUP($A39,[29]HISTODEC24!$A$6:$AU$38,45,0)</f>
        <v>25000</v>
      </c>
      <c r="L39" s="36">
        <f t="shared" si="3"/>
        <v>19000</v>
      </c>
      <c r="M39" s="36">
        <f t="shared" si="4"/>
        <v>1000</v>
      </c>
      <c r="N39" s="36">
        <f t="shared" si="1"/>
        <v>1000</v>
      </c>
      <c r="O39" s="36">
        <f t="shared" si="5"/>
        <v>4000</v>
      </c>
      <c r="P39" s="36">
        <f>VLOOKUP($A39,[29]HISTODEC24!$A$6:$AU$38,7,0)</f>
        <v>0</v>
      </c>
      <c r="Q39" s="36">
        <f>VLOOKUP($A39,[29]HISTODEC24!$A$6:$AU$38,23,0)</f>
        <v>0</v>
      </c>
      <c r="R39" s="36">
        <f>VLOOKUP($A39,[29]HISTODEC24!$A$6:$AU$38,46,0)</f>
        <v>0</v>
      </c>
      <c r="S39" s="36">
        <f>VLOOKUP($A39,[29]HISTODEC24!$A$6:$AU$38,26,0)</f>
        <v>500000</v>
      </c>
      <c r="T39" s="36"/>
      <c r="U39" s="36">
        <f>VLOOKUP($A39,[29]HISTODEC24!$A$6:$AU$38,28,0)</f>
        <v>0</v>
      </c>
      <c r="V39" s="36">
        <f>VLOOKUP($A39,[29]HISTODEC24!$A$6:$AU$38,19,0)</f>
        <v>0</v>
      </c>
      <c r="W39" s="36">
        <f>VLOOKUP($A39,[29]HISTODEC24!$A$6:$AU$38,20,0)</f>
        <v>0</v>
      </c>
      <c r="X39" s="36">
        <f>VLOOKUP($A39,[29]HISTODEC24!$A$6:$AU$38,27,0)</f>
        <v>0</v>
      </c>
      <c r="Y39" s="36">
        <f>VLOOKUP($A39,[29]HISTODEC24!$A$6:$BM$38,33,0)</f>
        <v>0</v>
      </c>
      <c r="Z39" s="36">
        <f>VLOOKUP($A39,[29]HISTODEC24!$A$6:$BM$38,65,0)</f>
        <v>0</v>
      </c>
      <c r="AA39" s="36"/>
      <c r="AB39" s="36">
        <f>VLOOKUP($A39,[29]HISTODEC24!$A$6:$AU$38,43,0)</f>
        <v>0</v>
      </c>
      <c r="AC39" s="36">
        <f>VLOOKUP($A39,[29]HISTODEC24!$A$6:$AU$38,44,0)</f>
        <v>0</v>
      </c>
      <c r="AD39" s="36">
        <f>VLOOKUP($A39,[29]HISTODEC24!$A$6:$AU$38,47,0)</f>
        <v>0</v>
      </c>
      <c r="AE39" s="36">
        <f>VLOOKUP(A39,[29]HISTODEC24!$A$6:$BB$38,54,0)</f>
        <v>0</v>
      </c>
      <c r="AF39" s="36">
        <f>VLOOKUP($A39,[29]HISTODEC24!$A$6:$CB$38,60,0)</f>
        <v>0</v>
      </c>
      <c r="AG39" s="36">
        <f>VLOOKUP($A39,[29]HISTODEC24!$A$6:$CB$38,61,0)</f>
        <v>0</v>
      </c>
      <c r="AH39" s="36">
        <f>VLOOKUP($A39,[29]HISTODEC24!$A$6:$CB$38,62,0)</f>
        <v>0</v>
      </c>
      <c r="AI39" s="36">
        <f>VLOOKUP($A39,[29]HISTODEC24!$A$6:$CB$38,63,0)</f>
        <v>0</v>
      </c>
      <c r="AJ39" s="36">
        <f>VLOOKUP($A39,[29]HISTODEC24!$A$6:$CB$38,64,0)</f>
        <v>0</v>
      </c>
      <c r="AK39" s="36">
        <f>VLOOKUP($A39,[29]HISTODEC24!$A$6:$CB$38,65,0)</f>
        <v>0</v>
      </c>
    </row>
    <row r="40" spans="1:38" x14ac:dyDescent="0.35">
      <c r="A40" s="1"/>
      <c r="B40" s="1"/>
      <c r="C40" s="1"/>
      <c r="D40" s="1"/>
      <c r="E40" s="1"/>
      <c r="F40" s="1"/>
      <c r="G40" s="1"/>
      <c r="H40" s="36"/>
      <c r="I40" s="1"/>
    </row>
    <row r="41" spans="1:38" ht="17.5" x14ac:dyDescent="0.35">
      <c r="A41" s="1" t="s">
        <v>57</v>
      </c>
      <c r="B41" s="1"/>
      <c r="C41" s="9">
        <f t="shared" ref="C41:AL41" si="10">SUM(C6:C40)</f>
        <v>0</v>
      </c>
      <c r="D41" s="9">
        <f t="shared" si="10"/>
        <v>0</v>
      </c>
      <c r="E41" s="9">
        <f t="shared" si="10"/>
        <v>0</v>
      </c>
      <c r="F41" s="9">
        <f t="shared" si="10"/>
        <v>37826406.07312192</v>
      </c>
      <c r="G41" s="9">
        <f t="shared" si="10"/>
        <v>35992939.07312192</v>
      </c>
      <c r="H41" s="36">
        <f t="shared" si="10"/>
        <v>147250.00000000003</v>
      </c>
      <c r="I41" s="9">
        <f t="shared" si="10"/>
        <v>37973656.073121928</v>
      </c>
      <c r="J41" s="9">
        <f t="shared" si="10"/>
        <v>0</v>
      </c>
      <c r="K41" s="9">
        <f t="shared" si="10"/>
        <v>1529500</v>
      </c>
      <c r="L41" s="9">
        <f t="shared" si="10"/>
        <v>1337500</v>
      </c>
      <c r="M41" s="9">
        <f t="shared" si="10"/>
        <v>32000</v>
      </c>
      <c r="N41" s="9">
        <f t="shared" si="10"/>
        <v>32000</v>
      </c>
      <c r="O41" s="9">
        <f t="shared" si="10"/>
        <v>128000</v>
      </c>
      <c r="P41" s="9">
        <f t="shared" si="10"/>
        <v>0</v>
      </c>
      <c r="Q41" s="9">
        <f t="shared" si="10"/>
        <v>0</v>
      </c>
      <c r="R41" s="9">
        <f t="shared" si="10"/>
        <v>0</v>
      </c>
      <c r="S41" s="9">
        <f t="shared" si="10"/>
        <v>15400000</v>
      </c>
      <c r="T41" s="9">
        <f t="shared" si="10"/>
        <v>147250</v>
      </c>
      <c r="U41" s="9">
        <f t="shared" si="10"/>
        <v>0</v>
      </c>
      <c r="V41" s="9">
        <f t="shared" si="10"/>
        <v>11817500</v>
      </c>
      <c r="W41" s="9">
        <f t="shared" si="10"/>
        <v>0</v>
      </c>
      <c r="X41" s="9">
        <f t="shared" si="10"/>
        <v>0</v>
      </c>
      <c r="Y41" s="9">
        <f t="shared" si="10"/>
        <v>0</v>
      </c>
      <c r="Z41" s="9">
        <f t="shared" si="10"/>
        <v>0</v>
      </c>
      <c r="AA41" s="9">
        <f t="shared" si="10"/>
        <v>0</v>
      </c>
      <c r="AB41" s="9">
        <f t="shared" si="10"/>
        <v>0</v>
      </c>
      <c r="AC41" s="9">
        <f t="shared" si="10"/>
        <v>0</v>
      </c>
      <c r="AD41" s="9">
        <f t="shared" si="10"/>
        <v>0</v>
      </c>
      <c r="AE41" s="9">
        <f t="shared" si="10"/>
        <v>371700</v>
      </c>
      <c r="AF41" s="9">
        <f t="shared" si="10"/>
        <v>31000</v>
      </c>
      <c r="AG41" s="9">
        <f t="shared" si="10"/>
        <v>0</v>
      </c>
      <c r="AH41" s="9">
        <f t="shared" si="10"/>
        <v>0</v>
      </c>
      <c r="AI41" s="9">
        <f t="shared" si="10"/>
        <v>100000</v>
      </c>
      <c r="AJ41" s="9">
        <f t="shared" si="10"/>
        <v>0</v>
      </c>
      <c r="AK41" s="9">
        <f t="shared" si="10"/>
        <v>0</v>
      </c>
      <c r="AL41" s="9">
        <f t="shared" si="10"/>
        <v>5026618</v>
      </c>
    </row>
    <row r="44" spans="1:38" x14ac:dyDescent="0.35">
      <c r="G44" s="2"/>
    </row>
  </sheetData>
  <autoFilter ref="A5:V39" xr:uid="{00000000-0009-0000-0000-000011000000}">
    <sortState ref="A5:L48">
      <sortCondition ref="B5:B48"/>
    </sortState>
  </autoFilter>
  <mergeCells count="2">
    <mergeCell ref="AL1:AM1"/>
    <mergeCell ref="K4:P4"/>
  </mergeCells>
  <pageMargins left="0.7" right="0.7" top="0.75" bottom="0.75" header="0.3" footer="0.3"/>
  <pageSetup orientation="portrait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Q45"/>
  <sheetViews>
    <sheetView zoomScale="101" zoomScaleNormal="101" workbookViewId="0">
      <pane xSplit="2" ySplit="6" topLeftCell="Q16" activePane="bottomRight" state="frozen"/>
      <selection activeCell="B43" sqref="B43"/>
      <selection pane="topRight" activeCell="B43" sqref="B43"/>
      <selection pane="bottomLeft" activeCell="B43" sqref="B43"/>
      <selection pane="bottomRight" activeCell="E7" sqref="E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6.81640625" bestFit="1" customWidth="1"/>
    <col min="4" max="4" width="17.54296875" style="157" customWidth="1"/>
    <col min="5" max="5" width="15.7265625" style="2" customWidth="1"/>
    <col min="6" max="6" width="14.90625" style="2" bestFit="1" customWidth="1"/>
    <col min="7" max="7" width="18.36328125" style="2" bestFit="1" customWidth="1"/>
    <col min="8" max="8" width="12.453125" style="2" customWidth="1"/>
    <col min="9" max="9" width="16.81640625" style="2" bestFit="1" customWidth="1"/>
    <col min="10" max="10" width="16.81640625" style="2" customWidth="1"/>
    <col min="11" max="11" width="16.81640625" bestFit="1" customWidth="1"/>
    <col min="12" max="12" width="14.81640625" bestFit="1" customWidth="1"/>
    <col min="15" max="15" width="12.453125" bestFit="1" customWidth="1"/>
    <col min="16" max="16" width="12.453125" style="2" bestFit="1" customWidth="1"/>
    <col min="17" max="17" width="17.1796875" customWidth="1"/>
    <col min="19" max="19" width="14.7265625" customWidth="1"/>
    <col min="20" max="20" width="13.36328125" customWidth="1"/>
    <col min="22" max="22" width="13.08984375" bestFit="1" customWidth="1"/>
    <col min="23" max="23" width="14.6328125" bestFit="1" customWidth="1"/>
    <col min="35" max="35" width="13.08984375" customWidth="1"/>
    <col min="39" max="39" width="13.26953125" bestFit="1" customWidth="1"/>
    <col min="40" max="40" width="13.26953125" customWidth="1"/>
  </cols>
  <sheetData>
    <row r="1" spans="1:43" ht="26" x14ac:dyDescent="0.35">
      <c r="A1" s="1" t="s">
        <v>0</v>
      </c>
      <c r="B1" s="1" t="s">
        <v>1</v>
      </c>
      <c r="C1" s="1"/>
      <c r="P1" s="145"/>
    </row>
    <row r="2" spans="1:43" ht="26" x14ac:dyDescent="0.6">
      <c r="A2" s="1" t="s">
        <v>2</v>
      </c>
      <c r="B2" s="1">
        <v>2024</v>
      </c>
      <c r="C2" s="1"/>
      <c r="K2" s="2">
        <f>1140000-L35</f>
        <v>168000</v>
      </c>
      <c r="P2" s="59"/>
    </row>
    <row r="3" spans="1:43" x14ac:dyDescent="0.35">
      <c r="A3" s="1" t="s">
        <v>3</v>
      </c>
      <c r="B3" s="5"/>
      <c r="C3" s="5"/>
      <c r="P3"/>
    </row>
    <row r="4" spans="1:43" ht="26" x14ac:dyDescent="0.6">
      <c r="C4" s="16"/>
      <c r="D4" s="16"/>
      <c r="E4" s="16"/>
      <c r="F4" s="16"/>
      <c r="G4" s="16"/>
      <c r="H4" s="16"/>
      <c r="I4" s="160"/>
      <c r="J4" s="189"/>
      <c r="K4" s="189"/>
      <c r="L4" s="189"/>
      <c r="M4" s="189"/>
      <c r="N4" s="189"/>
      <c r="O4" s="189"/>
      <c r="P4"/>
      <c r="W4">
        <v>23</v>
      </c>
      <c r="AJ4" s="104"/>
      <c r="AL4" s="2"/>
    </row>
    <row r="5" spans="1:43" x14ac:dyDescent="0.3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>
        <v>30</v>
      </c>
      <c r="AE5">
        <v>31</v>
      </c>
      <c r="AF5">
        <v>32</v>
      </c>
      <c r="AG5">
        <v>33</v>
      </c>
      <c r="AH5">
        <v>34</v>
      </c>
      <c r="AI5">
        <v>35</v>
      </c>
      <c r="AJ5">
        <v>36</v>
      </c>
      <c r="AK5">
        <v>37</v>
      </c>
      <c r="AL5">
        <v>38</v>
      </c>
      <c r="AM5">
        <v>39</v>
      </c>
      <c r="AN5">
        <v>40</v>
      </c>
      <c r="AO5">
        <v>41</v>
      </c>
      <c r="AP5">
        <v>42</v>
      </c>
      <c r="AQ5">
        <v>43</v>
      </c>
    </row>
    <row r="6" spans="1:43" ht="56.5" x14ac:dyDescent="0.35">
      <c r="A6" s="1" t="s">
        <v>4</v>
      </c>
      <c r="B6" s="1" t="s">
        <v>5</v>
      </c>
      <c r="C6" s="4" t="s">
        <v>212</v>
      </c>
      <c r="D6" s="4" t="s">
        <v>324</v>
      </c>
      <c r="E6" s="4" t="s">
        <v>213</v>
      </c>
      <c r="F6" s="4" t="s">
        <v>214</v>
      </c>
      <c r="G6" s="4" t="s">
        <v>332</v>
      </c>
      <c r="H6" s="158" t="s">
        <v>330</v>
      </c>
      <c r="I6" s="4" t="s">
        <v>7</v>
      </c>
      <c r="J6" s="1" t="s">
        <v>8</v>
      </c>
      <c r="K6" s="4" t="s">
        <v>60</v>
      </c>
      <c r="L6" s="1" t="s">
        <v>9</v>
      </c>
      <c r="M6" s="4" t="s">
        <v>10</v>
      </c>
      <c r="N6" s="4" t="s">
        <v>11</v>
      </c>
      <c r="O6" s="4" t="s">
        <v>12</v>
      </c>
      <c r="P6" s="4" t="s">
        <v>72</v>
      </c>
      <c r="Q6" s="4" t="s">
        <v>73</v>
      </c>
      <c r="R6" s="4" t="s">
        <v>13</v>
      </c>
      <c r="S6" s="4" t="s">
        <v>61</v>
      </c>
      <c r="T6" s="4" t="s">
        <v>331</v>
      </c>
      <c r="U6" s="4" t="s">
        <v>83</v>
      </c>
      <c r="V6" s="4" t="s">
        <v>64</v>
      </c>
      <c r="W6" s="4" t="s">
        <v>334</v>
      </c>
      <c r="X6" s="4" t="s">
        <v>209</v>
      </c>
      <c r="Y6" s="4" t="s">
        <v>83</v>
      </c>
      <c r="Z6" s="4" t="s">
        <v>65</v>
      </c>
      <c r="AA6" s="4" t="s">
        <v>14</v>
      </c>
      <c r="AB6" s="4" t="s">
        <v>210</v>
      </c>
      <c r="AC6" s="4" t="s">
        <v>211</v>
      </c>
      <c r="AD6" s="83" t="s">
        <v>216</v>
      </c>
      <c r="AE6" s="4" t="s">
        <v>254</v>
      </c>
      <c r="AF6" s="83" t="s">
        <v>10</v>
      </c>
      <c r="AG6" s="83" t="s">
        <v>11</v>
      </c>
      <c r="AH6" s="83" t="s">
        <v>303</v>
      </c>
      <c r="AI6" s="83" t="s">
        <v>269</v>
      </c>
      <c r="AJ6" s="4" t="s">
        <v>65</v>
      </c>
      <c r="AK6" s="83" t="s">
        <v>274</v>
      </c>
      <c r="AL6" s="83" t="s">
        <v>321</v>
      </c>
      <c r="AM6" s="83" t="s">
        <v>333</v>
      </c>
      <c r="AN6" s="83" t="s">
        <v>335</v>
      </c>
      <c r="AO6" s="83" t="s">
        <v>322</v>
      </c>
      <c r="AP6" s="83" t="s">
        <v>210</v>
      </c>
      <c r="AQ6" s="83" t="s">
        <v>325</v>
      </c>
    </row>
    <row r="7" spans="1:43" ht="15.5" x14ac:dyDescent="0.35">
      <c r="A7" s="1" t="s">
        <v>16</v>
      </c>
      <c r="B7" s="1" t="str">
        <f>VLOOKUP(A7,[19]LISTADHERENT!A$5:H$60,3,0)</f>
        <v>ASELBY</v>
      </c>
      <c r="C7" s="36">
        <f>+MVTDEC23!C6</f>
        <v>0</v>
      </c>
      <c r="D7" s="36">
        <f>+MVTDEC23!D6</f>
        <v>886523.25892224163</v>
      </c>
      <c r="E7" s="36">
        <f>VLOOKUP($A7,[29]HISTODEC24!$A$6:$BA$38,48,0)</f>
        <v>0</v>
      </c>
      <c r="F7" s="36">
        <f>MVTDEC244!F6</f>
        <v>956757.45601743239</v>
      </c>
      <c r="G7" s="5">
        <f>MVTDEC244!G6</f>
        <v>956757.45601743239</v>
      </c>
      <c r="H7" s="36">
        <f>MVTDEC23!H6+MVTJANV24!H6+MVTFEV24!H6+MVTMARS24!H6+MVTAVRIL24!H6+MVTMAI24!H6+MVTJUIN24!H6+MVTJUIL24!H6+MVTAOUT24!H6+MVTSEPT24!H6+MVTOCT24!H6+MVTNOV24!H6+MVTDEC244!H6</f>
        <v>74148.368569555823</v>
      </c>
      <c r="I7" s="6">
        <f>F7+H7</f>
        <v>1030905.8245869882</v>
      </c>
      <c r="J7" s="36">
        <f>MVTJANV24!J6+MVTFEV24!J6+MVTMARS24!J6+MVTAVRIL24!J6+MVTMAI24!J6+MVTJUIN24!J6+MVTJUIL24!J6+MVTAOUT24!J6+MVTSEPT24!J6+MVTOCT24!J6+MVTNOV24!J6+MVTDEC244!J6</f>
        <v>0</v>
      </c>
      <c r="K7" s="36">
        <f>MVTJANV24!K6+MVTFEV24!K6+MVTMARS24!K6+MVTAVRIL24!K6+MVTMAI24!K6+MVTJUIN24!K6+MVTJUIL24!K6+MVTAOUT24!K6+MVTSEPT24!K6+MVTOCT24!K6+MVTNOV24!K6+MVTDEC244!K6</f>
        <v>0</v>
      </c>
      <c r="L7" s="36">
        <f>MVTJANV24!L6+MVTFEV24!L6+MVTMARS24!L6+MVTAVRIL24!L6+MVTMAI24!L6+MVTJUIN24!L6+MVTJUIL24!L6+MVTAOUT24!L6+MVTSEPT24!L6+MVTOCT24!L6+MVTNOV24!L6+MVTDEC244!L6+62000</f>
        <v>62000</v>
      </c>
      <c r="M7" s="36">
        <f>MVTJANV24!M6+MVTFEV24!M6+MVTMARS24!M6+MVTAVRIL24!M6+MVTMAI24!M6+MVTJUIN24!M6+MVTJUIL24!M6+MVTAOUT24!M6+MVTSEPT24!M6+MVTOCT24!M6+MVTNOV24!M6+MVTDEC244!M6</f>
        <v>0</v>
      </c>
      <c r="N7" s="36">
        <f>MVTJANV24!N6+MVTFEV24!N6+MVTMARS24!N6+MVTAVRIL24!N6+MVTMAI24!N6+MVTJUIN24!N6+MVTJUIL24!N6+MVTAOUT24!N6+MVTSEPT24!N6+MVTOCT24!N6+MVTNOV24!N6+MVTDEC244!N6</f>
        <v>0</v>
      </c>
      <c r="O7" s="36">
        <f>MVTJANV24!O6+MVTFEV24!O6+MVTMARS24!O6+MVTAVRIL24!O6+MVTMAI24!O6+MVTJUIN24!O6+MVTJUIL24!O6+MVTAOUT24!O6+MVTSEPT24!O6+MVTOCT24!O6+MVTNOV24!O6+MVTDEC244!O6</f>
        <v>0</v>
      </c>
      <c r="P7" s="36">
        <f>MVTJANV24!P6+MVTFEV24!P6+MVTMARS24!P6+MVTAVRIL24!P6+MVTMAI24!P6+MVTJUIN24!P6+MVTJUIL24!P6+MVTAOUT24!P6+MVTSEPT24!P6+MVTOCT24!P6+MVTNOV24!P6+MVTDEC244!P6</f>
        <v>0</v>
      </c>
      <c r="Q7" s="36">
        <f>MVTJANV24!Q6+MVTFEV24!Q6+MVTMARS24!Q6+MVTAVRIL24!Q6+MVTMAI24!Q6+MVTJUIN24!Q6+MVTJUIL24!Q6+MVTAOUT24!Q6+MVTSEPT24!Q6+MVTOCT24!Q6+MVTNOV24!Q6+MVTDEC244!Q6</f>
        <v>0</v>
      </c>
      <c r="R7" s="36">
        <f>MVTJANV24!R6+MVTFEV24!R6+MVTMARS24!R6+MVTAVRIL24!R6+MVTMAI24!R6+MVTJUIN24!R6+MVTJUIL24!R6+MVTAOUT24!R6+MVTSEPT24!R6+MVTOCT24!R6+MVTNOV24!R6+MVTDEC244!R6</f>
        <v>0</v>
      </c>
      <c r="S7" s="36">
        <f>MVTDEC23!S6+MVTJANV24!S6+MVTFEV24!S6+MVTMARS24!S6+MVTAVRIL24!S6+MVTMAI24!S6+MVTJUIN24!S6+MVTJUIL24!S6+MVTAOUT24!S6+MVTSEPT24!S6+MVTOCT24!S6+MVTNOV24!S6+MVTDEC244!S6</f>
        <v>0</v>
      </c>
      <c r="T7" s="36">
        <f>MVTDEC23!T6+MVTJANV24!T6+MVTFEV24!T6+MVTMARS24!T6+MVTAVRIL24!T6+MVTMAI24!T6+MVTJUIN24!T6+MVTJUIL24!T6+MVTAOUT24!T6+MVTSEPT24!T6+MVTOCT24!T6+MVTNOV24!T6+MVTDEC244!T6</f>
        <v>0</v>
      </c>
      <c r="U7" s="36"/>
      <c r="V7" s="36">
        <f>MVTJANV24!V6+MVTFEV24!V6+MVTMARS24!V6+MVTAVRIL24!V6+MVTMAI24!V6+MVTJUIN24!V6+MVTJUIL24!V6+MVTAOUT24!V6+MVTSEPT24!V6+MVTOCT24!V6+MVTNOV24!V6+MVTDEC244!V6</f>
        <v>0</v>
      </c>
      <c r="W7" s="36">
        <f>S7-V7</f>
        <v>0</v>
      </c>
      <c r="X7" s="36"/>
      <c r="Y7" s="36"/>
      <c r="Z7" s="36">
        <f>MVTJANV24!Z6+MVTFEV24!Z6+MVTMARS24!Z6+MVTAVRIL24!Z6+MVTMAI24!Z6+MVTJUIN24!Z6+MVTJUIL24!Z6+MVTAOUT24!Z6+MVTSEPT24!Z6+MVTOCT24!Z6+MVTNOV24!Z6+MVTDEC244!Z6</f>
        <v>0</v>
      </c>
      <c r="AA7" s="36">
        <f>MVTJANV24!AA6+MVTFEV24!AA6+MVTMARS24!AA6+MVTAVRIL24!AA6+MVTMAI24!AA6+MVTJUIN24!AA6+MVTJUIL24!AA6+MVTAOUT24!AA6+MVTSEPT24!AA6+MVTOCT24!AA6+MVTNOV24!AA6+MVTDEC244!AA6</f>
        <v>0</v>
      </c>
      <c r="AB7" s="36">
        <f>MVTJANV24!AB6+MVTFEV24!AB6+MVTMARS24!AB6+MVTAVRIL24!AB6+MVTMAI24!AB6+MVTJUIN24!AB6+MVTJUIL24!AB6+MVTAOUT24!AB6+MVTSEPT24!AB6+MVTOCT24!AB6+MVTNOV24!AB6+MVTDEC244!AB6</f>
        <v>0</v>
      </c>
      <c r="AC7" s="36">
        <f>MVTJANV24!AC6+MVTFEV24!AC6+MVTMARS24!AC6+MVTAVRIL24!AC6+MVTMAI24!AC6+MVTJUIN24!AC6+MVTJUIL24!AC6+MVTAOUT24!AC6+MVTSEPT24!AC6+MVTOCT24!AC6+MVTNOV24!AC6+MVTDEC244!AC6</f>
        <v>0</v>
      </c>
      <c r="AD7" s="36">
        <f>MVTJANV24!AD6+MVTFEV24!AD6+MVTMARS24!AD6+MVTAVRIL24!AD6+MVTMAI24!AD6+MVTJUIN24!AD6+MVTJUIL24!AD6+MVTAOUT24!AD6+MVTSEPT24!AD6+MVTOCT24!AD6+MVTNOV24!AD6+MVTDEC244!AD6</f>
        <v>0</v>
      </c>
      <c r="AE7" s="36">
        <f>MVTJANV24!AE6+MVTFEV24!AE6+MVTMARS24!AE6+MVTAVRIL24!AE6+MVTMAI24!AE6+MVTJUIN24!AE6+MVTJUIL24!AE6+MVTAOUT24!AE6+MVTSEPT24!AE6+MVTOCT24!AE6+MVTNOV24!AE6+MVTDEC244!AE6</f>
        <v>0</v>
      </c>
      <c r="AF7" s="36">
        <f>MVTJANV24!AF6+MVTFEV24!AF6+MVTMARS24!AF6+MVTAVRIL24!AF6+MVTMAI24!AF6+MVTJUIN24!AF6+MVTJUIL24!AF6+MVTAOUT24!AF6+MVTSEPT24!AF6+MVTOCT24!AF6+MVTNOV24!AF6+MVTDEC244!AF6</f>
        <v>301000</v>
      </c>
      <c r="AG7" s="36">
        <f>MVTJANV24!AG6+MVTFEV24!AG6+MVTMARS24!AG6+MVTAVRIL24!AG6+MVTMAI24!AG6+MVTJUIN24!AG6+MVTJUIL24!AG6+MVTAOUT24!AG6+MVTSEPT24!AG6+MVTOCT24!AG6+MVTNOV24!AG6+MVTDEC244!AG6</f>
        <v>909500</v>
      </c>
      <c r="AH7" s="36">
        <f>MVTJANV24!AH6+MVTFEV24!AH6+MVTMARS24!AH6+MVTAVRIL24!AH6+MVTMAI24!AH6+MVTJUIN24!AH6+MVTJUIL24!AH6+MVTAOUT24!AH6+MVTSEPT24!AH6+MVTOCT24!AH6+MVTNOV24!AH6+MVTDEC244!AH6</f>
        <v>200000</v>
      </c>
      <c r="AI7" s="36">
        <f>MVTJANV24!AI6+MVTFEV24!AI6+MVTMARS24!AI6+MVTAVRIL24!AI6+MVTMAI24!AI6+MVTJUIN24!AI6+MVTJUIL24!AI6+MVTAOUT24!AI6+MVTSEPT24!AI6+MVTOCT24!AI6+MVTNOV24!AI6+MVTDEC244!AI6</f>
        <v>300000</v>
      </c>
      <c r="AJ7" s="36">
        <f>MVTJANV24!AJ6+MVTFEV24!AJ6+MVTMARS24!AJ6+MVTAVRIL24!AJ6+MVTMAI24!AJ6+MVTJUIN24!AJ6+MVTJUIL24!AJ6+MVTAOUT24!AJ6+MVTSEPT24!AJ6+MVTOCT24!AJ6+MVTNOV24!AJ6+MVTDEC244!AJ6</f>
        <v>0</v>
      </c>
      <c r="AK7" s="36">
        <f>MVTJANV24!AK6+MVTFEV24!AK6+MVTMARS24!AK6+MVTAVRIL24!AK6+MVTMAI24!AK6+MVTJUIN24!AK6+MVTJUIL24!AK6+MVTAOUT24!AK6+MVTSEPT24!AK6+MVTOCT24!AK6+MVTNOV24!AK6+MVTDEC244!AK6</f>
        <v>0</v>
      </c>
      <c r="AL7" s="143"/>
      <c r="AM7" s="144">
        <f>T7</f>
        <v>0</v>
      </c>
      <c r="AN7" s="144">
        <f>MVTJANV24!AL6+MVTFEV24!AL6+MVTMARS24!AL6+MVTAVRIL24!AL6+MVTMAI24!AL6+MVTJUIN24!AL6+MVTJUIL24!AL6+MVTAOUT24!AL6+MVTSEPT24!AL6+MVTOCT24!AL6+MVTNOV24!AL6+MVTDEC244!AL6</f>
        <v>9326618</v>
      </c>
      <c r="AQ7" s="36"/>
    </row>
    <row r="8" spans="1:43" ht="15.5" x14ac:dyDescent="0.35">
      <c r="A8" s="1" t="s">
        <v>17</v>
      </c>
      <c r="B8" s="1" t="str">
        <f>VLOOKUP(A8,[19]LISTADHERENT!A$5:H$60,3,0)</f>
        <v>BAKOP ACHILLE</v>
      </c>
      <c r="C8" s="36"/>
      <c r="D8" s="36">
        <f>+MVTDEC23!D7+678482</f>
        <v>1356964</v>
      </c>
      <c r="E8" s="36">
        <f>VLOOKUP($A8,[29]HISTODEC24!$A$6:$BA$38,48,0)</f>
        <v>0</v>
      </c>
      <c r="F8" s="36">
        <f>MVTDEC244!F7</f>
        <v>927954.0172185261</v>
      </c>
      <c r="G8" s="5">
        <f>MVTDEC244!G7</f>
        <v>927954.0172185261</v>
      </c>
      <c r="H8" s="36">
        <f>MVTDEC23!H7+MVTJANV24!H7+MVTFEV24!H7+MVTMARS24!H7+MVTAVRIL24!H7+MVTMAI24!H7+MVTJUIN24!H7+MVTJUIL24!H7+MVTAOUT24!H7+MVTSEPT24!H7+MVTOCT24!H7+MVTNOV24!H7+MVTDEC244!H7</f>
        <v>17268.351515034443</v>
      </c>
      <c r="I8" s="6">
        <f t="shared" ref="I8:I40" si="0">F8+H8</f>
        <v>945222.36873356055</v>
      </c>
      <c r="J8" s="36">
        <f>MVTJANV24!J7+MVTFEV24!J7+MVTMARS24!J7+MVTAVRIL24!J7+MVTMAI24!J7+MVTJUIN24!J7+MVTJUIL24!J7+MVTAOUT24!J7+MVTSEPT24!J7+MVTOCT24!J7+MVTNOV24!J7+MVTDEC244!J7</f>
        <v>0</v>
      </c>
      <c r="K8" s="36">
        <f>MVTJANV24!K7+MVTFEV24!K7+MVTMARS24!K7+MVTAVRIL24!K7+MVTMAI24!K7+MVTJUIN24!K7+MVTJUIL24!K7+MVTAOUT24!K7+MVTSEPT24!K7+MVTOCT24!K7+MVTNOV24!K7+MVTDEC244!K7</f>
        <v>308000</v>
      </c>
      <c r="L8" s="36">
        <f>MVTJANV24!L7+MVTFEV24!L7+MVTMARS24!L7+MVTAVRIL24!L7+MVTMAI24!L7+MVTJUIN24!L7+MVTJUIL24!L7+MVTAOUT24!L7+MVTSEPT24!L7+MVTOCT24!L7+MVTNOV24!L7+MVTDEC244!L7</f>
        <v>236000</v>
      </c>
      <c r="M8" s="36">
        <f>MVTJANV24!M7+MVTFEV24!M7+MVTMARS24!M7+MVTAVRIL24!M7+MVTMAI24!M7+MVTJUIN24!M7+MVTJUIL24!M7+MVTAOUT24!M7+MVTSEPT24!M7+MVTOCT24!M7+MVTNOV24!M7+MVTDEC244!M7</f>
        <v>12000</v>
      </c>
      <c r="N8" s="36">
        <f>MVTJANV24!N7+MVTFEV24!N7+MVTMARS24!N7+MVTAVRIL24!N7+MVTMAI24!N7+MVTJUIN24!N7+MVTJUIL24!N7+MVTAOUT24!N7+MVTSEPT24!N7+MVTOCT24!N7+MVTNOV24!N7+MVTDEC244!N7</f>
        <v>12000</v>
      </c>
      <c r="O8" s="36">
        <f>MVTJANV24!O7+MVTFEV24!O7+MVTMARS24!O7+MVTAVRIL24!O7+MVTMAI24!O7+MVTJUIN24!O7+MVTJUIL24!O7+MVTAOUT24!O7+MVTSEPT24!O7+MVTOCT24!O7+MVTNOV24!O7+MVTDEC244!O7</f>
        <v>48000</v>
      </c>
      <c r="P8" s="36">
        <f>MVTJANV24!P7+MVTFEV24!P7+MVTMARS24!P7+MVTAVRIL24!P7+MVTMAI24!P7+MVTJUIN24!P7+MVTJUIL24!P7+MVTAOUT24!P7+MVTSEPT24!P7+MVTOCT24!P7+MVTNOV24!P7+MVTDEC244!P7</f>
        <v>12000</v>
      </c>
      <c r="Q8" s="36">
        <f>MVTJANV24!Q7+MVTFEV24!Q7+MVTMARS24!Q7+MVTAVRIL24!Q7+MVTMAI24!Q7+MVTJUIN24!Q7+MVTJUIL24!Q7+MVTAOUT24!Q7+MVTSEPT24!Q7+MVTOCT24!Q7+MVTNOV24!Q7+MVTDEC244!Q7</f>
        <v>0</v>
      </c>
      <c r="R8" s="36">
        <f>MVTJANV24!R7+MVTFEV24!R7+MVTMARS24!R7+MVTAVRIL24!R7+MVTMAI24!R7+MVTJUIN24!R7+MVTJUIL24!R7+MVTAOUT24!R7+MVTSEPT24!R7+MVTOCT24!R7+MVTNOV24!R7+MVTDEC244!R7</f>
        <v>0</v>
      </c>
      <c r="S8" s="36">
        <f>MVTDEC23!S7+MVTJANV24!S7+MVTFEV24!S7+MVTMARS24!S7+MVTAVRIL24!S7+MVTMAI24!S7+MVTJUIN24!S7+MVTJUIL24!S7+MVTAOUT24!S7+MVTSEPT24!S7+MVTOCT24!S7+MVTNOV24!S7+MVTDEC244!S7</f>
        <v>600000</v>
      </c>
      <c r="T8" s="36">
        <f>MVTDEC23!T7+MVTJANV24!T7+MVTFEV24!T7+MVTMARS24!T7+MVTAVRIL24!T7+MVTMAI24!T7+MVTJUIN24!T7+MVTJUIL24!T7+MVTAOUT24!T7+MVTSEPT24!T7+MVTOCT24!T7+MVTNOV24!T7+MVTDEC244!T7</f>
        <v>117000</v>
      </c>
      <c r="U8" s="36"/>
      <c r="V8" s="36">
        <f>MVTJANV24!V7+MVTFEV24!V7+MVTMARS24!V7+MVTAVRIL24!V7+MVTMAI24!V7+MVTJUIN24!V7+MVTJUIL24!V7+MVTAOUT24!V7+MVTSEPT24!V7+MVTOCT24!V7+MVTNOV24!V7+MVTDEC244!V7</f>
        <v>0</v>
      </c>
      <c r="W8" s="36">
        <f t="shared" ref="W8:W41" si="1">S8-V8</f>
        <v>600000</v>
      </c>
      <c r="X8" s="36"/>
      <c r="Y8" s="36"/>
      <c r="Z8" s="36">
        <f>MVTJANV24!Z7+MVTFEV24!Z7+MVTMARS24!Z7+MVTAVRIL24!Z7+MVTMAI24!Z7+MVTJUIN24!Z7+MVTJUIL24!Z7+MVTAOUT24!Z7+MVTSEPT24!Z7+MVTOCT24!Z7+MVTNOV24!Z7+MVTDEC244!Z7</f>
        <v>0</v>
      </c>
      <c r="AA8" s="36">
        <f>MVTJANV24!AA7+MVTFEV24!AA7+MVTMARS24!AA7+MVTAVRIL24!AA7+MVTMAI24!AA7+MVTJUIN24!AA7+MVTJUIL24!AA7+MVTAOUT24!AA7+MVTSEPT24!AA7+MVTOCT24!AA7+MVTNOV24!AA7+MVTDEC244!AA7</f>
        <v>0</v>
      </c>
      <c r="AB8" s="36">
        <f>MVTJANV24!AB7+MVTFEV24!AB7+MVTMARS24!AB7+MVTAVRIL24!AB7+MVTMAI24!AB7+MVTJUIN24!AB7+MVTJUIL24!AB7+MVTAOUT24!AB7+MVTSEPT24!AB7+MVTOCT24!AB7+MVTNOV24!AB7+MVTDEC244!AB7</f>
        <v>0</v>
      </c>
      <c r="AC8" s="36">
        <f>MVTJANV24!AC7+MVTFEV24!AC7+MVTMARS24!AC7+MVTAVRIL24!AC7+MVTMAI24!AC7+MVTJUIN24!AC7+MVTJUIL24!AC7+MVTAOUT24!AC7+MVTSEPT24!AC7+MVTOCT24!AC7+MVTNOV24!AC7+MVTDEC244!AC7</f>
        <v>0</v>
      </c>
      <c r="AD8" s="36">
        <f>MVTJANV24!AD7+MVTFEV24!AD7+MVTMARS24!AD7+MVTAVRIL24!AD7+MVTMAI24!AD7+MVTJUIN24!AD7+MVTJUIL24!AD7+MVTAOUT24!AD7+MVTSEPT24!AD7+MVTOCT24!AD7+MVTNOV24!AD7+MVTDEC244!AD7</f>
        <v>0</v>
      </c>
      <c r="AE8" s="36">
        <f>MVTJANV24!AE7+MVTFEV24!AE7+MVTMARS24!AE7+MVTAVRIL24!AE7+MVTMAI24!AE7+MVTJUIN24!AE7+MVTJUIL24!AE7+MVTAOUT24!AE7+MVTSEPT24!AE7+MVTOCT24!AE7+MVTNOV24!AE7+MVTDEC244!AE7</f>
        <v>0</v>
      </c>
      <c r="AF8" s="36">
        <f>MVTJANV24!AF7+MVTFEV24!AF7+MVTMARS24!AF7+MVTAVRIL24!AF7+MVTMAI24!AF7+MVTJUIN24!AF7+MVTJUIL24!AF7+MVTAOUT24!AF7+MVTSEPT24!AF7+MVTOCT24!AF7+MVTNOV24!AF7+MVTDEC244!AF7</f>
        <v>0</v>
      </c>
      <c r="AG8" s="36">
        <f>MVTJANV24!AG7+MVTFEV24!AG7+MVTMARS24!AG7+MVTAVRIL24!AG7+MVTMAI24!AG7+MVTJUIN24!AG7+MVTJUIL24!AG7+MVTAOUT24!AG7+MVTSEPT24!AG7+MVTOCT24!AG7+MVTNOV24!AG7+MVTDEC244!AG7</f>
        <v>0</v>
      </c>
      <c r="AH8" s="36">
        <f>MVTJANV24!AH7+MVTFEV24!AH7+MVTMARS24!AH7+MVTAVRIL24!AH7+MVTMAI24!AH7+MVTJUIN24!AH7+MVTJUIL24!AH7+MVTAOUT24!AH7+MVTSEPT24!AH7+MVTOCT24!AH7+MVTNOV24!AH7+MVTDEC244!AH7</f>
        <v>0</v>
      </c>
      <c r="AI8" s="36">
        <f>MVTJANV24!AI7+MVTFEV24!AI7+MVTMARS24!AI7+MVTAVRIL24!AI7+MVTMAI24!AI7+MVTJUIN24!AI7+MVTJUIL24!AI7+MVTAOUT24!AI7+MVTSEPT24!AI7+MVTOCT24!AI7+MVTNOV24!AI7+MVTDEC244!AI7</f>
        <v>0</v>
      </c>
      <c r="AJ8" s="36">
        <f>MVTJANV24!AJ7+MVTFEV24!AJ7+MVTMARS24!AJ7+MVTAVRIL24!AJ7+MVTMAI24!AJ7+MVTJUIN24!AJ7+MVTJUIL24!AJ7+MVTAOUT24!AJ7+MVTSEPT24!AJ7+MVTOCT24!AJ7+MVTNOV24!AJ7+MVTDEC244!AJ7</f>
        <v>0</v>
      </c>
      <c r="AK8" s="36">
        <f>MVTJANV24!AK7+MVTFEV24!AK7+MVTMARS24!AK7+MVTAVRIL24!AK7+MVTMAI24!AK7+MVTJUIN24!AK7+MVTJUIL24!AK7+MVTAOUT24!AK7+MVTSEPT24!AK7+MVTOCT24!AK7+MVTNOV24!AK7+MVTDEC244!AK7</f>
        <v>0</v>
      </c>
      <c r="AL8" s="143">
        <v>45474</v>
      </c>
      <c r="AM8" s="144">
        <f t="shared" ref="AM8:AM40" si="2">T8</f>
        <v>117000</v>
      </c>
      <c r="AN8" s="144">
        <f>MVTJANV24!AL7+MVTFEV24!AL7+MVTMARS24!AL7+MVTAVRIL24!AL7+MVTMAI24!AL7+MVTJUIN24!AL7+MVTJUIL24!AL7+MVTAOUT24!AL7+MVTSEPT24!AL7+MVTOCT24!AL7+MVTNOV24!AL7+MVTDEC244!AL7</f>
        <v>0</v>
      </c>
      <c r="AQ8" s="36"/>
    </row>
    <row r="9" spans="1:43" ht="15.5" x14ac:dyDescent="0.35">
      <c r="A9" s="1" t="s">
        <v>19</v>
      </c>
      <c r="B9" s="1" t="str">
        <f>VLOOKUP(A9,[19]LISTADHERENT!A$5:H$60,3,0)</f>
        <v>BOUTCHOUANG WILLIAM</v>
      </c>
      <c r="C9" s="36">
        <f>+MVTDEC23!C8</f>
        <v>700000</v>
      </c>
      <c r="D9" s="36">
        <f>+MVTDEC23!D8</f>
        <v>33.12626320522395</v>
      </c>
      <c r="E9" s="36">
        <f>VLOOKUP($A9,[29]HISTODEC24!$A$6:$BA$38,48,0)</f>
        <v>0</v>
      </c>
      <c r="F9" s="36">
        <f>MVTDEC244!F8</f>
        <v>982346.23247952305</v>
      </c>
      <c r="G9" s="5">
        <f>MVTDEC244!G8</f>
        <v>982346.23247952305</v>
      </c>
      <c r="H9" s="36">
        <f>MVTDEC23!H8+MVTJANV24!H8+MVTFEV24!H8+MVTMARS24!H8+MVTAVRIL24!H8+MVTMAI24!H8+MVTJUIN24!H8+MVTJUIL24!H8+MVTAOUT24!H8+MVTSEPT24!H8+MVTOCT24!H8+MVTNOV24!H8+MVTDEC244!H8</f>
        <v>61331.963427137409</v>
      </c>
      <c r="I9" s="6">
        <f t="shared" si="0"/>
        <v>1043678.1959066605</v>
      </c>
      <c r="J9" s="36">
        <f>MVTJANV24!J8+MVTFEV24!J8+MVTMARS24!J8+MVTAVRIL24!J8+MVTMAI24!J8+MVTJUIN24!J8+MVTJUIL24!J8+MVTAOUT24!J8+MVTSEPT24!J8+MVTOCT24!J8+MVTNOV24!J8+MVTDEC244!J8</f>
        <v>0</v>
      </c>
      <c r="K9" s="36">
        <f>MVTJANV24!K8+MVTFEV24!K8+MVTMARS24!K8+MVTAVRIL24!K8+MVTMAI24!K8+MVTJUIN24!K8+MVTJUIL24!K8+MVTAOUT24!K8+MVTSEPT24!K8+MVTOCT24!K8+MVTNOV24!K8+MVTDEC244!K8</f>
        <v>297000</v>
      </c>
      <c r="L9" s="36">
        <f>MVTJANV24!L8+MVTFEV24!L8+MVTMARS24!L8+MVTAVRIL24!L8+MVTMAI24!L8+MVTJUIN24!L8+MVTJUIL24!L8+MVTAOUT24!L8+MVTSEPT24!L8+MVTOCT24!L8+MVTNOV24!L8+MVTDEC244!L8</f>
        <v>225000</v>
      </c>
      <c r="M9" s="36">
        <f>MVTJANV24!M8+MVTFEV24!M8+MVTMARS24!M8+MVTAVRIL24!M8+MVTMAI24!M8+MVTJUIN24!M8+MVTJUIL24!M8+MVTAOUT24!M8+MVTSEPT24!M8+MVTOCT24!M8+MVTNOV24!M8+MVTDEC244!M8</f>
        <v>12000</v>
      </c>
      <c r="N9" s="36">
        <f>MVTJANV24!N8+MVTFEV24!N8+MVTMARS24!N8+MVTAVRIL24!N8+MVTMAI24!N8+MVTJUIN24!N8+MVTJUIL24!N8+MVTAOUT24!N8+MVTSEPT24!N8+MVTOCT24!N8+MVTNOV24!N8+MVTDEC244!N8</f>
        <v>12000</v>
      </c>
      <c r="O9" s="36">
        <f>MVTJANV24!O8+MVTFEV24!O8+MVTMARS24!O8+MVTAVRIL24!O8+MVTMAI24!O8+MVTJUIN24!O8+MVTJUIL24!O8+MVTAOUT24!O8+MVTSEPT24!O8+MVTOCT24!O8+MVTNOV24!O8+MVTDEC244!O8</f>
        <v>48000</v>
      </c>
      <c r="P9" s="36">
        <f>MVTJANV24!P8+MVTFEV24!P8+MVTMARS24!P8+MVTAVRIL24!P8+MVTMAI24!P8+MVTJUIN24!P8+MVTJUIL24!P8+MVTAOUT24!P8+MVTSEPT24!P8+MVTOCT24!P8+MVTNOV24!P8+MVTDEC244!P8</f>
        <v>6000</v>
      </c>
      <c r="Q9" s="36">
        <f>MVTJANV24!Q8+MVTFEV24!Q8+MVTMARS24!Q8+MVTAVRIL24!Q8+MVTMAI24!Q8+MVTJUIN24!Q8+MVTJUIL24!Q8+MVTAOUT24!Q8+MVTSEPT24!Q8+MVTOCT24!Q8+MVTNOV24!Q8+MVTDEC244!Q8</f>
        <v>0</v>
      </c>
      <c r="R9" s="36">
        <f>MVTJANV24!R8+MVTFEV24!R8+MVTMARS24!R8+MVTAVRIL24!R8+MVTMAI24!R8+MVTJUIN24!R8+MVTJUIL24!R8+MVTAOUT24!R8+MVTSEPT24!R8+MVTOCT24!R8+MVTNOV24!R8+MVTDEC244!R8</f>
        <v>0</v>
      </c>
      <c r="S9" s="36">
        <f>MVTDEC23!S8+MVTJANV24!S8+MVTFEV24!S8+MVTMARS24!S8+MVTAVRIL24!S8+MVTMAI24!S8+MVTJUIN24!S8+MVTJUIL24!S8+MVTAOUT24!S8+MVTSEPT24!S8+MVTOCT24!S8+MVTNOV24!S8+MVTDEC244!S8</f>
        <v>1000000</v>
      </c>
      <c r="T9" s="36">
        <f>MVTDEC23!T8+MVTJANV24!T8+MVTFEV24!T8+MVTMARS24!T8+MVTAVRIL24!T8+MVTMAI24!T8+MVTJUIN24!T8+MVTJUIL24!T8+MVTAOUT24!T8+MVTSEPT24!T8+MVTOCT24!T8+MVTNOV24!T8+MVTDEC244!T8</f>
        <v>60000</v>
      </c>
      <c r="U9" s="36"/>
      <c r="V9" s="36">
        <f>MVTJANV24!V8+MVTFEV24!V8+MVTMARS24!V8+MVTAVRIL24!V8+MVTMAI24!V8+MVTJUIN24!V8+MVTJUIL24!V8+MVTAOUT24!V8+MVTSEPT24!V8+MVTOCT24!V8+MVTNOV24!V8+MVTDEC244!V8</f>
        <v>500000</v>
      </c>
      <c r="W9" s="36">
        <f t="shared" si="1"/>
        <v>500000</v>
      </c>
      <c r="X9" s="36"/>
      <c r="Y9" s="36"/>
      <c r="Z9" s="36">
        <f>MVTJANV24!Z8+MVTFEV24!Z8+MVTMARS24!Z8+MVTAVRIL24!Z8+MVTMAI24!Z8+MVTJUIN24!Z8+MVTJUIL24!Z8+MVTAOUT24!Z8+MVTSEPT24!Z8+MVTOCT24!Z8+MVTNOV24!Z8+MVTDEC244!Z8</f>
        <v>0</v>
      </c>
      <c r="AA9" s="36">
        <f>MVTJANV24!AA8+MVTFEV24!AA8+MVTMARS24!AA8+MVTAVRIL24!AA8+MVTMAI24!AA8+MVTJUIN24!AA8+MVTJUIL24!AA8+MVTAOUT24!AA8+MVTSEPT24!AA8+MVTOCT24!AA8+MVTNOV24!AA8+MVTDEC244!AA8</f>
        <v>0</v>
      </c>
      <c r="AB9" s="36">
        <f>MVTJANV24!AB8+MVTFEV24!AB8+MVTMARS24!AB8+MVTAVRIL24!AB8+MVTMAI24!AB8+MVTJUIN24!AB8+MVTJUIL24!AB8+MVTAOUT24!AB8+MVTSEPT24!AB8+MVTOCT24!AB8+MVTNOV24!AB8+MVTDEC244!AB8</f>
        <v>0</v>
      </c>
      <c r="AC9" s="36">
        <f>MVTJANV24!AC8+MVTFEV24!AC8+MVTMARS24!AC8+MVTAVRIL24!AC8+MVTMAI24!AC8+MVTJUIN24!AC8+MVTJUIL24!AC8+MVTAOUT24!AC8+MVTSEPT24!AC8+MVTOCT24!AC8+MVTNOV24!AC8+MVTDEC244!AC8</f>
        <v>0</v>
      </c>
      <c r="AD9" s="36">
        <f>MVTJANV24!AD8+MVTFEV24!AD8+MVTMARS24!AD8+MVTAVRIL24!AD8+MVTMAI24!AD8+MVTJUIN24!AD8+MVTJUIL24!AD8+MVTAOUT24!AD8+MVTSEPT24!AD8+MVTOCT24!AD8+MVTNOV24!AD8+MVTDEC244!AD8</f>
        <v>0</v>
      </c>
      <c r="AE9" s="36">
        <f>MVTJANV24!AE8+MVTFEV24!AE8+MVTMARS24!AE8+MVTAVRIL24!AE8+MVTMAI24!AE8+MVTJUIN24!AE8+MVTJUIL24!AE8+MVTAOUT24!AE8+MVTSEPT24!AE8+MVTOCT24!AE8+MVTNOV24!AE8+MVTDEC244!AE8</f>
        <v>0</v>
      </c>
      <c r="AF9" s="36">
        <f>MVTJANV24!AF8+MVTFEV24!AF8+MVTMARS24!AF8+MVTAVRIL24!AF8+MVTMAI24!AF8+MVTJUIN24!AF8+MVTJUIL24!AF8+MVTAOUT24!AF8+MVTSEPT24!AF8+MVTOCT24!AF8+MVTNOV24!AF8+MVTDEC244!AF8</f>
        <v>0</v>
      </c>
      <c r="AG9" s="36">
        <f>MVTJANV24!AG8+MVTFEV24!AG8+MVTMARS24!AG8+MVTAVRIL24!AG8+MVTMAI24!AG8+MVTJUIN24!AG8+MVTJUIL24!AG8+MVTAOUT24!AG8+MVTSEPT24!AG8+MVTOCT24!AG8+MVTNOV24!AG8+MVTDEC244!AG8</f>
        <v>0</v>
      </c>
      <c r="AH9" s="36">
        <f>MVTJANV24!AH8+MVTFEV24!AH8+MVTMARS24!AH8+MVTAVRIL24!AH8+MVTMAI24!AH8+MVTJUIN24!AH8+MVTJUIL24!AH8+MVTAOUT24!AH8+MVTSEPT24!AH8+MVTOCT24!AH8+MVTNOV24!AH8+MVTDEC244!AH8</f>
        <v>0</v>
      </c>
      <c r="AI9" s="36">
        <f>MVTJANV24!AI8+MVTFEV24!AI8+MVTMARS24!AI8+MVTAVRIL24!AI8+MVTMAI24!AI8+MVTJUIN24!AI8+MVTJUIL24!AI8+MVTAOUT24!AI8+MVTSEPT24!AI8+MVTOCT24!AI8+MVTNOV24!AI8+MVTDEC244!AI8</f>
        <v>0</v>
      </c>
      <c r="AJ9" s="36">
        <f>MVTJANV24!AJ8+MVTFEV24!AJ8+MVTMARS24!AJ8+MVTAVRIL24!AJ8+MVTMAI24!AJ8+MVTJUIN24!AJ8+MVTJUIL24!AJ8+MVTAOUT24!AJ8+MVTSEPT24!AJ8+MVTOCT24!AJ8+MVTNOV24!AJ8+MVTDEC244!AJ8</f>
        <v>7750</v>
      </c>
      <c r="AK9" s="36">
        <f>MVTJANV24!AK8+MVTFEV24!AK8+MVTMARS24!AK8+MVTAVRIL24!AK8+MVTMAI24!AK8+MVTJUIN24!AK8+MVTJUIL24!AK8+MVTAOUT24!AK8+MVTSEPT24!AK8+MVTOCT24!AK8+MVTNOV24!AK8+MVTDEC244!AK8</f>
        <v>0</v>
      </c>
      <c r="AL9" s="143">
        <v>45352</v>
      </c>
      <c r="AM9" s="144">
        <f t="shared" si="2"/>
        <v>60000</v>
      </c>
      <c r="AN9" s="144">
        <f>MVTJANV24!AL8+MVTFEV24!AL8+MVTMARS24!AL8+MVTAVRIL24!AL8+MVTMAI24!AL8+MVTJUIN24!AL8+MVTJUIL24!AL8+MVTAOUT24!AL8+MVTSEPT24!AL8+MVTOCT24!AL8+MVTNOV24!AL8+MVTDEC244!AL8</f>
        <v>0</v>
      </c>
      <c r="AO9" s="144"/>
      <c r="AQ9" s="36"/>
    </row>
    <row r="10" spans="1:43" ht="15.5" x14ac:dyDescent="0.35">
      <c r="A10" s="1" t="s">
        <v>23</v>
      </c>
      <c r="B10" s="1" t="str">
        <f>VLOOKUP(A10,[19]LISTADHERENT!A$5:H$60,3,0)</f>
        <v xml:space="preserve">DJOMO JEAN PAUL </v>
      </c>
      <c r="C10" s="36">
        <f>+MVTDEC23!C9</f>
        <v>700000</v>
      </c>
      <c r="D10" s="36">
        <f>+MVTDEC23!D9</f>
        <v>53357.826243040035</v>
      </c>
      <c r="E10" s="36">
        <f>VLOOKUP($A10,[29]HISTODEC24!$A$6:$BA$38,48,0)</f>
        <v>0</v>
      </c>
      <c r="F10" s="36">
        <f>MVTDEC244!F9</f>
        <v>1035404.4269359384</v>
      </c>
      <c r="G10" s="5">
        <f>MVTDEC244!G9</f>
        <v>1035404.4269359384</v>
      </c>
      <c r="H10" s="36">
        <f>MVTDEC23!H9+MVTJANV24!H9+MVTFEV24!H9+MVTMARS24!H9+MVTAVRIL24!H9+MVTMAI24!H9+MVTJUIN24!H9+MVTJUIL24!H9+MVTAOUT24!H9+MVTSEPT24!H9+MVTOCT24!H9+MVTNOV24!H9+MVTDEC244!H9</f>
        <v>65782.523231943604</v>
      </c>
      <c r="I10" s="6">
        <f t="shared" si="0"/>
        <v>1101186.950167882</v>
      </c>
      <c r="J10" s="36">
        <f>MVTJANV24!J9+MVTFEV24!J9+MVTMARS24!J9+MVTAVRIL24!J9+MVTMAI24!J9+MVTJUIN24!J9+MVTJUIL24!J9+MVTAOUT24!J9+MVTSEPT24!J9+MVTOCT24!J9+MVTNOV24!J9+MVTDEC244!J9</f>
        <v>0</v>
      </c>
      <c r="K10" s="36">
        <f>MVTJANV24!K9+MVTFEV24!K9+MVTMARS24!K9+MVTAVRIL24!K9+MVTMAI24!K9+MVTJUIN24!K9+MVTJUIL24!K9+MVTAOUT24!K9+MVTSEPT24!K9+MVTOCT24!K9+MVTNOV24!K9+MVTDEC244!K9</f>
        <v>292500</v>
      </c>
      <c r="L10" s="36">
        <f>MVTJANV24!L9+MVTFEV24!L9+MVTMARS24!L9+MVTAVRIL24!L9+MVTMAI24!L9+MVTJUIN24!L9+MVTJUIL24!L9+MVTAOUT24!L9+MVTSEPT24!L9+MVTOCT24!L9+MVTNOV24!L9+MVTDEC244!L9</f>
        <v>220500</v>
      </c>
      <c r="M10" s="36">
        <f>MVTJANV24!M9+MVTFEV24!M9+MVTMARS24!M9+MVTAVRIL24!M9+MVTMAI24!M9+MVTJUIN24!M9+MVTJUIL24!M9+MVTAOUT24!M9+MVTSEPT24!M9+MVTOCT24!M9+MVTNOV24!M9+MVTDEC244!M9</f>
        <v>12000</v>
      </c>
      <c r="N10" s="36">
        <f>MVTJANV24!N9+MVTFEV24!N9+MVTMARS24!N9+MVTAVRIL24!N9+MVTMAI24!N9+MVTJUIN24!N9+MVTJUIL24!N9+MVTAOUT24!N9+MVTSEPT24!N9+MVTOCT24!N9+MVTNOV24!N9+MVTDEC244!N9</f>
        <v>12000</v>
      </c>
      <c r="O10" s="36">
        <f>MVTJANV24!O9+MVTFEV24!O9+MVTMARS24!O9+MVTAVRIL24!O9+MVTMAI24!O9+MVTJUIN24!O9+MVTJUIL24!O9+MVTAOUT24!O9+MVTSEPT24!O9+MVTOCT24!O9+MVTNOV24!O9+MVTDEC244!O9</f>
        <v>48000</v>
      </c>
      <c r="P10" s="36">
        <f>MVTJANV24!P9+MVTFEV24!P9+MVTMARS24!P9+MVTAVRIL24!P9+MVTMAI24!P9+MVTJUIN24!P9+MVTJUIL24!P9+MVTAOUT24!P9+MVTSEPT24!P9+MVTOCT24!P9+MVTNOV24!P9+MVTDEC244!P9</f>
        <v>0</v>
      </c>
      <c r="Q10" s="36">
        <f>MVTJANV24!Q9+MVTFEV24!Q9+MVTMARS24!Q9+MVTAVRIL24!Q9+MVTMAI24!Q9+MVTJUIN24!Q9+MVTJUIL24!Q9+MVTAOUT24!Q9+MVTSEPT24!Q9+MVTOCT24!Q9+MVTNOV24!Q9+MVTDEC244!Q9</f>
        <v>0</v>
      </c>
      <c r="R10" s="36">
        <f>MVTJANV24!R9+MVTFEV24!R9+MVTMARS24!R9+MVTAVRIL24!R9+MVTMAI24!R9+MVTJUIN24!R9+MVTJUIL24!R9+MVTAOUT24!R9+MVTSEPT24!R9+MVTOCT24!R9+MVTNOV24!R9+MVTDEC244!R9</f>
        <v>0</v>
      </c>
      <c r="S10" s="36">
        <f>MVTDEC23!S9+MVTJANV24!S9+MVTFEV24!S9+MVTMARS24!S9+MVTAVRIL24!S9+MVTMAI24!S9+MVTJUIN24!S9+MVTJUIL24!S9+MVTAOUT24!S9+MVTSEPT24!S9+MVTOCT24!S9+MVTNOV24!S9+MVTDEC244!S9</f>
        <v>2000000</v>
      </c>
      <c r="T10" s="36">
        <f>MVTDEC23!T9+MVTJANV24!T9+MVTFEV24!T9+MVTMARS24!T9+MVTAVRIL24!T9+MVTMAI24!T9+MVTJUIN24!T9+MVTJUIL24!T9+MVTAOUT24!T9+MVTSEPT24!T9+MVTOCT24!T9+MVTNOV24!T9+MVTDEC244!T9</f>
        <v>120000</v>
      </c>
      <c r="U10" s="36"/>
      <c r="V10" s="36">
        <f>MVTJANV24!V9+MVTFEV24!V9+MVTMARS24!V9+MVTAVRIL24!V9+MVTMAI24!V9+MVTJUIN24!V9+MVTJUIL24!V9+MVTAOUT24!V9+MVTSEPT24!V9+MVTOCT24!V9+MVTNOV24!V9+MVTDEC244!V9</f>
        <v>1000000</v>
      </c>
      <c r="W10" s="36">
        <f t="shared" si="1"/>
        <v>1000000</v>
      </c>
      <c r="X10" s="36"/>
      <c r="Y10" s="36"/>
      <c r="Z10" s="36">
        <f>MVTJANV24!Z9+MVTFEV24!Z9+MVTMARS24!Z9+MVTAVRIL24!Z9+MVTMAI24!Z9+MVTJUIN24!Z9+MVTJUIL24!Z9+MVTAOUT24!Z9+MVTSEPT24!Z9+MVTOCT24!Z9+MVTNOV24!Z9+MVTDEC244!Z9</f>
        <v>0</v>
      </c>
      <c r="AA10" s="36">
        <f>MVTJANV24!AA9+MVTFEV24!AA9+MVTMARS24!AA9+MVTAVRIL24!AA9+MVTMAI24!AA9+MVTJUIN24!AA9+MVTJUIL24!AA9+MVTAOUT24!AA9+MVTSEPT24!AA9+MVTOCT24!AA9+MVTNOV24!AA9+MVTDEC244!AA9</f>
        <v>0</v>
      </c>
      <c r="AB10" s="36">
        <f>MVTJANV24!AB9+MVTFEV24!AB9+MVTMARS24!AB9+MVTAVRIL24!AB9+MVTMAI24!AB9+MVTJUIN24!AB9+MVTJUIL24!AB9+MVTAOUT24!AB9+MVTSEPT24!AB9+MVTOCT24!AB9+MVTNOV24!AB9+MVTDEC244!AB9</f>
        <v>0</v>
      </c>
      <c r="AC10" s="36">
        <f>MVTJANV24!AC9+MVTFEV24!AC9+MVTMARS24!AC9+MVTAVRIL24!AC9+MVTMAI24!AC9+MVTJUIN24!AC9+MVTJUIL24!AC9+MVTAOUT24!AC9+MVTSEPT24!AC9+MVTOCT24!AC9+MVTNOV24!AC9+MVTDEC244!AC9</f>
        <v>0</v>
      </c>
      <c r="AD10" s="36">
        <f>MVTJANV24!AD9+MVTFEV24!AD9+MVTMARS24!AD9+MVTAVRIL24!AD9+MVTMAI24!AD9+MVTJUIN24!AD9+MVTJUIL24!AD9+MVTAOUT24!AD9+MVTSEPT24!AD9+MVTOCT24!AD9+MVTNOV24!AD9+MVTDEC244!AD9</f>
        <v>0</v>
      </c>
      <c r="AE10" s="36">
        <f>MVTJANV24!AE9+MVTFEV24!AE9+MVTMARS24!AE9+MVTAVRIL24!AE9+MVTMAI24!AE9+MVTJUIN24!AE9+MVTJUIL24!AE9+MVTAOUT24!AE9+MVTSEPT24!AE9+MVTOCT24!AE9+MVTNOV24!AE9+MVTDEC244!AE9</f>
        <v>0</v>
      </c>
      <c r="AF10" s="36">
        <f>MVTJANV24!AF9+MVTFEV24!AF9+MVTMARS24!AF9+MVTAVRIL24!AF9+MVTMAI24!AF9+MVTJUIN24!AF9+MVTJUIL24!AF9+MVTAOUT24!AF9+MVTSEPT24!AF9+MVTOCT24!AF9+MVTNOV24!AF9+MVTDEC244!AF9</f>
        <v>0</v>
      </c>
      <c r="AG10" s="36">
        <f>MVTJANV24!AG9+MVTFEV24!AG9+MVTMARS24!AG9+MVTAVRIL24!AG9+MVTMAI24!AG9+MVTJUIN24!AG9+MVTJUIL24!AG9+MVTAOUT24!AG9+MVTSEPT24!AG9+MVTOCT24!AG9+MVTNOV24!AG9+MVTDEC244!AG9</f>
        <v>0</v>
      </c>
      <c r="AH10" s="36">
        <f>MVTJANV24!AH9+MVTFEV24!AH9+MVTMARS24!AH9+MVTAVRIL24!AH9+MVTMAI24!AH9+MVTJUIN24!AH9+MVTJUIL24!AH9+MVTAOUT24!AH9+MVTSEPT24!AH9+MVTOCT24!AH9+MVTNOV24!AH9+MVTDEC244!AH9</f>
        <v>0</v>
      </c>
      <c r="AI10" s="36">
        <f>MVTJANV24!AI9+MVTFEV24!AI9+MVTMARS24!AI9+MVTAVRIL24!AI9+MVTMAI24!AI9+MVTJUIN24!AI9+MVTJUIL24!AI9+MVTAOUT24!AI9+MVTSEPT24!AI9+MVTOCT24!AI9+MVTNOV24!AI9+MVTDEC244!AI9</f>
        <v>0</v>
      </c>
      <c r="AJ10" s="36">
        <f>MVTJANV24!AJ9+MVTFEV24!AJ9+MVTMARS24!AJ9+MVTAVRIL24!AJ9+MVTMAI24!AJ9+MVTJUIN24!AJ9+MVTJUIL24!AJ9+MVTAOUT24!AJ9+MVTSEPT24!AJ9+MVTOCT24!AJ9+MVTNOV24!AJ9+MVTDEC244!AJ9</f>
        <v>0</v>
      </c>
      <c r="AK10" s="36">
        <f>MVTJANV24!AK9+MVTFEV24!AK9+MVTMARS24!AK9+MVTAVRIL24!AK9+MVTMAI24!AK9+MVTJUIN24!AK9+MVTJUIL24!AK9+MVTAOUT24!AK9+MVTSEPT24!AK9+MVTOCT24!AK9+MVTNOV24!AK9+MVTDEC244!AK9</f>
        <v>0</v>
      </c>
      <c r="AL10" s="143">
        <v>45627</v>
      </c>
      <c r="AM10" s="144">
        <f t="shared" si="2"/>
        <v>120000</v>
      </c>
      <c r="AN10" s="144">
        <f>MVTJANV24!AL9+MVTFEV24!AL9+MVTMARS24!AL9+MVTAVRIL24!AL9+MVTMAI24!AL9+MVTJUIN24!AL9+MVTJUIL24!AL9+MVTAOUT24!AL9+MVTSEPT24!AL9+MVTOCT24!AL9+MVTNOV24!AL9+MVTDEC244!AL9</f>
        <v>0</v>
      </c>
      <c r="AO10" s="144"/>
      <c r="AQ10" s="36"/>
    </row>
    <row r="11" spans="1:43" ht="15.5" x14ac:dyDescent="0.35">
      <c r="A11" s="1" t="s">
        <v>154</v>
      </c>
      <c r="B11" s="1" t="str">
        <f>VLOOKUP(A11,[19]LISTADHERENT!A$5:H$60,3,0)</f>
        <v>DJOMOU TCHAPDA</v>
      </c>
      <c r="C11" s="36">
        <f>+MVTDEC23!C10</f>
        <v>700000</v>
      </c>
      <c r="D11" s="36">
        <f>+MVTDEC23!D10</f>
        <v>294.67929590542917</v>
      </c>
      <c r="E11" s="36">
        <f>VLOOKUP($A11,[29]HISTODEC24!$A$6:$BA$38,48,0)</f>
        <v>0</v>
      </c>
      <c r="F11" s="36">
        <f>MVTDEC244!F10</f>
        <v>979078.22072936664</v>
      </c>
      <c r="G11" s="5">
        <f>MVTDEC244!G10</f>
        <v>979078.22072936664</v>
      </c>
      <c r="H11" s="36">
        <f>MVTDEC23!H10+MVTJANV24!H10+MVTFEV24!H10+MVTMARS24!H10+MVTAVRIL24!H10+MVTMAI24!H10+MVTJUIN24!H10+MVTJUIL24!H10+MVTAOUT24!H10+MVTSEPT24!H10+MVTOCT24!H10+MVTNOV24!H10+MVTDEC244!H10</f>
        <v>61289.02894615112</v>
      </c>
      <c r="I11" s="6">
        <f t="shared" si="0"/>
        <v>1040367.2496755178</v>
      </c>
      <c r="J11" s="36">
        <f>MVTJANV24!J10+MVTFEV24!J10+MVTMARS24!J10+MVTAVRIL24!J10+MVTMAI24!J10+MVTJUIN24!J10+MVTJUIL24!J10+MVTAOUT24!J10+MVTSEPT24!J10+MVTOCT24!J10+MVTNOV24!J10+MVTDEC244!J10</f>
        <v>0</v>
      </c>
      <c r="K11" s="36">
        <f>MVTJANV24!K10+MVTFEV24!K10+MVTMARS24!K10+MVTAVRIL24!K10+MVTMAI24!K10+MVTJUIN24!K10+MVTJUIL24!K10+MVTAOUT24!K10+MVTSEPT24!K10+MVTOCT24!K10+MVTNOV24!K10+MVTDEC244!K10</f>
        <v>293500</v>
      </c>
      <c r="L11" s="36">
        <f>MVTJANV24!L10+MVTFEV24!L10+MVTMARS24!L10+MVTAVRIL24!L10+MVTMAI24!L10+MVTJUIN24!L10+MVTJUIL24!L10+MVTAOUT24!L10+MVTSEPT24!L10+MVTOCT24!L10+MVTNOV24!L10+MVTDEC244!L10</f>
        <v>221500</v>
      </c>
      <c r="M11" s="36">
        <f>MVTJANV24!M10+MVTFEV24!M10+MVTMARS24!M10+MVTAVRIL24!M10+MVTMAI24!M10+MVTJUIN24!M10+MVTJUIL24!M10+MVTAOUT24!M10+MVTSEPT24!M10+MVTOCT24!M10+MVTNOV24!M10+MVTDEC244!M10</f>
        <v>12000</v>
      </c>
      <c r="N11" s="36">
        <f>MVTJANV24!N10+MVTFEV24!N10+MVTMARS24!N10+MVTAVRIL24!N10+MVTMAI24!N10+MVTJUIN24!N10+MVTJUIL24!N10+MVTAOUT24!N10+MVTSEPT24!N10+MVTOCT24!N10+MVTNOV24!N10+MVTDEC244!N10</f>
        <v>12000</v>
      </c>
      <c r="O11" s="36">
        <f>MVTJANV24!O10+MVTFEV24!O10+MVTMARS24!O10+MVTAVRIL24!O10+MVTMAI24!O10+MVTJUIN24!O10+MVTJUIL24!O10+MVTAOUT24!O10+MVTSEPT24!O10+MVTOCT24!O10+MVTNOV24!O10+MVTDEC244!O10</f>
        <v>48000</v>
      </c>
      <c r="P11" s="36">
        <f>MVTJANV24!P10+MVTFEV24!P10+MVTMARS24!P10+MVTAVRIL24!P10+MVTMAI24!P10+MVTJUIN24!P10+MVTJUIL24!P10+MVTAOUT24!P10+MVTSEPT24!P10+MVTOCT24!P10+MVTNOV24!P10+MVTDEC244!P10</f>
        <v>9000</v>
      </c>
      <c r="Q11" s="36">
        <f>MVTJANV24!Q10+MVTFEV24!Q10+MVTMARS24!Q10+MVTAVRIL24!Q10+MVTMAI24!Q10+MVTJUIN24!Q10+MVTJUIL24!Q10+MVTAOUT24!Q10+MVTSEPT24!Q10+MVTOCT24!Q10+MVTNOV24!Q10+MVTDEC244!Q10</f>
        <v>0</v>
      </c>
      <c r="R11" s="36">
        <f>MVTJANV24!R10+MVTFEV24!R10+MVTMARS24!R10+MVTAVRIL24!R10+MVTMAI24!R10+MVTJUIN24!R10+MVTJUIL24!R10+MVTAOUT24!R10+MVTSEPT24!R10+MVTOCT24!R10+MVTNOV24!R10+MVTDEC244!R10</f>
        <v>0</v>
      </c>
      <c r="S11" s="36">
        <f>MVTDEC23!S10+MVTJANV24!S10+MVTFEV24!S10+MVTMARS24!S10+MVTAVRIL24!S10+MVTMAI24!S10+MVTJUIN24!S10+MVTJUIL24!S10+MVTAOUT24!S10+MVTSEPT24!S10+MVTOCT24!S10+MVTNOV24!S10+MVTDEC244!S10</f>
        <v>2000000</v>
      </c>
      <c r="T11" s="36">
        <f>MVTDEC23!T10+MVTJANV24!T10+MVTFEV24!T10+MVTMARS24!T10+MVTAVRIL24!T10+MVTMAI24!T10+MVTJUIN24!T10+MVTJUIL24!T10+MVTAOUT24!T10+MVTSEPT24!T10+MVTOCT24!T10+MVTNOV24!T10+MVTDEC244!T10</f>
        <v>120000</v>
      </c>
      <c r="U11" s="36"/>
      <c r="V11" s="36">
        <f>MVTJANV24!V10+MVTFEV24!V10+MVTMARS24!V10+MVTAVRIL24!V10+MVTMAI24!V10+MVTJUIN24!V10+MVTJUIL24!V10+MVTAOUT24!V10+MVTSEPT24!V10+MVTOCT24!V10+MVTNOV24!V10+MVTDEC244!V10</f>
        <v>1000000</v>
      </c>
      <c r="W11" s="36">
        <f t="shared" si="1"/>
        <v>1000000</v>
      </c>
      <c r="X11" s="36"/>
      <c r="Y11" s="36"/>
      <c r="Z11" s="36">
        <f>MVTJANV24!Z10+MVTFEV24!Z10+MVTMARS24!Z10+MVTAVRIL24!Z10+MVTMAI24!Z10+MVTJUIN24!Z10+MVTJUIL24!Z10+MVTAOUT24!Z10+MVTSEPT24!Z10+MVTOCT24!Z10+MVTNOV24!Z10+MVTDEC244!Z10</f>
        <v>0</v>
      </c>
      <c r="AA11" s="36">
        <f>MVTJANV24!AA10+MVTFEV24!AA10+MVTMARS24!AA10+MVTAVRIL24!AA10+MVTMAI24!AA10+MVTJUIN24!AA10+MVTJUIL24!AA10+MVTAOUT24!AA10+MVTSEPT24!AA10+MVTOCT24!AA10+MVTNOV24!AA10+MVTDEC244!AA10</f>
        <v>0</v>
      </c>
      <c r="AB11" s="36">
        <f>MVTJANV24!AB10+MVTFEV24!AB10+MVTMARS24!AB10+MVTAVRIL24!AB10+MVTMAI24!AB10+MVTJUIN24!AB10+MVTJUIL24!AB10+MVTAOUT24!AB10+MVTSEPT24!AB10+MVTOCT24!AB10+MVTNOV24!AB10+MVTDEC244!AB10</f>
        <v>0</v>
      </c>
      <c r="AC11" s="36">
        <f>MVTJANV24!AC10+MVTFEV24!AC10+MVTMARS24!AC10+MVTAVRIL24!AC10+MVTMAI24!AC10+MVTJUIN24!AC10+MVTJUIL24!AC10+MVTAOUT24!AC10+MVTSEPT24!AC10+MVTOCT24!AC10+MVTNOV24!AC10+MVTDEC244!AC10</f>
        <v>0</v>
      </c>
      <c r="AD11" s="36">
        <f>MVTJANV24!AD10+MVTFEV24!AD10+MVTMARS24!AD10+MVTAVRIL24!AD10+MVTMAI24!AD10+MVTJUIN24!AD10+MVTJUIL24!AD10+MVTAOUT24!AD10+MVTSEPT24!AD10+MVTOCT24!AD10+MVTNOV24!AD10+MVTDEC244!AD10</f>
        <v>0</v>
      </c>
      <c r="AE11" s="36">
        <f>MVTJANV24!AE10+MVTFEV24!AE10+MVTMARS24!AE10+MVTAVRIL24!AE10+MVTMAI24!AE10+MVTJUIN24!AE10+MVTJUIL24!AE10+MVTAOUT24!AE10+MVTSEPT24!AE10+MVTOCT24!AE10+MVTNOV24!AE10+MVTDEC244!AE10</f>
        <v>0</v>
      </c>
      <c r="AF11" s="36">
        <f>MVTJANV24!AF10+MVTFEV24!AF10+MVTMARS24!AF10+MVTAVRIL24!AF10+MVTMAI24!AF10+MVTJUIN24!AF10+MVTJUIL24!AF10+MVTAOUT24!AF10+MVTSEPT24!AF10+MVTOCT24!AF10+MVTNOV24!AF10+MVTDEC244!AF10</f>
        <v>0</v>
      </c>
      <c r="AG11" s="36">
        <f>MVTJANV24!AG10+MVTFEV24!AG10+MVTMARS24!AG10+MVTAVRIL24!AG10+MVTMAI24!AG10+MVTJUIN24!AG10+MVTJUIL24!AG10+MVTAOUT24!AG10+MVTSEPT24!AG10+MVTOCT24!AG10+MVTNOV24!AG10+MVTDEC244!AG10</f>
        <v>0</v>
      </c>
      <c r="AH11" s="36">
        <f>MVTJANV24!AH10+MVTFEV24!AH10+MVTMARS24!AH10+MVTAVRIL24!AH10+MVTMAI24!AH10+MVTJUIN24!AH10+MVTJUIL24!AH10+MVTAOUT24!AH10+MVTSEPT24!AH10+MVTOCT24!AH10+MVTNOV24!AH10+MVTDEC244!AH10</f>
        <v>0</v>
      </c>
      <c r="AI11" s="36">
        <f>MVTJANV24!AI10+MVTFEV24!AI10+MVTMARS24!AI10+MVTAVRIL24!AI10+MVTMAI24!AI10+MVTJUIN24!AI10+MVTJUIL24!AI10+MVTAOUT24!AI10+MVTSEPT24!AI10+MVTOCT24!AI10+MVTNOV24!AI10+MVTDEC244!AI10</f>
        <v>0</v>
      </c>
      <c r="AJ11" s="36">
        <f>MVTJANV24!AJ10+MVTFEV24!AJ10+MVTMARS24!AJ10+MVTAVRIL24!AJ10+MVTMAI24!AJ10+MVTJUIN24!AJ10+MVTJUIL24!AJ10+MVTAOUT24!AJ10+MVTSEPT24!AJ10+MVTOCT24!AJ10+MVTNOV24!AJ10+MVTDEC244!AJ10</f>
        <v>0</v>
      </c>
      <c r="AK11" s="36">
        <f>MVTJANV24!AK10+MVTFEV24!AK10+MVTMARS24!AK10+MVTAVRIL24!AK10+MVTMAI24!AK10+MVTJUIN24!AK10+MVTJUIL24!AK10+MVTAOUT24!AK10+MVTSEPT24!AK10+MVTOCT24!AK10+MVTNOV24!AK10+MVTDEC244!AK10</f>
        <v>0</v>
      </c>
      <c r="AL11" s="143">
        <v>45627</v>
      </c>
      <c r="AM11" s="144">
        <f t="shared" si="2"/>
        <v>120000</v>
      </c>
      <c r="AN11" s="144">
        <f>MVTJANV24!AL10+MVTFEV24!AL10+MVTMARS24!AL10+MVTAVRIL24!AL10+MVTMAI24!AL10+MVTJUIN24!AL10+MVTJUIL24!AL10+MVTAOUT24!AL10+MVTSEPT24!AL10+MVTOCT24!AL10+MVTNOV24!AL10+MVTDEC244!AL10</f>
        <v>0</v>
      </c>
      <c r="AO11" s="144"/>
      <c r="AQ11" s="36"/>
    </row>
    <row r="12" spans="1:43" ht="15.5" x14ac:dyDescent="0.35">
      <c r="A12" s="1" t="s">
        <v>24</v>
      </c>
      <c r="B12" s="1" t="str">
        <f>VLOOKUP(A12,[19]LISTADHERENT!A$5:H$60,3,0)</f>
        <v>DJOUKWE NANGUEN GUY BLAISE</v>
      </c>
      <c r="C12" s="36">
        <f>+MVTDEC23!C11</f>
        <v>700000</v>
      </c>
      <c r="D12" s="36">
        <f>+MVTDEC23!D11</f>
        <v>2196.7678974067676</v>
      </c>
      <c r="E12" s="36">
        <f>VLOOKUP($A12,[29]HISTODEC24!$A$6:$BA$38,48,0)</f>
        <v>0</v>
      </c>
      <c r="F12" s="36">
        <f>MVTDEC244!F11</f>
        <v>1010968.1442096249</v>
      </c>
      <c r="G12" s="5">
        <f>MVTDEC244!G11</f>
        <v>1010968.1442096249</v>
      </c>
      <c r="H12" s="36">
        <f>MVTDEC23!H11+MVTJANV24!H11+MVTFEV24!H11+MVTMARS24!H11+MVTAVRIL24!H11+MVTMAI24!H11+MVTJUIN24!H11+MVTJUIL24!H11+MVTAOUT24!H11+MVTSEPT24!H11+MVTOCT24!H11+MVTNOV24!H11+MVTDEC244!H11</f>
        <v>61907.328059099258</v>
      </c>
      <c r="I12" s="6">
        <f t="shared" si="0"/>
        <v>1072875.4722687241</v>
      </c>
      <c r="J12" s="36">
        <f>MVTJANV24!J11+MVTFEV24!J11+MVTMARS24!J11+MVTAVRIL24!J11+MVTMAI24!J11+MVTJUIN24!J11+MVTJUIL24!J11+MVTAOUT24!J11+MVTSEPT24!J11+MVTOCT24!J11+MVTNOV24!J11+MVTDEC244!J11</f>
        <v>0</v>
      </c>
      <c r="K12" s="36">
        <f>MVTJANV24!K11+MVTFEV24!K11+MVTMARS24!K11+MVTAVRIL24!K11+MVTMAI24!K11+MVTJUIN24!K11+MVTJUIL24!K11+MVTAOUT24!K11+MVTSEPT24!K11+MVTOCT24!K11+MVTNOV24!K11+MVTDEC244!K11</f>
        <v>323000</v>
      </c>
      <c r="L12" s="36">
        <f>MVTJANV24!L11+MVTFEV24!L11+MVTMARS24!L11+MVTAVRIL24!L11+MVTMAI24!L11+MVTJUIN24!L11+MVTJUIL24!L11+MVTAOUT24!L11+MVTSEPT24!L11+MVTOCT24!L11+MVTNOV24!L11+MVTDEC244!L11</f>
        <v>251000</v>
      </c>
      <c r="M12" s="36">
        <f>MVTJANV24!M11+MVTFEV24!M11+MVTMARS24!M11+MVTAVRIL24!M11+MVTMAI24!M11+MVTJUIN24!M11+MVTJUIL24!M11+MVTAOUT24!M11+MVTSEPT24!M11+MVTOCT24!M11+MVTNOV24!M11+MVTDEC244!M11</f>
        <v>12000</v>
      </c>
      <c r="N12" s="36">
        <f>MVTJANV24!N11+MVTFEV24!N11+MVTMARS24!N11+MVTAVRIL24!N11+MVTMAI24!N11+MVTJUIN24!N11+MVTJUIL24!N11+MVTAOUT24!N11+MVTSEPT24!N11+MVTOCT24!N11+MVTNOV24!N11+MVTDEC244!N11</f>
        <v>12000</v>
      </c>
      <c r="O12" s="36">
        <f>MVTJANV24!O11+MVTFEV24!O11+MVTMARS24!O11+MVTAVRIL24!O11+MVTMAI24!O11+MVTJUIN24!O11+MVTJUIL24!O11+MVTAOUT24!O11+MVTSEPT24!O11+MVTOCT24!O11+MVTNOV24!O11+MVTDEC244!O11</f>
        <v>48000</v>
      </c>
      <c r="P12" s="36">
        <f>MVTJANV24!P11+MVTFEV24!P11+MVTMARS24!P11+MVTAVRIL24!P11+MVTMAI24!P11+MVTJUIN24!P11+MVTJUIL24!P11+MVTAOUT24!P11+MVTSEPT24!P11+MVTOCT24!P11+MVTNOV24!P11+MVTDEC244!P11</f>
        <v>3000</v>
      </c>
      <c r="Q12" s="36">
        <f>MVTJANV24!Q11+MVTFEV24!Q11+MVTMARS24!Q11+MVTAVRIL24!Q11+MVTMAI24!Q11+MVTJUIN24!Q11+MVTJUIL24!Q11+MVTAOUT24!Q11+MVTSEPT24!Q11+MVTOCT24!Q11+MVTNOV24!Q11+MVTDEC244!Q11</f>
        <v>0</v>
      </c>
      <c r="R12" s="36">
        <f>MVTJANV24!R11+MVTFEV24!R11+MVTMARS24!R11+MVTAVRIL24!R11+MVTMAI24!R11+MVTJUIN24!R11+MVTJUIL24!R11+MVTAOUT24!R11+MVTSEPT24!R11+MVTOCT24!R11+MVTNOV24!R11+MVTDEC244!R11</f>
        <v>0</v>
      </c>
      <c r="S12" s="36">
        <f>MVTDEC23!S11+MVTJANV24!S11+MVTFEV24!S11+MVTMARS24!S11+MVTAVRIL24!S11+MVTMAI24!S11+MVTJUIN24!S11+MVTJUIL24!S11+MVTAOUT24!S11+MVTSEPT24!S11+MVTOCT24!S11+MVTNOV24!S11+MVTDEC244!S11</f>
        <v>2000000</v>
      </c>
      <c r="T12" s="36">
        <f>MVTDEC23!T11+MVTJANV24!T11+MVTFEV24!T11+MVTMARS24!T11+MVTAVRIL24!T11+MVTMAI24!T11+MVTJUIN24!T11+MVTJUIL24!T11+MVTAOUT24!T11+MVTSEPT24!T11+MVTOCT24!T11+MVTNOV24!T11+MVTDEC244!T11</f>
        <v>60000</v>
      </c>
      <c r="U12" s="36"/>
      <c r="V12" s="36">
        <f>MVTJANV24!V11+MVTFEV24!V11+MVTMARS24!V11+MVTAVRIL24!V11+MVTMAI24!V11+MVTJUIN24!V11+MVTJUIL24!V11+MVTAOUT24!V11+MVTSEPT24!V11+MVTOCT24!V11+MVTNOV24!V11+MVTDEC244!V11</f>
        <v>1000000</v>
      </c>
      <c r="W12" s="36">
        <f t="shared" si="1"/>
        <v>1000000</v>
      </c>
      <c r="X12" s="36"/>
      <c r="Y12" s="36"/>
      <c r="Z12" s="36">
        <f>MVTJANV24!Z11+MVTFEV24!Z11+MVTMARS24!Z11+MVTAVRIL24!Z11+MVTMAI24!Z11+MVTJUIN24!Z11+MVTJUIL24!Z11+MVTAOUT24!Z11+MVTSEPT24!Z11+MVTOCT24!Z11+MVTNOV24!Z11+MVTDEC244!Z11</f>
        <v>0</v>
      </c>
      <c r="AA12" s="36">
        <f>MVTJANV24!AA11+MVTFEV24!AA11+MVTMARS24!AA11+MVTAVRIL24!AA11+MVTMAI24!AA11+MVTJUIN24!AA11+MVTJUIL24!AA11+MVTAOUT24!AA11+MVTSEPT24!AA11+MVTOCT24!AA11+MVTNOV24!AA11+MVTDEC244!AA11</f>
        <v>0</v>
      </c>
      <c r="AB12" s="36">
        <f>MVTJANV24!AB11+MVTFEV24!AB11+MVTMARS24!AB11+MVTAVRIL24!AB11+MVTMAI24!AB11+MVTJUIN24!AB11+MVTJUIL24!AB11+MVTAOUT24!AB11+MVTSEPT24!AB11+MVTOCT24!AB11+MVTNOV24!AB11+MVTDEC244!AB11</f>
        <v>0</v>
      </c>
      <c r="AC12" s="36">
        <f>MVTJANV24!AC11+MVTFEV24!AC11+MVTMARS24!AC11+MVTAVRIL24!AC11+MVTMAI24!AC11+MVTJUIN24!AC11+MVTJUIL24!AC11+MVTAOUT24!AC11+MVTSEPT24!AC11+MVTOCT24!AC11+MVTNOV24!AC11+MVTDEC244!AC11</f>
        <v>0</v>
      </c>
      <c r="AD12" s="36">
        <f>MVTJANV24!AD11+MVTFEV24!AD11+MVTMARS24!AD11+MVTAVRIL24!AD11+MVTMAI24!AD11+MVTJUIN24!AD11+MVTJUIL24!AD11+MVTAOUT24!AD11+MVTSEPT24!AD11+MVTOCT24!AD11+MVTNOV24!AD11+MVTDEC244!AD11</f>
        <v>0</v>
      </c>
      <c r="AE12" s="36">
        <f>MVTJANV24!AE11+MVTFEV24!AE11+MVTMARS24!AE11+MVTAVRIL24!AE11+MVTMAI24!AE11+MVTJUIN24!AE11+MVTJUIL24!AE11+MVTAOUT24!AE11+MVTSEPT24!AE11+MVTOCT24!AE11+MVTNOV24!AE11+MVTDEC244!AE11</f>
        <v>0</v>
      </c>
      <c r="AF12" s="36">
        <f>MVTJANV24!AF11+MVTFEV24!AF11+MVTMARS24!AF11+MVTAVRIL24!AF11+MVTMAI24!AF11+MVTJUIN24!AF11+MVTJUIL24!AF11+MVTAOUT24!AF11+MVTSEPT24!AF11+MVTOCT24!AF11+MVTNOV24!AF11+MVTDEC244!AF11</f>
        <v>0</v>
      </c>
      <c r="AG12" s="36">
        <f>MVTJANV24!AG11+MVTFEV24!AG11+MVTMARS24!AG11+MVTAVRIL24!AG11+MVTMAI24!AG11+MVTJUIN24!AG11+MVTJUIL24!AG11+MVTAOUT24!AG11+MVTSEPT24!AG11+MVTOCT24!AG11+MVTNOV24!AG11+MVTDEC244!AG11</f>
        <v>0</v>
      </c>
      <c r="AH12" s="36">
        <f>MVTJANV24!AH11+MVTFEV24!AH11+MVTMARS24!AH11+MVTAVRIL24!AH11+MVTMAI24!AH11+MVTJUIN24!AH11+MVTJUIL24!AH11+MVTAOUT24!AH11+MVTSEPT24!AH11+MVTOCT24!AH11+MVTNOV24!AH11+MVTDEC244!AH11</f>
        <v>0</v>
      </c>
      <c r="AI12" s="36">
        <f>MVTJANV24!AI11+MVTFEV24!AI11+MVTMARS24!AI11+MVTAVRIL24!AI11+MVTMAI24!AI11+MVTJUIN24!AI11+MVTJUIL24!AI11+MVTAOUT24!AI11+MVTSEPT24!AI11+MVTOCT24!AI11+MVTNOV24!AI11+MVTDEC244!AI11</f>
        <v>0</v>
      </c>
      <c r="AJ12" s="36">
        <f>MVTJANV24!AJ11+MVTFEV24!AJ11+MVTMARS24!AJ11+MVTAVRIL24!AJ11+MVTMAI24!AJ11+MVTJUIN24!AJ11+MVTJUIL24!AJ11+MVTAOUT24!AJ11+MVTSEPT24!AJ11+MVTOCT24!AJ11+MVTNOV24!AJ11+MVTDEC244!AJ11+50000+105000</f>
        <v>155000</v>
      </c>
      <c r="AK12" s="36">
        <f>MVTJANV24!AK11+MVTFEV24!AK11+MVTMARS24!AK11+MVTAVRIL24!AK11+MVTMAI24!AK11+MVTJUIN24!AK11+MVTJUIL24!AK11+MVTAOUT24!AK11+MVTSEPT24!AK11+MVTOCT24!AK11+MVTNOV24!AK11+MVTDEC244!AK11</f>
        <v>0</v>
      </c>
      <c r="AL12" s="143">
        <v>45474</v>
      </c>
      <c r="AM12" s="144">
        <f t="shared" si="2"/>
        <v>60000</v>
      </c>
      <c r="AN12" s="144">
        <f>MVTJANV24!AL11+MVTFEV24!AL11+MVTMARS24!AL11+MVTAVRIL24!AL11+MVTMAI24!AL11+MVTJUIN24!AL11+MVTJUIL24!AL11+MVTAOUT24!AL11+MVTSEPT24!AL11+MVTOCT24!AL11+MVTNOV24!AL11+MVTDEC244!AL11</f>
        <v>0</v>
      </c>
      <c r="AO12" s="144"/>
      <c r="AQ12" s="36"/>
    </row>
    <row r="13" spans="1:43" ht="15.5" x14ac:dyDescent="0.35">
      <c r="A13" s="1" t="s">
        <v>25</v>
      </c>
      <c r="B13" s="1" t="str">
        <f>VLOOKUP(A13,[19]LISTADHERENT!A$5:H$60,3,0)</f>
        <v>DJUOMBESSY ANTOINE</v>
      </c>
      <c r="C13" s="36">
        <f>+MVTDEC23!C12</f>
        <v>700000</v>
      </c>
      <c r="D13" s="36">
        <f>+MVTDEC23!D12</f>
        <v>14513.277451620379</v>
      </c>
      <c r="E13" s="36">
        <f>VLOOKUP($A13,[29]HISTODEC24!$A$6:$BA$38,48,0)</f>
        <v>0</v>
      </c>
      <c r="F13" s="36">
        <f>MVTDEC244!F12</f>
        <v>1069172.7951158585</v>
      </c>
      <c r="G13" s="5">
        <f>MVTDEC244!G12</f>
        <v>1069172.7951158585</v>
      </c>
      <c r="H13" s="36">
        <f>MVTDEC23!H12+MVTJANV24!H12+MVTFEV24!H12+MVTMARS24!H12+MVTAVRIL24!H12+MVTMAI24!H12+MVTJUIN24!H12+MVTJUIL24!H12+MVTAOUT24!H12+MVTSEPT24!H12+MVTOCT24!H12+MVTNOV24!H12+MVTDEC244!H12</f>
        <v>63433.589305372217</v>
      </c>
      <c r="I13" s="6">
        <f t="shared" si="0"/>
        <v>1132606.3844212308</v>
      </c>
      <c r="J13" s="36">
        <f>MVTJANV24!J12+MVTFEV24!J12+MVTMARS24!J12+MVTAVRIL24!J12+MVTMAI24!J12+MVTJUIN24!J12+MVTJUIL24!J12+MVTAOUT24!J12+MVTSEPT24!J12+MVTOCT24!J12+MVTNOV24!J12+MVTDEC244!J12</f>
        <v>0</v>
      </c>
      <c r="K13" s="36">
        <f>MVTJANV24!K12+MVTFEV24!K12+MVTMARS24!K12+MVTAVRIL24!K12+MVTMAI24!K12+MVTJUIN24!K12+MVTJUIL24!K12+MVTAOUT24!K12+MVTSEPT24!K12+MVTOCT24!K12+MVTNOV24!K12+MVTDEC244!K12</f>
        <v>367600</v>
      </c>
      <c r="L13" s="36">
        <f>MVTJANV24!L12+MVTFEV24!L12+MVTMARS24!L12+MVTAVRIL24!L12+MVTMAI24!L12+MVTJUIN24!L12+MVTJUIL24!L12+MVTAOUT24!L12+MVTSEPT24!L12+MVTOCT24!L12+MVTNOV24!L12+MVTDEC244!L12</f>
        <v>295600</v>
      </c>
      <c r="M13" s="36">
        <f>MVTJANV24!M12+MVTFEV24!M12+MVTMARS24!M12+MVTAVRIL24!M12+MVTMAI24!M12+MVTJUIN24!M12+MVTJUIL24!M12+MVTAOUT24!M12+MVTSEPT24!M12+MVTOCT24!M12+MVTNOV24!M12+MVTDEC244!M12</f>
        <v>12000</v>
      </c>
      <c r="N13" s="36">
        <f>MVTJANV24!N12+MVTFEV24!N12+MVTMARS24!N12+MVTAVRIL24!N12+MVTMAI24!N12+MVTJUIN24!N12+MVTJUIL24!N12+MVTAOUT24!N12+MVTSEPT24!N12+MVTOCT24!N12+MVTNOV24!N12+MVTDEC244!N12</f>
        <v>12000</v>
      </c>
      <c r="O13" s="36">
        <f>MVTJANV24!O12+MVTFEV24!O12+MVTMARS24!O12+MVTAVRIL24!O12+MVTMAI24!O12+MVTJUIN24!O12+MVTJUIL24!O12+MVTAOUT24!O12+MVTSEPT24!O12+MVTOCT24!O12+MVTNOV24!O12+MVTDEC244!O12</f>
        <v>48000</v>
      </c>
      <c r="P13" s="36">
        <f>MVTJANV24!P12+MVTFEV24!P12+MVTMARS24!P12+MVTAVRIL24!P12+MVTMAI24!P12+MVTJUIN24!P12+MVTJUIL24!P12+MVTAOUT24!P12+MVTSEPT24!P12+MVTOCT24!P12+MVTNOV24!P12+MVTDEC244!P12</f>
        <v>0</v>
      </c>
      <c r="Q13" s="36">
        <f>MVTJANV24!Q12+MVTFEV24!Q12+MVTMARS24!Q12+MVTAVRIL24!Q12+MVTMAI24!Q12+MVTJUIN24!Q12+MVTJUIL24!Q12+MVTAOUT24!Q12+MVTSEPT24!Q12+MVTOCT24!Q12+MVTNOV24!Q12+MVTDEC244!Q12</f>
        <v>0</v>
      </c>
      <c r="R13" s="36">
        <f>MVTJANV24!R12+MVTFEV24!R12+MVTMARS24!R12+MVTAVRIL24!R12+MVTMAI24!R12+MVTJUIN24!R12+MVTJUIL24!R12+MVTAOUT24!R12+MVTSEPT24!R12+MVTOCT24!R12+MVTNOV24!R12+MVTDEC244!R12</f>
        <v>0</v>
      </c>
      <c r="S13" s="36">
        <f>MVTDEC23!S12+MVTJANV24!S12+MVTFEV24!S12+MVTMARS24!S12+MVTAVRIL24!S12+MVTMAI24!S12+MVTJUIN24!S12+MVTJUIL24!S12+MVTAOUT24!S12+MVTSEPT24!S12+MVTOCT24!S12+MVTNOV24!S12+MVTDEC244!S12</f>
        <v>2000000</v>
      </c>
      <c r="T13" s="36">
        <f>MVTDEC23!T12+MVTJANV24!T12+MVTFEV24!T12+MVTMARS24!T12+MVTAVRIL24!T12+MVTMAI24!T12+MVTJUIN24!T12+MVTJUIL24!T12+MVTAOUT24!T12+MVTSEPT24!T12+MVTOCT24!T12+MVTNOV24!T12+MVTDEC244!T12</f>
        <v>68400</v>
      </c>
      <c r="U13" s="36"/>
      <c r="V13" s="36">
        <f>MVTJANV24!V12+MVTFEV24!V12+MVTMARS24!V12+MVTAVRIL24!V12+MVTMAI24!V12+MVTJUIN24!V12+MVTJUIL24!V12+MVTAOUT24!V12+MVTSEPT24!V12+MVTOCT24!V12+MVTNOV24!V12+MVTDEC244!V12</f>
        <v>1000000</v>
      </c>
      <c r="W13" s="36">
        <f t="shared" si="1"/>
        <v>1000000</v>
      </c>
      <c r="X13" s="36"/>
      <c r="Y13" s="36"/>
      <c r="Z13" s="36">
        <f>MVTJANV24!Z12+MVTFEV24!Z12+MVTMARS24!Z12+MVTAVRIL24!Z12+MVTMAI24!Z12+MVTJUIN24!Z12+MVTJUIL24!Z12+MVTAOUT24!Z12+MVTSEPT24!Z12+MVTOCT24!Z12+MVTNOV24!Z12+MVTDEC244!Z12</f>
        <v>0</v>
      </c>
      <c r="AA13" s="36">
        <f>MVTJANV24!AA12+MVTFEV24!AA12+MVTMARS24!AA12+MVTAVRIL24!AA12+MVTMAI24!AA12+MVTJUIN24!AA12+MVTJUIL24!AA12+MVTAOUT24!AA12+MVTSEPT24!AA12+MVTOCT24!AA12+MVTNOV24!AA12+MVTDEC244!AA12</f>
        <v>0</v>
      </c>
      <c r="AB13" s="36">
        <f>MVTJANV24!AB12+MVTFEV24!AB12+MVTMARS24!AB12+MVTAVRIL24!AB12+MVTMAI24!AB12+MVTJUIN24!AB12+MVTJUIL24!AB12+MVTAOUT24!AB12+MVTSEPT24!AB12+MVTOCT24!AB12+MVTNOV24!AB12+MVTDEC244!AB12</f>
        <v>0</v>
      </c>
      <c r="AC13" s="36">
        <f>MVTJANV24!AC12+MVTFEV24!AC12+MVTMARS24!AC12+MVTAVRIL24!AC12+MVTMAI24!AC12+MVTJUIN24!AC12+MVTJUIL24!AC12+MVTAOUT24!AC12+MVTSEPT24!AC12+MVTOCT24!AC12+MVTNOV24!AC12+MVTDEC244!AC12</f>
        <v>0</v>
      </c>
      <c r="AD13" s="36">
        <f>MVTJANV24!AD12+MVTFEV24!AD12+MVTMARS24!AD12+MVTAVRIL24!AD12+MVTMAI24!AD12+MVTJUIN24!AD12+MVTJUIL24!AD12+MVTAOUT24!AD12+MVTSEPT24!AD12+MVTOCT24!AD12+MVTNOV24!AD12+MVTDEC244!AD12</f>
        <v>0</v>
      </c>
      <c r="AE13" s="36">
        <f>MVTJANV24!AE12+MVTFEV24!AE12+MVTMARS24!AE12+MVTAVRIL24!AE12+MVTMAI24!AE12+MVTJUIN24!AE12+MVTJUIL24!AE12+MVTAOUT24!AE12+MVTSEPT24!AE12+MVTOCT24!AE12+MVTNOV24!AE12+MVTDEC244!AE12</f>
        <v>0</v>
      </c>
      <c r="AF13" s="36">
        <f>MVTJANV24!AF12+MVTFEV24!AF12+MVTMARS24!AF12+MVTAVRIL24!AF12+MVTMAI24!AF12+MVTJUIN24!AF12+MVTJUIL24!AF12+MVTAOUT24!AF12+MVTSEPT24!AF12+MVTOCT24!AF12+MVTNOV24!AF12+MVTDEC244!AF12</f>
        <v>0</v>
      </c>
      <c r="AG13" s="36">
        <f>MVTJANV24!AG12+MVTFEV24!AG12+MVTMARS24!AG12+MVTAVRIL24!AG12+MVTMAI24!AG12+MVTJUIN24!AG12+MVTJUIL24!AG12+MVTAOUT24!AG12+MVTSEPT24!AG12+MVTOCT24!AG12+MVTNOV24!AG12+MVTDEC244!AG12</f>
        <v>0</v>
      </c>
      <c r="AH13" s="36">
        <f>MVTJANV24!AH12+MVTFEV24!AH12+MVTMARS24!AH12+MVTAVRIL24!AH12+MVTMAI24!AH12+MVTJUIN24!AH12+MVTJUIL24!AH12+MVTAOUT24!AH12+MVTSEPT24!AH12+MVTOCT24!AH12+MVTNOV24!AH12+MVTDEC244!AH12</f>
        <v>0</v>
      </c>
      <c r="AI13" s="36">
        <f>MVTJANV24!AI12+MVTFEV24!AI12+MVTMARS24!AI12+MVTAVRIL24!AI12+MVTMAI24!AI12+MVTJUIN24!AI12+MVTJUIL24!AI12+MVTAOUT24!AI12+MVTSEPT24!AI12+MVTOCT24!AI12+MVTNOV24!AI12+MVTDEC244!AI12</f>
        <v>0</v>
      </c>
      <c r="AJ13" s="36">
        <f>MVTJANV24!AJ12+MVTFEV24!AJ12+MVTMARS24!AJ12+MVTAVRIL24!AJ12+MVTMAI24!AJ12+MVTJUIN24!AJ12+MVTJUIL24!AJ12+MVTAOUT24!AJ12+MVTSEPT24!AJ12+MVTOCT24!AJ12+MVTNOV24!AJ12+MVTDEC244!AJ12</f>
        <v>0</v>
      </c>
      <c r="AK13" s="36">
        <f>MVTJANV24!AK12+MVTFEV24!AK12+MVTMARS24!AK12+MVTAVRIL24!AK12+MVTMAI24!AK12+MVTJUIN24!AK12+MVTJUIL24!AK12+MVTAOUT24!AK12+MVTSEPT24!AK12+MVTOCT24!AK12+MVTNOV24!AK12+MVTDEC244!AK12</f>
        <v>0</v>
      </c>
      <c r="AL13" s="143">
        <v>45627</v>
      </c>
      <c r="AM13" s="144">
        <f t="shared" si="2"/>
        <v>68400</v>
      </c>
      <c r="AN13" s="144">
        <f>MVTJANV24!AL12+MVTFEV24!AL12+MVTMARS24!AL12+MVTAVRIL24!AL12+MVTMAI24!AL12+MVTJUIN24!AL12+MVTJUIL24!AL12+MVTAOUT24!AL12+MVTSEPT24!AL12+MVTOCT24!AL12+MVTNOV24!AL12+MVTDEC244!AL12</f>
        <v>0</v>
      </c>
      <c r="AO13" s="144"/>
      <c r="AQ13" s="36"/>
    </row>
    <row r="14" spans="1:43" ht="15.5" x14ac:dyDescent="0.35">
      <c r="A14" s="1" t="s">
        <v>79</v>
      </c>
      <c r="B14" s="1" t="str">
        <f>VLOOKUP(A14,[19]LISTADHERENT!A$5:H$60,3,0)</f>
        <v>DOMOU FABIEN</v>
      </c>
      <c r="C14" s="36">
        <f>+MVTDEC23!C13</f>
        <v>700000</v>
      </c>
      <c r="D14" s="36">
        <f>+MVTDEC23!D13</f>
        <v>41.235805909789633</v>
      </c>
      <c r="E14" s="36">
        <f>VLOOKUP($A14,[29]HISTODEC24!$A$6:$BA$38,48,0)</f>
        <v>0</v>
      </c>
      <c r="F14" s="36">
        <f>MVTDEC244!F13</f>
        <v>985405.65692185995</v>
      </c>
      <c r="G14" s="5">
        <f>MVTDEC244!G13</f>
        <v>985405.65692185995</v>
      </c>
      <c r="H14" s="36">
        <f>MVTDEC23!H13+MVTJANV24!H13+MVTFEV24!H13+MVTMARS24!H13+MVTAVRIL24!H13+MVTMAI24!H13+MVTJUIN24!H13+MVTJUIL24!H13+MVTAOUT24!H13+MVTSEPT24!H13+MVTOCT24!H13+MVTNOV24!H13+MVTDEC244!H13</f>
        <v>61395.794677496764</v>
      </c>
      <c r="I14" s="6">
        <f t="shared" si="0"/>
        <v>1046801.4515993567</v>
      </c>
      <c r="J14" s="36">
        <f>MVTJANV24!J13+MVTFEV24!J13+MVTMARS24!J13+MVTAVRIL24!J13+MVTMAI24!J13+MVTJUIN24!J13+MVTJUIL24!J13+MVTAOUT24!J13+MVTSEPT24!J13+MVTOCT24!J13+MVTNOV24!J13+MVTDEC244!J13</f>
        <v>0</v>
      </c>
      <c r="K14" s="36">
        <f>MVTJANV24!K13+MVTFEV24!K13+MVTMARS24!K13+MVTAVRIL24!K13+MVTMAI24!K13+MVTJUIN24!K13+MVTJUIL24!K13+MVTAOUT24!K13+MVTSEPT24!K13+MVTOCT24!K13+MVTNOV24!K13+MVTDEC244!K13</f>
        <v>300000</v>
      </c>
      <c r="L14" s="36">
        <f>MVTJANV24!L13+MVTFEV24!L13+MVTMARS24!L13+MVTAVRIL24!L13+MVTMAI24!L13+MVTJUIN24!L13+MVTJUIL24!L13+MVTAOUT24!L13+MVTSEPT24!L13+MVTOCT24!L13+MVTNOV24!L13+MVTDEC244!L13</f>
        <v>228000</v>
      </c>
      <c r="M14" s="36">
        <f>MVTJANV24!M13+MVTFEV24!M13+MVTMARS24!M13+MVTAVRIL24!M13+MVTMAI24!M13+MVTJUIN24!M13+MVTJUIL24!M13+MVTAOUT24!M13+MVTSEPT24!M13+MVTOCT24!M13+MVTNOV24!M13+MVTDEC244!M13</f>
        <v>12000</v>
      </c>
      <c r="N14" s="36">
        <f>MVTJANV24!N13+MVTFEV24!N13+MVTMARS24!N13+MVTAVRIL24!N13+MVTMAI24!N13+MVTJUIN24!N13+MVTJUIL24!N13+MVTAOUT24!N13+MVTSEPT24!N13+MVTOCT24!N13+MVTNOV24!N13+MVTDEC244!N13</f>
        <v>12000</v>
      </c>
      <c r="O14" s="36">
        <f>MVTJANV24!O13+MVTFEV24!O13+MVTMARS24!O13+MVTAVRIL24!O13+MVTMAI24!O13+MVTJUIN24!O13+MVTJUIL24!O13+MVTAOUT24!O13+MVTSEPT24!O13+MVTOCT24!O13+MVTNOV24!O13+MVTDEC244!O13</f>
        <v>48000</v>
      </c>
      <c r="P14" s="36">
        <f>MVTJANV24!P13+MVTFEV24!P13+MVTMARS24!P13+MVTAVRIL24!P13+MVTMAI24!P13+MVTJUIN24!P13+MVTJUIL24!P13+MVTAOUT24!P13+MVTSEPT24!P13+MVTOCT24!P13+MVTNOV24!P13+MVTDEC244!P13</f>
        <v>0</v>
      </c>
      <c r="Q14" s="36">
        <f>MVTJANV24!Q13+MVTFEV24!Q13+MVTMARS24!Q13+MVTAVRIL24!Q13+MVTMAI24!Q13+MVTJUIN24!Q13+MVTJUIL24!Q13+MVTAOUT24!Q13+MVTSEPT24!Q13+MVTOCT24!Q13+MVTNOV24!Q13+MVTDEC244!Q13</f>
        <v>0</v>
      </c>
      <c r="R14" s="36">
        <f>MVTJANV24!R13+MVTFEV24!R13+MVTMARS24!R13+MVTAVRIL24!R13+MVTMAI24!R13+MVTJUIN24!R13+MVTJUIL24!R13+MVTAOUT24!R13+MVTSEPT24!R13+MVTOCT24!R13+MVTNOV24!R13+MVTDEC244!R13</f>
        <v>0</v>
      </c>
      <c r="S14" s="36">
        <f>MVTDEC23!S13+MVTJANV24!S13+MVTFEV24!S13+MVTMARS24!S13+MVTAVRIL24!S13+MVTMAI24!S13+MVTJUIN24!S13+MVTJUIL24!S13+MVTAOUT24!S13+MVTSEPT24!S13+MVTOCT24!S13+MVTNOV24!S13+MVTDEC244!S13</f>
        <v>1000000</v>
      </c>
      <c r="T14" s="36">
        <f>MVTDEC23!T13+MVTJANV24!T13+MVTFEV24!T13+MVTMARS24!T13+MVTAVRIL24!T13+MVTMAI24!T13+MVTJUIN24!T13+MVTJUIL24!T13+MVTAOUT24!T13+MVTSEPT24!T13+MVTOCT24!T13+MVTNOV24!T13+MVTDEC244!T13</f>
        <v>120000</v>
      </c>
      <c r="U14" s="36"/>
      <c r="V14" s="36">
        <f>MVTJANV24!V13+MVTFEV24!V13+MVTMARS24!V13+MVTAVRIL24!V13+MVTMAI24!V13+MVTJUIN24!V13+MVTJUIL24!V13+MVTAOUT24!V13+MVTSEPT24!V13+MVTOCT24!V13+MVTNOV24!V13+MVTDEC244!V13</f>
        <v>1000000</v>
      </c>
      <c r="W14" s="36">
        <f t="shared" si="1"/>
        <v>0</v>
      </c>
      <c r="X14" s="36"/>
      <c r="Y14" s="36"/>
      <c r="Z14" s="36">
        <f>MVTJANV24!Z13+MVTFEV24!Z13+MVTMARS24!Z13+MVTAVRIL24!Z13+MVTMAI24!Z13+MVTJUIN24!Z13+MVTJUIL24!Z13+MVTAOUT24!Z13+MVTSEPT24!Z13+MVTOCT24!Z13+MVTNOV24!Z13+MVTDEC244!Z13</f>
        <v>0</v>
      </c>
      <c r="AA14" s="36">
        <f>MVTJANV24!AA13+MVTFEV24!AA13+MVTMARS24!AA13+MVTAVRIL24!AA13+MVTMAI24!AA13+MVTJUIN24!AA13+MVTJUIL24!AA13+MVTAOUT24!AA13+MVTSEPT24!AA13+MVTOCT24!AA13+MVTNOV24!AA13+MVTDEC244!AA13</f>
        <v>0</v>
      </c>
      <c r="AB14" s="36">
        <f>MVTJANV24!AB13+MVTFEV24!AB13+MVTMARS24!AB13+MVTAVRIL24!AB13+MVTMAI24!AB13+MVTJUIN24!AB13+MVTJUIL24!AB13+MVTAOUT24!AB13+MVTSEPT24!AB13+MVTOCT24!AB13+MVTNOV24!AB13+MVTDEC244!AB13</f>
        <v>0</v>
      </c>
      <c r="AC14" s="36">
        <f>MVTJANV24!AC13+MVTFEV24!AC13+MVTMARS24!AC13+MVTAVRIL24!AC13+MVTMAI24!AC13+MVTJUIN24!AC13+MVTJUIL24!AC13+MVTAOUT24!AC13+MVTSEPT24!AC13+MVTOCT24!AC13+MVTNOV24!AC13+MVTDEC244!AC13</f>
        <v>0</v>
      </c>
      <c r="AD14" s="36">
        <f>MVTJANV24!AD13+MVTFEV24!AD13+MVTMARS24!AD13+MVTAVRIL24!AD13+MVTMAI24!AD13+MVTJUIN24!AD13+MVTJUIL24!AD13+MVTAOUT24!AD13+MVTSEPT24!AD13+MVTOCT24!AD13+MVTNOV24!AD13+MVTDEC244!AD13</f>
        <v>0</v>
      </c>
      <c r="AE14" s="36">
        <f>MVTJANV24!AE13+MVTFEV24!AE13+MVTMARS24!AE13+MVTAVRIL24!AE13+MVTMAI24!AE13+MVTJUIN24!AE13+MVTJUIL24!AE13+MVTAOUT24!AE13+MVTSEPT24!AE13+MVTOCT24!AE13+MVTNOV24!AE13+MVTDEC244!AE13</f>
        <v>0</v>
      </c>
      <c r="AF14" s="36">
        <f>MVTJANV24!AF13+MVTFEV24!AF13+MVTMARS24!AF13+MVTAVRIL24!AF13+MVTMAI24!AF13+MVTJUIN24!AF13+MVTJUIL24!AF13+MVTAOUT24!AF13+MVTSEPT24!AF13+MVTOCT24!AF13+MVTNOV24!AF13+MVTDEC244!AF13</f>
        <v>0</v>
      </c>
      <c r="AG14" s="36">
        <f>MVTJANV24!AG13+MVTFEV24!AG13+MVTMARS24!AG13+MVTAVRIL24!AG13+MVTMAI24!AG13+MVTJUIN24!AG13+MVTJUIL24!AG13+MVTAOUT24!AG13+MVTSEPT24!AG13+MVTOCT24!AG13+MVTNOV24!AG13+MVTDEC244!AG13</f>
        <v>0</v>
      </c>
      <c r="AH14" s="36">
        <f>MVTJANV24!AH13+MVTFEV24!AH13+MVTMARS24!AH13+MVTAVRIL24!AH13+MVTMAI24!AH13+MVTJUIN24!AH13+MVTJUIL24!AH13+MVTAOUT24!AH13+MVTSEPT24!AH13+MVTOCT24!AH13+MVTNOV24!AH13+MVTDEC244!AH13</f>
        <v>0</v>
      </c>
      <c r="AI14" s="36">
        <f>MVTJANV24!AI13+MVTFEV24!AI13+MVTMARS24!AI13+MVTAVRIL24!AI13+MVTMAI24!AI13+MVTJUIN24!AI13+MVTJUIL24!AI13+MVTAOUT24!AI13+MVTSEPT24!AI13+MVTOCT24!AI13+MVTNOV24!AI13+MVTDEC244!AI13</f>
        <v>0</v>
      </c>
      <c r="AJ14" s="36">
        <f>MVTJANV24!AJ13+MVTFEV24!AJ13+MVTMARS24!AJ13+MVTAVRIL24!AJ13+MVTMAI24!AJ13+MVTJUIN24!AJ13+MVTJUIL24!AJ13+MVTAOUT24!AJ13+MVTSEPT24!AJ13+MVTOCT24!AJ13+MVTNOV24!AJ13+MVTDEC244!AJ13</f>
        <v>0</v>
      </c>
      <c r="AK14" s="36">
        <f>MVTJANV24!AK13+MVTFEV24!AK13+MVTMARS24!AK13+MVTAVRIL24!AK13+MVTMAI24!AK13+MVTJUIN24!AK13+MVTJUIL24!AK13+MVTAOUT24!AK13+MVTSEPT24!AK13+MVTOCT24!AK13+MVTNOV24!AK13+MVTDEC244!AK13</f>
        <v>0</v>
      </c>
      <c r="AL14" s="143">
        <v>45627</v>
      </c>
      <c r="AM14" s="144">
        <f t="shared" si="2"/>
        <v>120000</v>
      </c>
      <c r="AN14" s="144">
        <f>MVTJANV24!AL13+MVTFEV24!AL13+MVTMARS24!AL13+MVTAVRIL24!AL13+MVTMAI24!AL13+MVTJUIN24!AL13+MVTJUIL24!AL13+MVTAOUT24!AL13+MVTSEPT24!AL13+MVTOCT24!AL13+MVTNOV24!AL13+MVTDEC244!AL13</f>
        <v>0</v>
      </c>
      <c r="AO14" s="144"/>
      <c r="AQ14" s="36"/>
    </row>
    <row r="15" spans="1:43" ht="15.5" x14ac:dyDescent="0.35">
      <c r="A15" s="1" t="s">
        <v>26</v>
      </c>
      <c r="B15" s="1" t="str">
        <f>VLOOKUP(A15,[19]LISTADHERENT!A$5:H$60,3,0)</f>
        <v>DONHOU DAVID</v>
      </c>
      <c r="C15" s="36">
        <f>+MVTDEC23!C14</f>
        <v>700000</v>
      </c>
      <c r="D15" s="36">
        <f>+MVTDEC23!D14</f>
        <v>518031.2910165739</v>
      </c>
      <c r="E15" s="36">
        <f>VLOOKUP($A15,[29]HISTODEC24!$A$6:$BA$38,48,0)</f>
        <v>0</v>
      </c>
      <c r="F15" s="36">
        <f>MVTDEC244!F14</f>
        <v>1544433.1189516559</v>
      </c>
      <c r="G15" s="5">
        <f>MVTDEC244!G14</f>
        <v>1544433.1189516559</v>
      </c>
      <c r="H15" s="36">
        <f>MVTDEC23!H14+MVTJANV24!H14+MVTFEV24!H14+MVTMARS24!H14+MVTAVRIL24!H14+MVTMAI24!H14+MVTJUIN24!H14+MVTJUIL24!H14+MVTAOUT24!H14+MVTSEPT24!H14+MVTOCT24!H14+MVTNOV24!H14+MVTDEC244!H14</f>
        <v>104720.22767186417</v>
      </c>
      <c r="I15" s="6">
        <f t="shared" si="0"/>
        <v>1649153.3466235201</v>
      </c>
      <c r="J15" s="36">
        <f>MVTJANV24!J14+MVTFEV24!J14+MVTMARS24!J14+MVTAVRIL24!J14+MVTMAI24!J14+MVTJUIN24!J14+MVTJUIL24!J14+MVTAOUT24!J14+MVTSEPT24!J14+MVTOCT24!J14+MVTNOV24!J14+MVTDEC244!J14</f>
        <v>0</v>
      </c>
      <c r="K15" s="36">
        <f>MVTJANV24!K14+MVTFEV24!K14+MVTMARS24!K14+MVTAVRIL24!K14+MVTMAI24!K14+MVTJUIN24!K14+MVTJUIL24!K14+MVTAOUT24!K14+MVTSEPT24!K14+MVTOCT24!K14+MVTNOV24!K14+MVTDEC244!K14</f>
        <v>300000</v>
      </c>
      <c r="L15" s="36">
        <f>MVTJANV24!L14+MVTFEV24!L14+MVTMARS24!L14+MVTAVRIL24!L14+MVTMAI24!L14+MVTJUIN24!L14+MVTJUIL24!L14+MVTAOUT24!L14+MVTSEPT24!L14+MVTOCT24!L14+MVTNOV24!L14+MVTDEC244!L14</f>
        <v>228000</v>
      </c>
      <c r="M15" s="36">
        <f>MVTJANV24!M14+MVTFEV24!M14+MVTMARS24!M14+MVTAVRIL24!M14+MVTMAI24!M14+MVTJUIN24!M14+MVTJUIL24!M14+MVTAOUT24!M14+MVTSEPT24!M14+MVTOCT24!M14+MVTNOV24!M14+MVTDEC244!M14</f>
        <v>12000</v>
      </c>
      <c r="N15" s="36">
        <f>MVTJANV24!N14+MVTFEV24!N14+MVTMARS24!N14+MVTAVRIL24!N14+MVTMAI24!N14+MVTJUIN24!N14+MVTJUIL24!N14+MVTAOUT24!N14+MVTSEPT24!N14+MVTOCT24!N14+MVTNOV24!N14+MVTDEC244!N14</f>
        <v>12000</v>
      </c>
      <c r="O15" s="36">
        <f>MVTJANV24!O14+MVTFEV24!O14+MVTMARS24!O14+MVTAVRIL24!O14+MVTMAI24!O14+MVTJUIN24!O14+MVTJUIL24!O14+MVTAOUT24!O14+MVTSEPT24!O14+MVTOCT24!O14+MVTNOV24!O14+MVTDEC244!O14</f>
        <v>48000</v>
      </c>
      <c r="P15" s="36">
        <f>MVTJANV24!P14+MVTFEV24!P14+MVTMARS24!P14+MVTAVRIL24!P14+MVTMAI24!P14+MVTJUIN24!P14+MVTJUIL24!P14+MVTAOUT24!P14+MVTSEPT24!P14+MVTOCT24!P14+MVTNOV24!P14+MVTDEC244!P14</f>
        <v>3000</v>
      </c>
      <c r="Q15" s="36">
        <f>MVTJANV24!Q14+MVTFEV24!Q14+MVTMARS24!Q14+MVTAVRIL24!Q14+MVTMAI24!Q14+MVTJUIN24!Q14+MVTJUIL24!Q14+MVTAOUT24!Q14+MVTSEPT24!Q14+MVTOCT24!Q14+MVTNOV24!Q14+MVTDEC244!Q14</f>
        <v>0</v>
      </c>
      <c r="R15" s="36">
        <f>MVTJANV24!R14+MVTFEV24!R14+MVTMARS24!R14+MVTAVRIL24!R14+MVTMAI24!R14+MVTJUIN24!R14+MVTJUIL24!R14+MVTAOUT24!R14+MVTSEPT24!R14+MVTOCT24!R14+MVTNOV24!R14+MVTDEC244!R14</f>
        <v>0</v>
      </c>
      <c r="S15" s="36">
        <f>MVTDEC23!S14+MVTJANV24!S14+MVTFEV24!S14+MVTMARS24!S14+MVTAVRIL24!S14+MVTMAI24!S14+MVTJUIN24!S14+MVTJUIL24!S14+MVTAOUT24!S14+MVTSEPT24!S14+MVTOCT24!S14+MVTNOV24!S14+MVTDEC244!S14</f>
        <v>0</v>
      </c>
      <c r="T15" s="36">
        <f>MVTDEC23!T14+MVTJANV24!T14+MVTFEV24!T14+MVTMARS24!T14+MVTAVRIL24!T14+MVTMAI24!T14+MVTJUIN24!T14+MVTJUIL24!T14+MVTAOUT24!T14+MVTSEPT24!T14+MVTOCT24!T14+MVTNOV24!T14+MVTDEC244!T14</f>
        <v>0</v>
      </c>
      <c r="U15" s="36"/>
      <c r="V15" s="36">
        <f>MVTJANV24!V14+MVTFEV24!V14+MVTMARS24!V14+MVTAVRIL24!V14+MVTMAI24!V14+MVTJUIN24!V14+MVTJUIL24!V14+MVTAOUT24!V14+MVTSEPT24!V14+MVTOCT24!V14+MVTNOV24!V14+MVTDEC244!V14</f>
        <v>0</v>
      </c>
      <c r="W15" s="36">
        <f t="shared" si="1"/>
        <v>0</v>
      </c>
      <c r="X15" s="36"/>
      <c r="Y15" s="36"/>
      <c r="Z15" s="36">
        <f>MVTJANV24!Z14+MVTFEV24!Z14+MVTMARS24!Z14+MVTAVRIL24!Z14+MVTMAI24!Z14+MVTJUIN24!Z14+MVTJUIL24!Z14+MVTAOUT24!Z14+MVTSEPT24!Z14+MVTOCT24!Z14+MVTNOV24!Z14+MVTDEC244!Z14</f>
        <v>0</v>
      </c>
      <c r="AA15" s="36">
        <f>MVTJANV24!AA14+MVTFEV24!AA14+MVTMARS24!AA14+MVTAVRIL24!AA14+MVTMAI24!AA14+MVTJUIN24!AA14+MVTJUIL24!AA14+MVTAOUT24!AA14+MVTSEPT24!AA14+MVTOCT24!AA14+MVTNOV24!AA14+MVTDEC244!AA14</f>
        <v>0</v>
      </c>
      <c r="AB15" s="36">
        <f>MVTJANV24!AB14+MVTFEV24!AB14+MVTMARS24!AB14+MVTAVRIL24!AB14+MVTMAI24!AB14+MVTJUIN24!AB14+MVTJUIL24!AB14+MVTAOUT24!AB14+MVTSEPT24!AB14+MVTOCT24!AB14+MVTNOV24!AB14+MVTDEC244!AB14</f>
        <v>0</v>
      </c>
      <c r="AC15" s="36">
        <f>MVTJANV24!AC14+MVTFEV24!AC14+MVTMARS24!AC14+MVTAVRIL24!AC14+MVTMAI24!AC14+MVTJUIN24!AC14+MVTJUIL24!AC14+MVTAOUT24!AC14+MVTSEPT24!AC14+MVTOCT24!AC14+MVTNOV24!AC14+MVTDEC244!AC14</f>
        <v>0</v>
      </c>
      <c r="AD15" s="36">
        <f>MVTJANV24!AD14+MVTFEV24!AD14+MVTMARS24!AD14+MVTAVRIL24!AD14+MVTMAI24!AD14+MVTJUIN24!AD14+MVTJUIL24!AD14+MVTAOUT24!AD14+MVTSEPT24!AD14+MVTOCT24!AD14+MVTNOV24!AD14+MVTDEC244!AD14</f>
        <v>0</v>
      </c>
      <c r="AE15" s="36">
        <f>MVTJANV24!AE14+MVTFEV24!AE14+MVTMARS24!AE14+MVTAVRIL24!AE14+MVTMAI24!AE14+MVTJUIN24!AE14+MVTJUIL24!AE14+MVTAOUT24!AE14+MVTSEPT24!AE14+MVTOCT24!AE14+MVTNOV24!AE14+MVTDEC244!AE14</f>
        <v>0</v>
      </c>
      <c r="AF15" s="36">
        <f>MVTJANV24!AF14+MVTFEV24!AF14+MVTMARS24!AF14+MVTAVRIL24!AF14+MVTMAI24!AF14+MVTJUIN24!AF14+MVTJUIL24!AF14+MVTAOUT24!AF14+MVTSEPT24!AF14+MVTOCT24!AF14+MVTNOV24!AF14+MVTDEC244!AF14</f>
        <v>0</v>
      </c>
      <c r="AG15" s="36">
        <f>MVTJANV24!AG14+MVTFEV24!AG14+MVTMARS24!AG14+MVTAVRIL24!AG14+MVTMAI24!AG14+MVTJUIN24!AG14+MVTJUIL24!AG14+MVTAOUT24!AG14+MVTSEPT24!AG14+MVTOCT24!AG14+MVTNOV24!AG14+MVTDEC244!AG14</f>
        <v>0</v>
      </c>
      <c r="AH15" s="36">
        <f>MVTJANV24!AH14+MVTFEV24!AH14+MVTMARS24!AH14+MVTAVRIL24!AH14+MVTMAI24!AH14+MVTJUIN24!AH14+MVTJUIL24!AH14+MVTAOUT24!AH14+MVTSEPT24!AH14+MVTOCT24!AH14+MVTNOV24!AH14+MVTDEC244!AH14</f>
        <v>0</v>
      </c>
      <c r="AI15" s="36">
        <f>MVTJANV24!AI14+MVTFEV24!AI14+MVTMARS24!AI14+MVTAVRIL24!AI14+MVTMAI24!AI14+MVTJUIN24!AI14+MVTJUIL24!AI14+MVTAOUT24!AI14+MVTSEPT24!AI14+MVTOCT24!AI14+MVTNOV24!AI14+MVTDEC244!AI14</f>
        <v>0</v>
      </c>
      <c r="AJ15" s="36">
        <f>MVTJANV24!AJ14+MVTFEV24!AJ14+MVTMARS24!AJ14+MVTAVRIL24!AJ14+MVTMAI24!AJ14+MVTJUIN24!AJ14+MVTJUIL24!AJ14+MVTAOUT24!AJ14+MVTSEPT24!AJ14+MVTOCT24!AJ14+MVTNOV24!AJ14+MVTDEC244!AJ14</f>
        <v>0</v>
      </c>
      <c r="AK15" s="36">
        <f>MVTJANV24!AK14+MVTFEV24!AK14+MVTMARS24!AK14+MVTAVRIL24!AK14+MVTMAI24!AK14+MVTJUIN24!AK14+MVTJUIL24!AK14+MVTAOUT24!AK14+MVTSEPT24!AK14+MVTOCT24!AK14+MVTNOV24!AK14+MVTDEC244!AK14</f>
        <v>0</v>
      </c>
      <c r="AL15" s="143"/>
      <c r="AM15" s="144">
        <f t="shared" si="2"/>
        <v>0</v>
      </c>
      <c r="AN15" s="144">
        <f>MVTJANV24!AL14+MVTFEV24!AL14+MVTMARS24!AL14+MVTAVRIL24!AL14+MVTMAI24!AL14+MVTJUIN24!AL14+MVTJUIL24!AL14+MVTAOUT24!AL14+MVTSEPT24!AL14+MVTOCT24!AL14+MVTNOV24!AL14+MVTDEC244!AL14</f>
        <v>0</v>
      </c>
      <c r="AO15" s="144"/>
      <c r="AQ15" s="36"/>
    </row>
    <row r="16" spans="1:43" ht="14.25" customHeight="1" x14ac:dyDescent="0.35">
      <c r="A16" s="1" t="s">
        <v>28</v>
      </c>
      <c r="B16" s="1" t="str">
        <f>VLOOKUP(A16,[19]LISTADHERENT!A$5:H$60,3,0)</f>
        <v>HENGUE PAUL OMER</v>
      </c>
      <c r="C16" s="36">
        <f>+MVTDEC23!C15</f>
        <v>700000</v>
      </c>
      <c r="D16" s="36">
        <f>+MVTDEC23!D15</f>
        <v>57899.603500921949</v>
      </c>
      <c r="E16" s="36">
        <f>VLOOKUP($A16,[29]HISTODEC24!$A$6:$BA$38,48,0)</f>
        <v>0</v>
      </c>
      <c r="F16" s="36">
        <f>MVTDEC244!F15</f>
        <v>1047847.8141107176</v>
      </c>
      <c r="G16" s="5">
        <f>MVTDEC244!G15</f>
        <v>1047847.8141107176</v>
      </c>
      <c r="H16" s="36">
        <f>MVTDEC23!H15+MVTJANV24!H15+MVTFEV24!H15+MVTMARS24!H15+MVTAVRIL24!H15+MVTMAI24!H15+MVTJUIN24!H15+MVTJUIL24!H15+MVTAOUT24!H15+MVTSEPT24!H15+MVTOCT24!H15+MVTNOV24!H15+MVTDEC244!H15</f>
        <v>66235.0400436005</v>
      </c>
      <c r="I16" s="6">
        <f t="shared" si="0"/>
        <v>1114082.8541543181</v>
      </c>
      <c r="J16" s="36">
        <f>MVTJANV24!J15+MVTFEV24!J15+MVTMARS24!J15+MVTAVRIL24!J15+MVTMAI24!J15+MVTJUIN24!J15+MVTJUIL24!J15+MVTAOUT24!J15+MVTSEPT24!J15+MVTOCT24!J15+MVTNOV24!J15+MVTDEC244!J15</f>
        <v>0</v>
      </c>
      <c r="K16" s="36">
        <f>MVTJANV24!K15+MVTFEV24!K15+MVTMARS24!K15+MVTAVRIL24!K15+MVTMAI24!K15+MVTJUIN24!K15+MVTJUIL24!K15+MVTAOUT24!K15+MVTSEPT24!K15+MVTOCT24!K15+MVTNOV24!K15+MVTDEC244!K15</f>
        <v>300000</v>
      </c>
      <c r="L16" s="36">
        <f>MVTJANV24!L15+MVTFEV24!L15+MVTMARS24!L15+MVTAVRIL24!L15+MVTMAI24!L15+MVTJUIN24!L15+MVTJUIL24!L15+MVTAOUT24!L15+MVTSEPT24!L15+MVTOCT24!L15+MVTNOV24!L15+MVTDEC244!L15</f>
        <v>228000</v>
      </c>
      <c r="M16" s="36">
        <f>MVTJANV24!M15+MVTFEV24!M15+MVTMARS24!M15+MVTAVRIL24!M15+MVTMAI24!M15+MVTJUIN24!M15+MVTJUIL24!M15+MVTAOUT24!M15+MVTSEPT24!M15+MVTOCT24!M15+MVTNOV24!M15+MVTDEC244!M15</f>
        <v>12000</v>
      </c>
      <c r="N16" s="36">
        <f>MVTJANV24!N15+MVTFEV24!N15+MVTMARS24!N15+MVTAVRIL24!N15+MVTMAI24!N15+MVTJUIN24!N15+MVTJUIL24!N15+MVTAOUT24!N15+MVTSEPT24!N15+MVTOCT24!N15+MVTNOV24!N15+MVTDEC244!N15</f>
        <v>12000</v>
      </c>
      <c r="O16" s="36">
        <f>MVTJANV24!O15+MVTFEV24!O15+MVTMARS24!O15+MVTAVRIL24!O15+MVTMAI24!O15+MVTJUIN24!O15+MVTJUIL24!O15+MVTAOUT24!O15+MVTSEPT24!O15+MVTOCT24!O15+MVTNOV24!O15+MVTDEC244!O15</f>
        <v>48000</v>
      </c>
      <c r="P16" s="36">
        <f>MVTJANV24!P15+MVTFEV24!P15+MVTMARS24!P15+MVTAVRIL24!P15+MVTMAI24!P15+MVTJUIN24!P15+MVTJUIL24!P15+MVTAOUT24!P15+MVTSEPT24!P15+MVTOCT24!P15+MVTNOV24!P15+MVTDEC244!P15</f>
        <v>0</v>
      </c>
      <c r="Q16" s="36">
        <f>MVTJANV24!Q15+MVTFEV24!Q15+MVTMARS24!Q15+MVTAVRIL24!Q15+MVTMAI24!Q15+MVTJUIN24!Q15+MVTJUIL24!Q15+MVTAOUT24!Q15+MVTSEPT24!Q15+MVTOCT24!Q15+MVTNOV24!Q15+MVTDEC244!Q15</f>
        <v>0</v>
      </c>
      <c r="R16" s="36">
        <f>MVTJANV24!R15+MVTFEV24!R15+MVTMARS24!R15+MVTAVRIL24!R15+MVTMAI24!R15+MVTJUIN24!R15+MVTJUIL24!R15+MVTAOUT24!R15+MVTSEPT24!R15+MVTOCT24!R15+MVTNOV24!R15+MVTDEC244!R15</f>
        <v>0</v>
      </c>
      <c r="S16" s="36">
        <f>MVTDEC23!S15+MVTJANV24!S15+MVTFEV24!S15+MVTMARS24!S15+MVTAVRIL24!S15+MVTMAI24!S15+MVTJUIN24!S15+MVTJUIL24!S15+MVTAOUT24!S15+MVTSEPT24!S15+MVTOCT24!S15+MVTNOV24!S15+MVTDEC244!S15</f>
        <v>1000000</v>
      </c>
      <c r="T16" s="36">
        <f>MVTDEC23!T15+MVTJANV24!T15+MVTFEV24!T15+MVTMARS24!T15+MVTAVRIL24!T15+MVTMAI24!T15+MVTJUIN24!T15+MVTJUIL24!T15+MVTAOUT24!T15+MVTSEPT24!T15+MVTOCT24!T15+MVTNOV24!T15+MVTDEC244!T15</f>
        <v>70000</v>
      </c>
      <c r="U16" s="36"/>
      <c r="V16" s="36">
        <f>MVTJANV24!V15+MVTFEV24!V15+MVTMARS24!V15+MVTAVRIL24!V15+MVTMAI24!V15+MVTJUIN24!V15+MVTJUIL24!V15+MVTAOUT24!V15+MVTSEPT24!V15+MVTOCT24!V15+MVTNOV24!V15+MVTDEC244!V15</f>
        <v>0</v>
      </c>
      <c r="W16" s="36">
        <f t="shared" si="1"/>
        <v>1000000</v>
      </c>
      <c r="X16" s="36"/>
      <c r="Y16" s="36"/>
      <c r="Z16" s="36">
        <f>MVTJANV24!Z15+MVTFEV24!Z15+MVTMARS24!Z15+MVTAVRIL24!Z15+MVTMAI24!Z15+MVTJUIN24!Z15+MVTJUIL24!Z15+MVTAOUT24!Z15+MVTSEPT24!Z15+MVTOCT24!Z15+MVTNOV24!Z15+MVTDEC244!Z15</f>
        <v>0</v>
      </c>
      <c r="AA16" s="36">
        <f>MVTJANV24!AA15+MVTFEV24!AA15+MVTMARS24!AA15+MVTAVRIL24!AA15+MVTMAI24!AA15+MVTJUIN24!AA15+MVTJUIL24!AA15+MVTAOUT24!AA15+MVTSEPT24!AA15+MVTOCT24!AA15+MVTNOV24!AA15+MVTDEC244!AA15</f>
        <v>0</v>
      </c>
      <c r="AB16" s="36">
        <f>MVTJANV24!AB15+MVTFEV24!AB15+MVTMARS24!AB15+MVTAVRIL24!AB15+MVTMAI24!AB15+MVTJUIN24!AB15+MVTJUIL24!AB15+MVTAOUT24!AB15+MVTSEPT24!AB15+MVTOCT24!AB15+MVTNOV24!AB15+MVTDEC244!AB15</f>
        <v>0</v>
      </c>
      <c r="AC16" s="36">
        <f>MVTJANV24!AC15+MVTFEV24!AC15+MVTMARS24!AC15+MVTAVRIL24!AC15+MVTMAI24!AC15+MVTJUIN24!AC15+MVTJUIL24!AC15+MVTAOUT24!AC15+MVTSEPT24!AC15+MVTOCT24!AC15+MVTNOV24!AC15+MVTDEC244!AC15</f>
        <v>0</v>
      </c>
      <c r="AD16" s="36">
        <f>MVTJANV24!AD15+MVTFEV24!AD15+MVTMARS24!AD15+MVTAVRIL24!AD15+MVTMAI24!AD15+MVTJUIN24!AD15+MVTJUIL24!AD15+MVTAOUT24!AD15+MVTSEPT24!AD15+MVTOCT24!AD15+MVTNOV24!AD15+MVTDEC244!AD15</f>
        <v>0</v>
      </c>
      <c r="AE16" s="36">
        <f>MVTJANV24!AE15+MVTFEV24!AE15+MVTMARS24!AE15+MVTAVRIL24!AE15+MVTMAI24!AE15+MVTJUIN24!AE15+MVTJUIL24!AE15+MVTAOUT24!AE15+MVTSEPT24!AE15+MVTOCT24!AE15+MVTNOV24!AE15+MVTDEC244!AE15</f>
        <v>0</v>
      </c>
      <c r="AF16" s="36">
        <f>MVTJANV24!AF15+MVTFEV24!AF15+MVTMARS24!AF15+MVTAVRIL24!AF15+MVTMAI24!AF15+MVTJUIN24!AF15+MVTJUIL24!AF15+MVTAOUT24!AF15+MVTSEPT24!AF15+MVTOCT24!AF15+MVTNOV24!AF15+MVTDEC244!AF15</f>
        <v>0</v>
      </c>
      <c r="AG16" s="36">
        <f>MVTJANV24!AG15+MVTFEV24!AG15+MVTMARS24!AG15+MVTAVRIL24!AG15+MVTMAI24!AG15+MVTJUIN24!AG15+MVTJUIL24!AG15+MVTAOUT24!AG15+MVTSEPT24!AG15+MVTOCT24!AG15+MVTNOV24!AG15+MVTDEC244!AG15</f>
        <v>0</v>
      </c>
      <c r="AH16" s="36">
        <f>MVTJANV24!AH15+MVTFEV24!AH15+MVTMARS24!AH15+MVTAVRIL24!AH15+MVTMAI24!AH15+MVTJUIN24!AH15+MVTJUIL24!AH15+MVTAOUT24!AH15+MVTSEPT24!AH15+MVTOCT24!AH15+MVTNOV24!AH15+MVTDEC244!AH15</f>
        <v>0</v>
      </c>
      <c r="AI16" s="36">
        <f>MVTJANV24!AI15+MVTFEV24!AI15+MVTMARS24!AI15+MVTAVRIL24!AI15+MVTMAI24!AI15+MVTJUIN24!AI15+MVTJUIL24!AI15+MVTAOUT24!AI15+MVTSEPT24!AI15+MVTOCT24!AI15+MVTNOV24!AI15+MVTDEC244!AI15</f>
        <v>0</v>
      </c>
      <c r="AJ16" s="36">
        <f>MVTJANV24!AJ15+MVTFEV24!AJ15+MVTMARS24!AJ15+MVTAVRIL24!AJ15+MVTMAI24!AJ15+MVTJUIN24!AJ15+MVTJUIL24!AJ15+MVTAOUT24!AJ15+MVTSEPT24!AJ15+MVTOCT24!AJ15+MVTNOV24!AJ15+MVTDEC244!AJ15</f>
        <v>0</v>
      </c>
      <c r="AK16" s="36">
        <f>MVTJANV24!AK15+MVTFEV24!AK15+MVTMARS24!AK15+MVTAVRIL24!AK15+MVTMAI24!AK15+MVTJUIN24!AK15+MVTJUIL24!AK15+MVTAOUT24!AK15+MVTSEPT24!AK15+MVTOCT24!AK15+MVTNOV24!AK15+MVTDEC244!AK15</f>
        <v>0</v>
      </c>
      <c r="AL16" s="143">
        <v>45627</v>
      </c>
      <c r="AM16" s="144">
        <f t="shared" si="2"/>
        <v>70000</v>
      </c>
      <c r="AN16" s="144">
        <f>MVTJANV24!AL15+MVTFEV24!AL15+MVTMARS24!AL15+MVTAVRIL24!AL15+MVTMAI24!AL15+MVTJUIN24!AL15+MVTJUIL24!AL15+MVTAOUT24!AL15+MVTSEPT24!AL15+MVTOCT24!AL15+MVTNOV24!AL15+MVTDEC244!AL15</f>
        <v>0</v>
      </c>
      <c r="AO16" s="144"/>
      <c r="AQ16" s="36"/>
    </row>
    <row r="17" spans="1:43" ht="15.5" x14ac:dyDescent="0.35">
      <c r="A17" s="1" t="s">
        <v>29</v>
      </c>
      <c r="B17" s="1" t="str">
        <f>VLOOKUP(A17,[19]LISTADHERENT!A$5:H$60,3,0)</f>
        <v>HOTCHO BENJAMIN</v>
      </c>
      <c r="C17" s="36">
        <f>+MVTDEC23!C16</f>
        <v>700000</v>
      </c>
      <c r="D17" s="36">
        <f>+MVTDEC23!D16</f>
        <v>29661.208104101592</v>
      </c>
      <c r="E17" s="36">
        <f>VLOOKUP($A17,[29]HISTODEC24!$A$6:$BA$38,48,0)</f>
        <v>0</v>
      </c>
      <c r="F17" s="36">
        <f>MVTDEC244!F16</f>
        <v>1379742.1014354646</v>
      </c>
      <c r="G17" s="5">
        <f>MVTDEC244!G16</f>
        <v>1379742.1014354646</v>
      </c>
      <c r="H17" s="36">
        <f>MVTDEC23!H16+MVTJANV24!H16+MVTFEV24!H16+MVTMARS24!H16+MVTAVRIL24!H16+MVTMAI24!H16+MVTJUIN24!H16+MVTJUIL24!H16+MVTAOUT24!H16+MVTSEPT24!H16+MVTOCT24!H16+MVTNOV24!H16+MVTDEC244!H16</f>
        <v>68725.52890901413</v>
      </c>
      <c r="I17" s="6">
        <f t="shared" si="0"/>
        <v>1448467.6303444786</v>
      </c>
      <c r="J17" s="36">
        <f>MVTJANV24!J16+MVTFEV24!J16+MVTMARS24!J16+MVTAVRIL24!J16+MVTMAI24!J16+MVTJUIN24!J16+MVTJUIL24!J16+MVTAOUT24!J16+MVTSEPT24!J16+MVTOCT24!J16+MVTNOV24!J16+MVTDEC244!J16</f>
        <v>0</v>
      </c>
      <c r="K17" s="36">
        <f>MVTJANV24!K16+MVTFEV24!K16+MVTMARS24!K16+MVTAVRIL24!K16+MVTMAI24!K16+MVTJUIN24!K16+MVTJUIL24!K16+MVTAOUT24!K16+MVTSEPT24!K16+MVTOCT24!K16+MVTNOV24!K16+MVTDEC244!K16</f>
        <v>659000</v>
      </c>
      <c r="L17" s="36">
        <f>MVTJANV24!L16+MVTFEV24!L16+MVTMARS24!L16+MVTAVRIL24!L16+MVTMAI24!L16+MVTJUIN24!L16+MVTJUIL24!L16+MVTAOUT24!L16+MVTSEPT24!L16+MVTOCT24!L16+MVTNOV24!L16+MVTDEC244!L16</f>
        <v>587000</v>
      </c>
      <c r="M17" s="36">
        <f>MVTJANV24!M16+MVTFEV24!M16+MVTMARS24!M16+MVTAVRIL24!M16+MVTMAI24!M16+MVTJUIN24!M16+MVTJUIL24!M16+MVTAOUT24!M16+MVTSEPT24!M16+MVTOCT24!M16+MVTNOV24!M16+MVTDEC244!M16</f>
        <v>12000</v>
      </c>
      <c r="N17" s="36">
        <f>MVTJANV24!N16+MVTFEV24!N16+MVTMARS24!N16+MVTAVRIL24!N16+MVTMAI24!N16+MVTJUIN24!N16+MVTJUIL24!N16+MVTAOUT24!N16+MVTSEPT24!N16+MVTOCT24!N16+MVTNOV24!N16+MVTDEC244!N16</f>
        <v>12000</v>
      </c>
      <c r="O17" s="36">
        <f>MVTJANV24!O16+MVTFEV24!O16+MVTMARS24!O16+MVTAVRIL24!O16+MVTMAI24!O16+MVTJUIN24!O16+MVTJUIL24!O16+MVTAOUT24!O16+MVTSEPT24!O16+MVTOCT24!O16+MVTNOV24!O16+MVTDEC244!O16</f>
        <v>48000</v>
      </c>
      <c r="P17" s="36">
        <f>MVTJANV24!P16+MVTFEV24!P16+MVTMARS24!P16+MVTAVRIL24!P16+MVTMAI24!P16+MVTJUIN24!P16+MVTJUIL24!P16+MVTAOUT24!P16+MVTSEPT24!P16+MVTOCT24!P16+MVTNOV24!P16+MVTDEC244!P16</f>
        <v>0</v>
      </c>
      <c r="Q17" s="36">
        <f>MVTJANV24!Q16+MVTFEV24!Q16+MVTMARS24!Q16+MVTAVRIL24!Q16+MVTMAI24!Q16+MVTJUIN24!Q16+MVTJUIL24!Q16+MVTAOUT24!Q16+MVTSEPT24!Q16+MVTOCT24!Q16+MVTNOV24!Q16+MVTDEC244!Q16</f>
        <v>0</v>
      </c>
      <c r="R17" s="36">
        <f>MVTJANV24!R16+MVTFEV24!R16+MVTMARS24!R16+MVTAVRIL24!R16+MVTMAI24!R16+MVTJUIN24!R16+MVTJUIL24!R16+MVTAOUT24!R16+MVTSEPT24!R16+MVTOCT24!R16+MVTNOV24!R16+MVTDEC244!R16</f>
        <v>0</v>
      </c>
      <c r="S17" s="36">
        <f>MVTDEC23!S16+MVTJANV24!S16+MVTFEV24!S16+MVTMARS24!S16+MVTAVRIL24!S16+MVTMAI24!S16+MVTJUIN24!S16+MVTJUIL24!S16+MVTAOUT24!S16+MVTSEPT24!S16+MVTOCT24!S16+MVTNOV24!S16+MVTDEC244!S16</f>
        <v>1238500</v>
      </c>
      <c r="T17" s="36">
        <f>MVTDEC23!T16+MVTJANV24!T16+MVTFEV24!T16+MVTMARS24!T16+MVTAVRIL24!T16+MVTMAI24!T16+MVTJUIN24!T16+MVTJUIL24!T16+MVTAOUT24!T16+MVTSEPT24!T16+MVTOCT24!T16+MVTNOV24!T16+MVTDEC244!T16</f>
        <v>30000</v>
      </c>
      <c r="U17" s="36"/>
      <c r="V17" s="36">
        <f>MVTJANV24!V16+MVTFEV24!V16+MVTMARS24!V16+MVTAVRIL24!V16+MVTMAI24!V16+MVTJUIN24!V16+MVTJUIL24!V16+MVTAOUT24!V16+MVTSEPT24!V16+MVTOCT24!V16+MVTNOV24!V16+MVTDEC244!V16</f>
        <v>1238500</v>
      </c>
      <c r="W17" s="36">
        <f t="shared" si="1"/>
        <v>0</v>
      </c>
      <c r="X17" s="36"/>
      <c r="Y17" s="36"/>
      <c r="Z17" s="36">
        <f>MVTJANV24!Z16+MVTFEV24!Z16+MVTMARS24!Z16+MVTAVRIL24!Z16+MVTMAI24!Z16+MVTJUIN24!Z16+MVTJUIL24!Z16+MVTAOUT24!Z16+MVTSEPT24!Z16+MVTOCT24!Z16+MVTNOV24!Z16+MVTDEC244!Z16</f>
        <v>0</v>
      </c>
      <c r="AA17" s="36">
        <f>MVTJANV24!AA16+MVTFEV24!AA16+MVTMARS24!AA16+MVTAVRIL24!AA16+MVTMAI24!AA16+MVTJUIN24!AA16+MVTJUIL24!AA16+MVTAOUT24!AA16+MVTSEPT24!AA16+MVTOCT24!AA16+MVTNOV24!AA16+MVTDEC244!AA16</f>
        <v>0</v>
      </c>
      <c r="AB17" s="36">
        <f>MVTJANV24!AB16+MVTFEV24!AB16+MVTMARS24!AB16+MVTAVRIL24!AB16+MVTMAI24!AB16+MVTJUIN24!AB16+MVTJUIL24!AB16+MVTAOUT24!AB16+MVTSEPT24!AB16+MVTOCT24!AB16+MVTNOV24!AB16+MVTDEC244!AB16</f>
        <v>0</v>
      </c>
      <c r="AC17" s="36">
        <f>MVTJANV24!AC16+MVTFEV24!AC16+MVTMARS24!AC16+MVTAVRIL24!AC16+MVTMAI24!AC16+MVTJUIN24!AC16+MVTJUIL24!AC16+MVTAOUT24!AC16+MVTSEPT24!AC16+MVTOCT24!AC16+MVTNOV24!AC16+MVTDEC244!AC16</f>
        <v>0</v>
      </c>
      <c r="AD17" s="36">
        <f>MVTJANV24!AD16+MVTFEV24!AD16+MVTMARS24!AD16+MVTAVRIL24!AD16+MVTMAI24!AD16+MVTJUIN24!AD16+MVTJUIL24!AD16+MVTAOUT24!AD16+MVTSEPT24!AD16+MVTOCT24!AD16+MVTNOV24!AD16+MVTDEC244!AD16</f>
        <v>0</v>
      </c>
      <c r="AE17" s="36">
        <f>MVTJANV24!AE16+MVTFEV24!AE16+MVTMARS24!AE16+MVTAVRIL24!AE16+MVTMAI24!AE16+MVTJUIN24!AE16+MVTJUIL24!AE16+MVTAOUT24!AE16+MVTSEPT24!AE16+MVTOCT24!AE16+MVTNOV24!AE16+MVTDEC244!AE16</f>
        <v>0</v>
      </c>
      <c r="AF17" s="36">
        <f>MVTJANV24!AF16+MVTFEV24!AF16+MVTMARS24!AF16+MVTAVRIL24!AF16+MVTMAI24!AF16+MVTJUIN24!AF16+MVTJUIL24!AF16+MVTAOUT24!AF16+MVTSEPT24!AF16+MVTOCT24!AF16+MVTNOV24!AF16+MVTDEC244!AF16</f>
        <v>0</v>
      </c>
      <c r="AG17" s="36">
        <f>MVTJANV24!AG16+MVTFEV24!AG16+MVTMARS24!AG16+MVTAVRIL24!AG16+MVTMAI24!AG16+MVTJUIN24!AG16+MVTJUIL24!AG16+MVTAOUT24!AG16+MVTSEPT24!AG16+MVTOCT24!AG16+MVTNOV24!AG16+MVTDEC244!AG16</f>
        <v>0</v>
      </c>
      <c r="AH17" s="36">
        <f>MVTJANV24!AH16+MVTFEV24!AH16+MVTMARS24!AH16+MVTAVRIL24!AH16+MVTMAI24!AH16+MVTJUIN24!AH16+MVTJUIL24!AH16+MVTAOUT24!AH16+MVTSEPT24!AH16+MVTOCT24!AH16+MVTNOV24!AH16+MVTDEC244!AH16</f>
        <v>0</v>
      </c>
      <c r="AI17" s="36">
        <f>MVTJANV24!AI16+MVTFEV24!AI16+MVTMARS24!AI16+MVTAVRIL24!AI16+MVTMAI24!AI16+MVTJUIN24!AI16+MVTJUIL24!AI16+MVTAOUT24!AI16+MVTSEPT24!AI16+MVTOCT24!AI16+MVTNOV24!AI16+MVTDEC244!AI16</f>
        <v>0</v>
      </c>
      <c r="AJ17" s="36">
        <f>MVTJANV24!AJ16+MVTFEV24!AJ16+MVTMARS24!AJ16+MVTAVRIL24!AJ16+MVTMAI24!AJ16+MVTJUIN24!AJ16+MVTJUIL24!AJ16+MVTAOUT24!AJ16+MVTSEPT24!AJ16+MVTOCT24!AJ16+MVTNOV24!AJ16+MVTDEC244!AJ16</f>
        <v>0</v>
      </c>
      <c r="AK17" s="36">
        <f>MVTJANV24!AK16+MVTFEV24!AK16+MVTMARS24!AK16+MVTAVRIL24!AK16+MVTMAI24!AK16+MVTJUIN24!AK16+MVTJUIL24!AK16+MVTAOUT24!AK16+MVTSEPT24!AK16+MVTOCT24!AK16+MVTNOV24!AK16+MVTDEC244!AK16</f>
        <v>0</v>
      </c>
      <c r="AL17" s="143">
        <v>45627</v>
      </c>
      <c r="AM17" s="144">
        <f t="shared" si="2"/>
        <v>30000</v>
      </c>
      <c r="AN17" s="144">
        <f>MVTJANV24!AL16+MVTFEV24!AL16+MVTMARS24!AL16+MVTAVRIL24!AL16+MVTMAI24!AL16+MVTJUIN24!AL16+MVTJUIL24!AL16+MVTAOUT24!AL16+MVTSEPT24!AL16+MVTOCT24!AL16+MVTNOV24!AL16+MVTDEC244!AL16</f>
        <v>0</v>
      </c>
      <c r="AO17" s="144"/>
      <c r="AQ17" s="36"/>
    </row>
    <row r="18" spans="1:43" ht="15.5" x14ac:dyDescent="0.35">
      <c r="A18" s="1" t="s">
        <v>33</v>
      </c>
      <c r="B18" s="1" t="str">
        <f>VLOOKUP(A18,[19]LISTADHERENT!A$5:H$60,3,0)</f>
        <v>KOUAMOU MOISE</v>
      </c>
      <c r="C18" s="36">
        <f>+MVTDEC23!C17</f>
        <v>700000</v>
      </c>
      <c r="D18" s="36">
        <f>+MVTDEC23!D17</f>
        <v>9267.5051528789336</v>
      </c>
      <c r="E18" s="36">
        <f>VLOOKUP($A18,[29]HISTODEC24!$A$6:$BA$38,48,0)</f>
        <v>0</v>
      </c>
      <c r="F18" s="36">
        <f>MVTDEC244!F17</f>
        <v>991355.40833892452</v>
      </c>
      <c r="G18" s="5">
        <f>MVTDEC244!G17</f>
        <v>991355.40833892452</v>
      </c>
      <c r="H18" s="36">
        <f>MVTDEC23!H17+MVTJANV24!H17+MVTFEV24!H17+MVTMARS24!H17+MVTAVRIL24!H17+MVTMAI24!H17+MVTJUIN24!H17+MVTJUIL24!H17+MVTAOUT24!H17+MVTSEPT24!H17+MVTOCT24!H17+MVTNOV24!H17+MVTDEC244!H17</f>
        <v>62143.617657746596</v>
      </c>
      <c r="I18" s="6">
        <f t="shared" si="0"/>
        <v>1053499.0259966711</v>
      </c>
      <c r="J18" s="36">
        <f>MVTJANV24!J17+MVTFEV24!J17+MVTMARS24!J17+MVTAVRIL24!J17+MVTMAI24!J17+MVTJUIN24!J17+MVTJUIL24!J17+MVTAOUT24!J17+MVTSEPT24!J17+MVTOCT24!J17+MVTNOV24!J17+MVTDEC244!J17</f>
        <v>0</v>
      </c>
      <c r="K18" s="36">
        <f>MVTJANV24!K17+MVTFEV24!K17+MVTMARS24!K17+MVTAVRIL24!K17+MVTMAI24!K17+MVTJUIN24!K17+MVTJUIL24!K17+MVTAOUT24!K17+MVTSEPT24!K17+MVTOCT24!K17+MVTNOV24!K17+MVTDEC244!K17</f>
        <v>296000</v>
      </c>
      <c r="L18" s="36">
        <f>MVTJANV24!L17+MVTFEV24!L17+MVTMARS24!L17+MVTAVRIL24!L17+MVTMAI24!L17+MVTJUIN24!L17+MVTJUIL24!L17+MVTAOUT24!L17+MVTSEPT24!L17+MVTOCT24!L17+MVTNOV24!L17+MVTDEC244!L17</f>
        <v>224000</v>
      </c>
      <c r="M18" s="36">
        <f>MVTJANV24!M17+MVTFEV24!M17+MVTMARS24!M17+MVTAVRIL24!M17+MVTMAI24!M17+MVTJUIN24!M17+MVTJUIL24!M17+MVTAOUT24!M17+MVTSEPT24!M17+MVTOCT24!M17+MVTNOV24!M17+MVTDEC244!M17</f>
        <v>12000</v>
      </c>
      <c r="N18" s="36">
        <f>MVTJANV24!N17+MVTFEV24!N17+MVTMARS24!N17+MVTAVRIL24!N17+MVTMAI24!N17+MVTJUIN24!N17+MVTJUIL24!N17+MVTAOUT24!N17+MVTSEPT24!N17+MVTOCT24!N17+MVTNOV24!N17+MVTDEC244!N17</f>
        <v>12000</v>
      </c>
      <c r="O18" s="36">
        <f>MVTJANV24!O17+MVTFEV24!O17+MVTMARS24!O17+MVTAVRIL24!O17+MVTMAI24!O17+MVTJUIN24!O17+MVTJUIL24!O17+MVTAOUT24!O17+MVTSEPT24!O17+MVTOCT24!O17+MVTNOV24!O17+MVTDEC244!O17</f>
        <v>48000</v>
      </c>
      <c r="P18" s="36">
        <f>MVTJANV24!P17+MVTFEV24!P17+MVTMARS24!P17+MVTAVRIL24!P17+MVTMAI24!P17+MVTJUIN24!P17+MVTJUIL24!P17+MVTAOUT24!P17+MVTSEPT24!P17+MVTOCT24!P17+MVTNOV24!P17+MVTDEC244!P17</f>
        <v>6000</v>
      </c>
      <c r="Q18" s="36">
        <f>MVTJANV24!Q17+MVTFEV24!Q17+MVTMARS24!Q17+MVTAVRIL24!Q17+MVTMAI24!Q17+MVTJUIN24!Q17+MVTJUIL24!Q17+MVTAOUT24!Q17+MVTSEPT24!Q17+MVTOCT24!Q17+MVTNOV24!Q17+MVTDEC244!Q17</f>
        <v>0</v>
      </c>
      <c r="R18" s="36">
        <f>MVTJANV24!R17+MVTFEV24!R17+MVTMARS24!R17+MVTAVRIL24!R17+MVTMAI24!R17+MVTJUIN24!R17+MVTJUIL24!R17+MVTAOUT24!R17+MVTSEPT24!R17+MVTOCT24!R17+MVTNOV24!R17+MVTDEC244!R17</f>
        <v>0</v>
      </c>
      <c r="S18" s="36">
        <f>MVTDEC23!S17+MVTJANV24!S17+MVTFEV24!S17+MVTMARS24!S17+MVTAVRIL24!S17+MVTMAI24!S17+MVTJUIN24!S17+MVTJUIL24!S17+MVTAOUT24!S17+MVTSEPT24!S17+MVTOCT24!S17+MVTNOV24!S17+MVTDEC244!S17</f>
        <v>1000000</v>
      </c>
      <c r="T18" s="36">
        <f>MVTDEC23!T17+MVTJANV24!T17+MVTFEV24!T17+MVTMARS24!T17+MVTAVRIL24!T17+MVTMAI24!T17+MVTJUIN24!T17+MVTJUIL24!T17+MVTAOUT24!T17+MVTSEPT24!T17+MVTOCT24!T17+MVTNOV24!T17+MVTDEC244!T17</f>
        <v>110000</v>
      </c>
      <c r="U18" s="36"/>
      <c r="V18" s="36">
        <f>MVTJANV24!V17+MVTFEV24!V17+MVTMARS24!V17+MVTAVRIL24!V17+MVTMAI24!V17+MVTJUIN24!V17+MVTJUIL24!V17+MVTAOUT24!V17+MVTSEPT24!V17+MVTOCT24!V17+MVTNOV24!V17+MVTDEC244!V17</f>
        <v>670000</v>
      </c>
      <c r="W18" s="36">
        <f t="shared" si="1"/>
        <v>330000</v>
      </c>
      <c r="X18" s="36"/>
      <c r="Y18" s="36"/>
      <c r="Z18" s="36">
        <f>MVTJANV24!Z17+MVTFEV24!Z17+MVTMARS24!Z17+MVTAVRIL24!Z17+MVTMAI24!Z17+MVTJUIN24!Z17+MVTJUIL24!Z17+MVTAOUT24!Z17+MVTSEPT24!Z17+MVTOCT24!Z17+MVTNOV24!Z17+MVTDEC244!Z17</f>
        <v>0</v>
      </c>
      <c r="AA18" s="36">
        <f>MVTJANV24!AA17+MVTFEV24!AA17+MVTMARS24!AA17+MVTAVRIL24!AA17+MVTMAI24!AA17+MVTJUIN24!AA17+MVTJUIL24!AA17+MVTAOUT24!AA17+MVTSEPT24!AA17+MVTOCT24!AA17+MVTNOV24!AA17+MVTDEC244!AA17</f>
        <v>0</v>
      </c>
      <c r="AB18" s="36">
        <f>MVTJANV24!AB17+MVTFEV24!AB17+MVTMARS24!AB17+MVTAVRIL24!AB17+MVTMAI24!AB17+MVTJUIN24!AB17+MVTJUIL24!AB17+MVTAOUT24!AB17+MVTSEPT24!AB17+MVTOCT24!AB17+MVTNOV24!AB17+MVTDEC244!AB17</f>
        <v>0</v>
      </c>
      <c r="AC18" s="36">
        <f>MVTJANV24!AC17+MVTFEV24!AC17+MVTMARS24!AC17+MVTAVRIL24!AC17+MVTMAI24!AC17+MVTJUIN24!AC17+MVTJUIL24!AC17+MVTAOUT24!AC17+MVTSEPT24!AC17+MVTOCT24!AC17+MVTNOV24!AC17+MVTDEC244!AC17</f>
        <v>0</v>
      </c>
      <c r="AD18" s="36">
        <f>MVTJANV24!AD17+MVTFEV24!AD17+MVTMARS24!AD17+MVTAVRIL24!AD17+MVTMAI24!AD17+MVTJUIN24!AD17+MVTJUIL24!AD17+MVTAOUT24!AD17+MVTSEPT24!AD17+MVTOCT24!AD17+MVTNOV24!AD17+MVTDEC244!AD17</f>
        <v>0</v>
      </c>
      <c r="AE18" s="36">
        <f>MVTJANV24!AE17+MVTFEV24!AE17+MVTMARS24!AE17+MVTAVRIL24!AE17+MVTMAI24!AE17+MVTJUIN24!AE17+MVTJUIL24!AE17+MVTAOUT24!AE17+MVTSEPT24!AE17+MVTOCT24!AE17+MVTNOV24!AE17+MVTDEC244!AE17</f>
        <v>0</v>
      </c>
      <c r="AF18" s="36">
        <f>MVTJANV24!AF17+MVTFEV24!AF17+MVTMARS24!AF17+MVTAVRIL24!AF17+MVTMAI24!AF17+MVTJUIN24!AF17+MVTJUIL24!AF17+MVTAOUT24!AF17+MVTSEPT24!AF17+MVTOCT24!AF17+MVTNOV24!AF17+MVTDEC244!AF17</f>
        <v>0</v>
      </c>
      <c r="AG18" s="36">
        <f>MVTJANV24!AG17+MVTFEV24!AG17+MVTMARS24!AG17+MVTAVRIL24!AG17+MVTMAI24!AG17+MVTJUIN24!AG17+MVTJUIL24!AG17+MVTAOUT24!AG17+MVTSEPT24!AG17+MVTOCT24!AG17+MVTNOV24!AG17+MVTDEC244!AG17</f>
        <v>0</v>
      </c>
      <c r="AH18" s="36">
        <f>MVTJANV24!AH17+MVTFEV24!AH17+MVTMARS24!AH17+MVTAVRIL24!AH17+MVTMAI24!AH17+MVTJUIN24!AH17+MVTJUIL24!AH17+MVTAOUT24!AH17+MVTSEPT24!AH17+MVTOCT24!AH17+MVTNOV24!AH17+MVTDEC244!AH17</f>
        <v>0</v>
      </c>
      <c r="AI18" s="36">
        <f>MVTJANV24!AI17+MVTFEV24!AI17+MVTMARS24!AI17+MVTAVRIL24!AI17+MVTMAI24!AI17+MVTJUIN24!AI17+MVTJUIL24!AI17+MVTAOUT24!AI17+MVTSEPT24!AI17+MVTOCT24!AI17+MVTNOV24!AI17+MVTDEC244!AI17</f>
        <v>100000</v>
      </c>
      <c r="AJ18" s="36">
        <f>MVTJANV24!AJ17+MVTFEV24!AJ17+MVTMARS24!AJ17+MVTAVRIL24!AJ17+MVTMAI24!AJ17+MVTJUIN24!AJ17+MVTJUIL24!AJ17+MVTAOUT24!AJ17+MVTSEPT24!AJ17+MVTOCT24!AJ17+MVTNOV24!AJ17+MVTDEC244!AJ17</f>
        <v>0</v>
      </c>
      <c r="AK18" s="36">
        <f>MVTJANV24!AK17+MVTFEV24!AK17+MVTMARS24!AK17+MVTAVRIL24!AK17+MVTMAI24!AK17+MVTJUIN24!AK17+MVTJUIL24!AK17+MVTAOUT24!AK17+MVTSEPT24!AK17+MVTOCT24!AK17+MVTNOV24!AK17+MVTDEC244!AK17</f>
        <v>0</v>
      </c>
      <c r="AL18" s="143">
        <v>45627</v>
      </c>
      <c r="AM18" s="144">
        <f t="shared" si="2"/>
        <v>110000</v>
      </c>
      <c r="AN18" s="144">
        <f>MVTJANV24!AL17+MVTFEV24!AL17+MVTMARS24!AL17+MVTAVRIL24!AL17+MVTMAI24!AL17+MVTJUIN24!AL17+MVTJUIL24!AL17+MVTAOUT24!AL17+MVTSEPT24!AL17+MVTOCT24!AL17+MVTNOV24!AL17+MVTDEC244!AL17</f>
        <v>0</v>
      </c>
      <c r="AO18" s="144"/>
      <c r="AQ18" s="36"/>
    </row>
    <row r="19" spans="1:43" ht="15.5" x14ac:dyDescent="0.35">
      <c r="A19" s="1" t="s">
        <v>35</v>
      </c>
      <c r="B19" s="1" t="str">
        <f>VLOOKUP(A19,[19]LISTADHERENT!A$5:H$60,3,0)</f>
        <v>KOUATCHO MESSACK</v>
      </c>
      <c r="C19" s="36">
        <f>+MVTDEC23!C18</f>
        <v>700000</v>
      </c>
      <c r="D19" s="36">
        <f>+MVTDEC23!D18</f>
        <v>24428.628065245139</v>
      </c>
      <c r="E19" s="36">
        <f>VLOOKUP($A19,[29]HISTODEC24!$A$6:$BA$38,48,0)</f>
        <v>0</v>
      </c>
      <c r="F19" s="36">
        <f>MVTDEC244!F18</f>
        <v>1104474.8900474524</v>
      </c>
      <c r="G19" s="5">
        <f>MVTDEC244!G18</f>
        <v>1104474.8900474524</v>
      </c>
      <c r="H19" s="36">
        <f>MVTDEC23!H18+MVTJANV24!H18+MVTFEV24!H18+MVTMARS24!H18+MVTAVRIL24!H18+MVTMAI24!H18+MVTJUIN24!H18+MVTJUIL24!H18+MVTAOUT24!H18+MVTSEPT24!H18+MVTOCT24!H18+MVTNOV24!H18+MVTDEC244!H18</f>
        <v>64564.757324560269</v>
      </c>
      <c r="I19" s="6">
        <f t="shared" si="0"/>
        <v>1169039.6473720127</v>
      </c>
      <c r="J19" s="36">
        <f>MVTJANV24!J18+MVTFEV24!J18+MVTMARS24!J18+MVTAVRIL24!J18+MVTMAI24!J18+MVTJUIN24!J18+MVTJUIL24!J18+MVTAOUT24!J18+MVTSEPT24!J18+MVTOCT24!J18+MVTNOV24!J18+MVTDEC244!J18</f>
        <v>0</v>
      </c>
      <c r="K19" s="36">
        <f>MVTJANV24!K18+MVTFEV24!K18+MVTMARS24!K18+MVTAVRIL24!K18+MVTMAI24!K18+MVTJUIN24!K18+MVTJUIL24!K18+MVTAOUT24!K18+MVTSEPT24!K18+MVTOCT24!K18+MVTNOV24!K18+MVTDEC244!K18</f>
        <v>392000</v>
      </c>
      <c r="L19" s="36">
        <f>MVTJANV24!L18+MVTFEV24!L18+MVTMARS24!L18+MVTAVRIL24!L18+MVTMAI24!L18+MVTJUIN24!L18+MVTJUIL24!L18+MVTAOUT24!L18+MVTSEPT24!L18+MVTOCT24!L18+MVTNOV24!L18+MVTDEC244!L18</f>
        <v>320000</v>
      </c>
      <c r="M19" s="36">
        <f>MVTJANV24!M18+MVTFEV24!M18+MVTMARS24!M18+MVTAVRIL24!M18+MVTMAI24!M18+MVTJUIN24!M18+MVTJUIL24!M18+MVTAOUT24!M18+MVTSEPT24!M18+MVTOCT24!M18+MVTNOV24!M18+MVTDEC244!M18</f>
        <v>12000</v>
      </c>
      <c r="N19" s="36">
        <f>MVTJANV24!N18+MVTFEV24!N18+MVTMARS24!N18+MVTAVRIL24!N18+MVTMAI24!N18+MVTJUIN24!N18+MVTJUIL24!N18+MVTAOUT24!N18+MVTSEPT24!N18+MVTOCT24!N18+MVTNOV24!N18+MVTDEC244!N18</f>
        <v>12000</v>
      </c>
      <c r="O19" s="36">
        <f>MVTJANV24!O18+MVTFEV24!O18+MVTMARS24!O18+MVTAVRIL24!O18+MVTMAI24!O18+MVTJUIN24!O18+MVTJUIL24!O18+MVTAOUT24!O18+MVTSEPT24!O18+MVTOCT24!O18+MVTNOV24!O18+MVTDEC244!O18</f>
        <v>48000</v>
      </c>
      <c r="P19" s="36">
        <f>MVTJANV24!P18+MVTFEV24!P18+MVTMARS24!P18+MVTAVRIL24!P18+MVTMAI24!P18+MVTJUIN24!P18+MVTJUIL24!P18+MVTAOUT24!P18+MVTSEPT24!P18+MVTOCT24!P18+MVTNOV24!P18+MVTDEC244!P18</f>
        <v>6000</v>
      </c>
      <c r="Q19" s="36">
        <f>MVTJANV24!Q18+MVTFEV24!Q18+MVTMARS24!Q18+MVTAVRIL24!Q18+MVTMAI24!Q18+MVTJUIN24!Q18+MVTJUIL24!Q18+MVTAOUT24!Q18+MVTSEPT24!Q18+MVTOCT24!Q18+MVTNOV24!Q18+MVTDEC244!Q18</f>
        <v>0</v>
      </c>
      <c r="R19" s="36">
        <f>MVTJANV24!R18+MVTFEV24!R18+MVTMARS24!R18+MVTAVRIL24!R18+MVTMAI24!R18+MVTJUIN24!R18+MVTJUIL24!R18+MVTAOUT24!R18+MVTSEPT24!R18+MVTOCT24!R18+MVTNOV24!R18+MVTDEC244!R18</f>
        <v>0</v>
      </c>
      <c r="S19" s="36">
        <f>MVTDEC23!S18+MVTJANV24!S18+MVTFEV24!S18+MVTMARS24!S18+MVTAVRIL24!S18+MVTMAI24!S18+MVTJUIN24!S18+MVTJUIL24!S18+MVTAOUT24!S18+MVTSEPT24!S18+MVTOCT24!S18+MVTNOV24!S18+MVTDEC244!S18</f>
        <v>2350000</v>
      </c>
      <c r="T19" s="36">
        <f>MVTDEC23!T18+MVTJANV24!T18+MVTFEV24!T18+MVTMARS24!T18+MVTAVRIL24!T18+MVTMAI24!T18+MVTJUIN24!T18+MVTJUIL24!T18+MVTAOUT24!T18+MVTSEPT24!T18+MVTOCT24!T18+MVTNOV24!T18+MVTDEC244!T18</f>
        <v>64000</v>
      </c>
      <c r="U19" s="36"/>
      <c r="V19" s="36">
        <f>MVTJANV24!V18+MVTFEV24!V18+MVTMARS24!V18+MVTAVRIL24!V18+MVTMAI24!V18+MVTJUIN24!V18+MVTJUIL24!V18+MVTAOUT24!V18+MVTSEPT24!V18+MVTOCT24!V18+MVTNOV24!V18+MVTDEC244!V18</f>
        <v>1350000</v>
      </c>
      <c r="W19" s="36">
        <f t="shared" si="1"/>
        <v>1000000</v>
      </c>
      <c r="X19" s="36"/>
      <c r="Y19" s="36"/>
      <c r="Z19" s="36">
        <f>MVTJANV24!Z18+MVTFEV24!Z18+MVTMARS24!Z18+MVTAVRIL24!Z18+MVTMAI24!Z18+MVTJUIN24!Z18+MVTJUIL24!Z18+MVTAOUT24!Z18+MVTSEPT24!Z18+MVTOCT24!Z18+MVTNOV24!Z18+MVTDEC244!Z18</f>
        <v>0</v>
      </c>
      <c r="AA19" s="36">
        <f>MVTJANV24!AA18+MVTFEV24!AA18+MVTMARS24!AA18+MVTAVRIL24!AA18+MVTMAI24!AA18+MVTJUIN24!AA18+MVTJUIL24!AA18+MVTAOUT24!AA18+MVTSEPT24!AA18+MVTOCT24!AA18+MVTNOV24!AA18+MVTDEC244!AA18</f>
        <v>0</v>
      </c>
      <c r="AB19" s="36">
        <f>MVTJANV24!AB18+MVTFEV24!AB18+MVTMARS24!AB18+MVTAVRIL24!AB18+MVTMAI24!AB18+MVTJUIN24!AB18+MVTJUIL24!AB18+MVTAOUT24!AB18+MVTSEPT24!AB18+MVTOCT24!AB18+MVTNOV24!AB18+MVTDEC244!AB18</f>
        <v>0</v>
      </c>
      <c r="AC19" s="36">
        <f>MVTJANV24!AC18+MVTFEV24!AC18+MVTMARS24!AC18+MVTAVRIL24!AC18+MVTMAI24!AC18+MVTJUIN24!AC18+MVTJUIL24!AC18+MVTAOUT24!AC18+MVTSEPT24!AC18+MVTOCT24!AC18+MVTNOV24!AC18+MVTDEC244!AC18</f>
        <v>0</v>
      </c>
      <c r="AD19" s="36">
        <f>MVTJANV24!AD18+MVTFEV24!AD18+MVTMARS24!AD18+MVTAVRIL24!AD18+MVTMAI24!AD18+MVTJUIN24!AD18+MVTJUIL24!AD18+MVTAOUT24!AD18+MVTSEPT24!AD18+MVTOCT24!AD18+MVTNOV24!AD18+MVTDEC244!AD18</f>
        <v>0</v>
      </c>
      <c r="AE19" s="36">
        <f>MVTJANV24!AE18+MVTFEV24!AE18+MVTMARS24!AE18+MVTAVRIL24!AE18+MVTMAI24!AE18+MVTJUIN24!AE18+MVTJUIL24!AE18+MVTAOUT24!AE18+MVTSEPT24!AE18+MVTOCT24!AE18+MVTNOV24!AE18+MVTDEC244!AE18</f>
        <v>0</v>
      </c>
      <c r="AF19" s="36">
        <f>MVTJANV24!AF18+MVTFEV24!AF18+MVTMARS24!AF18+MVTAVRIL24!AF18+MVTMAI24!AF18+MVTJUIN24!AF18+MVTJUIL24!AF18+MVTAOUT24!AF18+MVTSEPT24!AF18+MVTOCT24!AF18+MVTNOV24!AF18+MVTDEC244!AF18</f>
        <v>0</v>
      </c>
      <c r="AG19" s="36">
        <f>MVTJANV24!AG18+MVTFEV24!AG18+MVTMARS24!AG18+MVTAVRIL24!AG18+MVTMAI24!AG18+MVTJUIN24!AG18+MVTJUIL24!AG18+MVTAOUT24!AG18+MVTSEPT24!AG18+MVTOCT24!AG18+MVTNOV24!AG18+MVTDEC244!AG18</f>
        <v>0</v>
      </c>
      <c r="AH19" s="36">
        <f>MVTJANV24!AH18+MVTFEV24!AH18+MVTMARS24!AH18+MVTAVRIL24!AH18+MVTMAI24!AH18+MVTJUIN24!AH18+MVTJUIL24!AH18+MVTAOUT24!AH18+MVTSEPT24!AH18+MVTOCT24!AH18+MVTNOV24!AH18+MVTDEC244!AH18</f>
        <v>0</v>
      </c>
      <c r="AI19" s="36">
        <f>MVTJANV24!AI18+MVTFEV24!AI18+MVTMARS24!AI18+MVTAVRIL24!AI18+MVTMAI24!AI18+MVTJUIN24!AI18+MVTJUIL24!AI18+MVTAOUT24!AI18+MVTSEPT24!AI18+MVTOCT24!AI18+MVTNOV24!AI18+MVTDEC244!AI18</f>
        <v>0</v>
      </c>
      <c r="AJ19" s="36">
        <f>MVTJANV24!AJ18+MVTFEV24!AJ18+MVTMARS24!AJ18+MVTAVRIL24!AJ18+MVTMAI24!AJ18+MVTJUIN24!AJ18+MVTJUIL24!AJ18+MVTAOUT24!AJ18+MVTSEPT24!AJ18+MVTOCT24!AJ18+MVTNOV24!AJ18+MVTDEC244!AJ18</f>
        <v>0</v>
      </c>
      <c r="AK19" s="36">
        <f>MVTJANV24!AK18+MVTFEV24!AK18+MVTMARS24!AK18+MVTAVRIL24!AK18+MVTMAI24!AK18+MVTJUIN24!AK18+MVTJUIL24!AK18+MVTAOUT24!AK18+MVTSEPT24!AK18+MVTOCT24!AK18+MVTNOV24!AK18+MVTDEC244!AK18</f>
        <v>0</v>
      </c>
      <c r="AL19" s="143">
        <v>45627</v>
      </c>
      <c r="AM19" s="144">
        <f t="shared" si="2"/>
        <v>64000</v>
      </c>
      <c r="AN19" s="144">
        <f>MVTJANV24!AL18+MVTFEV24!AL18+MVTMARS24!AL18+MVTAVRIL24!AL18+MVTMAI24!AL18+MVTJUIN24!AL18+MVTJUIL24!AL18+MVTAOUT24!AL18+MVTSEPT24!AL18+MVTOCT24!AL18+MVTNOV24!AL18+MVTDEC244!AL18</f>
        <v>0</v>
      </c>
      <c r="AO19" s="144"/>
      <c r="AQ19" s="36"/>
    </row>
    <row r="20" spans="1:43" ht="15.5" x14ac:dyDescent="0.35">
      <c r="A20" s="1" t="s">
        <v>36</v>
      </c>
      <c r="B20" s="1" t="str">
        <f>VLOOKUP(A20,[19]LISTADHERENT!A$5:H$60,3,0)</f>
        <v>LOWE JEAN</v>
      </c>
      <c r="C20" s="36"/>
      <c r="D20" s="36">
        <f>+MVTDEC23!D19+676217</f>
        <v>1352434</v>
      </c>
      <c r="E20" s="36"/>
      <c r="F20" s="36">
        <f>MVTDEC244!F19</f>
        <v>676217</v>
      </c>
      <c r="G20" s="5">
        <f>MVTDEC244!G19</f>
        <v>0</v>
      </c>
      <c r="H20" s="36">
        <f>MVTDEC23!H19+MVTJANV24!H19+MVTFEV24!H19+MVTMARS24!H19+MVTAVRIL24!H19+MVTMAI24!H19+MVTJUIN24!H19+MVTJUIL24!H19+MVTAOUT24!H19+MVTSEPT24!H19+MVTOCT24!H19+MVTNOV24!H19+MVTDEC244!H19</f>
        <v>0</v>
      </c>
      <c r="I20" s="6">
        <f t="shared" si="0"/>
        <v>676217</v>
      </c>
      <c r="J20" s="36">
        <f>MVTJANV24!J19+MVTFEV24!J19+MVTMARS24!J19+MVTAVRIL24!J19+MVTMAI24!J19+MVTJUIN24!J19+MVTJUIL24!J19+MVTAOUT24!J19+MVTSEPT24!J19+MVTOCT24!J19+MVTNOV24!J19+MVTDEC244!J19</f>
        <v>0</v>
      </c>
      <c r="K20" s="36">
        <f>MVTJANV24!K19+MVTFEV24!K19+MVTMARS24!K19+MVTAVRIL24!K19+MVTMAI24!K19+MVTJUIN24!K19+MVTJUIL24!K19+MVTAOUT24!K19+MVTSEPT24!K19+MVTOCT24!K19+MVTNOV24!K19+MVTDEC244!K19</f>
        <v>0</v>
      </c>
      <c r="L20" s="36">
        <f>MVTJANV24!L19+MVTFEV24!L19+MVTMARS24!L19+MVTAVRIL24!L19+MVTMAI24!L19+MVTJUIN24!L19+MVTJUIL24!L19+MVTAOUT24!L19+MVTSEPT24!L19+MVTOCT24!L19+MVTNOV24!L19+MVTDEC244!L19</f>
        <v>0</v>
      </c>
      <c r="M20" s="36">
        <f>MVTJANV24!M19+MVTFEV24!M19+MVTMARS24!M19+MVTAVRIL24!M19+MVTMAI24!M19+MVTJUIN24!M19+MVTJUIL24!M19+MVTAOUT24!M19+MVTSEPT24!M19+MVTOCT24!M19+MVTNOV24!M19+MVTDEC244!M19</f>
        <v>0</v>
      </c>
      <c r="N20" s="36">
        <f>MVTJANV24!N19+MVTFEV24!N19+MVTMARS24!N19+MVTAVRIL24!N19+MVTMAI24!N19+MVTJUIN24!N19+MVTJUIL24!N19+MVTAOUT24!N19+MVTSEPT24!N19+MVTOCT24!N19+MVTNOV24!N19+MVTDEC244!N19</f>
        <v>0</v>
      </c>
      <c r="O20" s="36">
        <f>MVTJANV24!O19+MVTFEV24!O19+MVTMARS24!O19+MVTAVRIL24!O19+MVTMAI24!O19+MVTJUIN24!O19+MVTJUIL24!O19+MVTAOUT24!O19+MVTSEPT24!O19+MVTOCT24!O19+MVTNOV24!O19+MVTDEC244!O19</f>
        <v>0</v>
      </c>
      <c r="P20" s="36">
        <f>MVTJANV24!P19+MVTFEV24!P19+MVTMARS24!P19+MVTAVRIL24!P19+MVTMAI24!P19+MVTJUIN24!P19+MVTJUIL24!P19+MVTAOUT24!P19+MVTSEPT24!P19+MVTOCT24!P19+MVTNOV24!P19+MVTDEC244!P19</f>
        <v>0</v>
      </c>
      <c r="Q20" s="36">
        <f>MVTJANV24!Q19+MVTFEV24!Q19+MVTMARS24!Q19+MVTAVRIL24!Q19+MVTMAI24!Q19+MVTJUIN24!Q19+MVTJUIL24!Q19+MVTAOUT24!Q19+MVTSEPT24!Q19+MVTOCT24!Q19+MVTNOV24!Q19+MVTDEC244!Q19</f>
        <v>0</v>
      </c>
      <c r="R20" s="36">
        <f>MVTJANV24!R19+MVTFEV24!R19+MVTMARS24!R19+MVTAVRIL24!R19+MVTMAI24!R19+MVTJUIN24!R19+MVTJUIL24!R19+MVTAOUT24!R19+MVTSEPT24!R19+MVTOCT24!R19+MVTNOV24!R19+MVTDEC244!R19</f>
        <v>0</v>
      </c>
      <c r="S20" s="36">
        <f>MVTDEC23!S19+MVTJANV24!S19+MVTFEV24!S19+MVTMARS24!S19+MVTAVRIL24!S19+MVTMAI24!S19+MVTJUIN24!S19+MVTJUIL24!S19+MVTAOUT24!S19+MVTSEPT24!S19+MVTOCT24!S19+MVTNOV24!S19+MVTDEC244!S19</f>
        <v>0</v>
      </c>
      <c r="T20" s="36">
        <f>MVTDEC23!T19+MVTJANV24!T19+MVTFEV24!T19+MVTMARS24!T19+MVTAVRIL24!T19+MVTMAI24!T19+MVTJUIN24!T19+MVTJUIL24!T19+MVTAOUT24!T19+MVTSEPT24!T19+MVTOCT24!T19+MVTNOV24!T19+MVTDEC244!T19</f>
        <v>0</v>
      </c>
      <c r="U20" s="36"/>
      <c r="V20" s="36">
        <f>MVTJANV24!V19+MVTFEV24!V19+MVTMARS24!V19+MVTAVRIL24!V19+MVTMAI24!V19+MVTJUIN24!V19+MVTJUIL24!V19+MVTAOUT24!V19+MVTSEPT24!V19+MVTOCT24!V19+MVTNOV24!V19+MVTDEC244!V19</f>
        <v>0</v>
      </c>
      <c r="W20" s="36">
        <f t="shared" si="1"/>
        <v>0</v>
      </c>
      <c r="X20" s="36"/>
      <c r="Y20" s="36"/>
      <c r="Z20" s="36">
        <f>MVTJANV24!Z19+MVTFEV24!Z19+MVTMARS24!Z19+MVTAVRIL24!Z19+MVTMAI24!Z19+MVTJUIN24!Z19+MVTJUIL24!Z19+MVTAOUT24!Z19+MVTSEPT24!Z19+MVTOCT24!Z19+MVTNOV24!Z19+MVTDEC244!Z19</f>
        <v>0</v>
      </c>
      <c r="AA20" s="36">
        <f>MVTJANV24!AA19+MVTFEV24!AA19+MVTMARS24!AA19+MVTAVRIL24!AA19+MVTMAI24!AA19+MVTJUIN24!AA19+MVTJUIL24!AA19+MVTAOUT24!AA19+MVTSEPT24!AA19+MVTOCT24!AA19+MVTNOV24!AA19+MVTDEC244!AA19</f>
        <v>0</v>
      </c>
      <c r="AB20" s="36">
        <f>MVTJANV24!AB19+MVTFEV24!AB19+MVTMARS24!AB19+MVTAVRIL24!AB19+MVTMAI24!AB19+MVTJUIN24!AB19+MVTJUIL24!AB19+MVTAOUT24!AB19+MVTSEPT24!AB19+MVTOCT24!AB19+MVTNOV24!AB19+MVTDEC244!AB19</f>
        <v>0</v>
      </c>
      <c r="AC20" s="36">
        <f>MVTJANV24!AC19+MVTFEV24!AC19+MVTMARS24!AC19+MVTAVRIL24!AC19+MVTMAI24!AC19+MVTJUIN24!AC19+MVTJUIL24!AC19+MVTAOUT24!AC19+MVTSEPT24!AC19+MVTOCT24!AC19+MVTNOV24!AC19+MVTDEC244!AC19</f>
        <v>0</v>
      </c>
      <c r="AD20" s="36">
        <f>MVTJANV24!AD19+MVTFEV24!AD19+MVTMARS24!AD19+MVTAVRIL24!AD19+MVTMAI24!AD19+MVTJUIN24!AD19+MVTJUIL24!AD19+MVTAOUT24!AD19+MVTSEPT24!AD19+MVTOCT24!AD19+MVTNOV24!AD19+MVTDEC244!AD19</f>
        <v>0</v>
      </c>
      <c r="AE20" s="36">
        <f>MVTJANV24!AE19+MVTFEV24!AE19+MVTMARS24!AE19+MVTAVRIL24!AE19+MVTMAI24!AE19+MVTJUIN24!AE19+MVTJUIL24!AE19+MVTAOUT24!AE19+MVTSEPT24!AE19+MVTOCT24!AE19+MVTNOV24!AE19+MVTDEC244!AE19</f>
        <v>0</v>
      </c>
      <c r="AF20" s="36">
        <f>MVTJANV24!AF19+MVTFEV24!AF19+MVTMARS24!AF19+MVTAVRIL24!AF19+MVTMAI24!AF19+MVTJUIN24!AF19+MVTJUIL24!AF19+MVTAOUT24!AF19+MVTSEPT24!AF19+MVTOCT24!AF19+MVTNOV24!AF19+MVTDEC244!AF19</f>
        <v>0</v>
      </c>
      <c r="AG20" s="36">
        <f>MVTJANV24!AG19+MVTFEV24!AG19+MVTMARS24!AG19+MVTAVRIL24!AG19+MVTMAI24!AG19+MVTJUIN24!AG19+MVTJUIL24!AG19+MVTAOUT24!AG19+MVTSEPT24!AG19+MVTOCT24!AG19+MVTNOV24!AG19+MVTDEC244!AG19</f>
        <v>0</v>
      </c>
      <c r="AH20" s="36">
        <f>MVTJANV24!AH19+MVTFEV24!AH19+MVTMARS24!AH19+MVTAVRIL24!AH19+MVTMAI24!AH19+MVTJUIN24!AH19+MVTJUIL24!AH19+MVTAOUT24!AH19+MVTSEPT24!AH19+MVTOCT24!AH19+MVTNOV24!AH19+MVTDEC244!AH19</f>
        <v>0</v>
      </c>
      <c r="AI20" s="36">
        <f>MVTJANV24!AI19+MVTFEV24!AI19+MVTMARS24!AI19+MVTAVRIL24!AI19+MVTMAI24!AI19+MVTJUIN24!AI19+MVTJUIL24!AI19+MVTAOUT24!AI19+MVTSEPT24!AI19+MVTOCT24!AI19+MVTNOV24!AI19+MVTDEC244!AI19</f>
        <v>0</v>
      </c>
      <c r="AJ20" s="36">
        <f>MVTJANV24!AJ19+MVTFEV24!AJ19+MVTMARS24!AJ19+MVTAVRIL24!AJ19+MVTMAI24!AJ19+MVTJUIN24!AJ19+MVTJUIL24!AJ19+MVTAOUT24!AJ19+MVTSEPT24!AJ19+MVTOCT24!AJ19+MVTNOV24!AJ19+MVTDEC244!AJ19</f>
        <v>0</v>
      </c>
      <c r="AK20" s="36">
        <f>MVTJANV24!AK19+MVTFEV24!AK19+MVTMARS24!AK19+MVTAVRIL24!AK19+MVTMAI24!AK19+MVTJUIN24!AK19+MVTJUIL24!AK19+MVTAOUT24!AK19+MVTSEPT24!AK19+MVTOCT24!AK19+MVTNOV24!AK19+MVTDEC244!AK19</f>
        <v>0</v>
      </c>
      <c r="AL20" s="143"/>
      <c r="AM20" s="144">
        <f t="shared" si="2"/>
        <v>0</v>
      </c>
      <c r="AN20" s="144">
        <f>MVTJANV24!AL19+MVTFEV24!AL19+MVTMARS24!AL19+MVTAVRIL24!AL19+MVTMAI24!AL19+MVTJUIN24!AL19+MVTJUIL24!AL19+MVTAOUT24!AL19+MVTSEPT24!AL19+MVTOCT24!AL19+MVTNOV24!AL19+MVTDEC244!AL19</f>
        <v>0</v>
      </c>
      <c r="AO20" s="144"/>
      <c r="AQ20" s="36"/>
    </row>
    <row r="21" spans="1:43" ht="13.5" customHeight="1" x14ac:dyDescent="0.35">
      <c r="A21" s="1" t="s">
        <v>329</v>
      </c>
      <c r="B21" s="1" t="str">
        <f>VLOOKUP(A21,[19]LISTADHERENT!A$5:H$60,3,0)</f>
        <v>MASSEUNGOUE DAGOBERT</v>
      </c>
      <c r="C21" s="36">
        <f>+MVTDEC23!C20</f>
        <v>0</v>
      </c>
      <c r="D21" s="36">
        <f>+MVTDEC23!D20</f>
        <v>0</v>
      </c>
      <c r="E21" s="36">
        <f>VLOOKUP($A21,[29]HISTOJANV24!$A$6:$BA$38,48,0)</f>
        <v>0</v>
      </c>
      <c r="F21" s="36">
        <f>MVTDEC244!F20</f>
        <v>525500</v>
      </c>
      <c r="G21" s="5">
        <f>MVTDEC244!G20</f>
        <v>0</v>
      </c>
      <c r="H21" s="36">
        <f>MVTDEC23!H20+MVTJANV24!H20+MVTFEV24!H20+MVTMARS24!H20+MVTAVRIL24!H20+MVTMAI24!H20+MVTJUIN24!H20+MVTJUIL24!H20+MVTAOUT24!H20+MVTSEPT24!H20+MVTOCT24!H20+MVTNOV24!H20+MVTDEC244!H20</f>
        <v>0</v>
      </c>
      <c r="I21" s="6">
        <f t="shared" si="0"/>
        <v>525500</v>
      </c>
      <c r="J21" s="36">
        <f>MVTJANV24!J20+MVTFEV24!J20+MVTMARS24!J20+MVTAVRIL24!J20+MVTMAI24!J20+MVTJUIN24!J20+MVTJUIL24!J20+MVTAOUT24!J20+MVTSEPT24!J20+MVTOCT24!J20+MVTNOV24!J20+MVTDEC244!J20</f>
        <v>0</v>
      </c>
      <c r="K21" s="36">
        <f>MVTJANV24!K20+MVTFEV24!K20+MVTMARS24!K20+MVTAVRIL24!K20+MVTMAI24!K20+MVTJUIN24!K20+MVTJUIL24!K20+MVTAOUT24!K20+MVTSEPT24!K20+MVTOCT24!K20+MVTNOV24!K20+MVTDEC244!K20</f>
        <v>597500</v>
      </c>
      <c r="L21" s="36">
        <f>MVTJANV24!L20+MVTFEV24!L20+MVTMARS24!L20+MVTAVRIL24!L20+MVTMAI24!L20+MVTJUIN24!L20+MVTJUIL24!L20+MVTAOUT24!L20+MVTSEPT24!L20+MVTOCT24!L20+MVTNOV24!L20+MVTDEC244!L20</f>
        <v>525500</v>
      </c>
      <c r="M21" s="36">
        <f>MVTJANV24!M20+MVTFEV24!M20+MVTMARS24!M20+MVTAVRIL24!M20+MVTMAI24!M20+MVTJUIN24!M20+MVTJUIL24!M20+MVTAOUT24!M20+MVTSEPT24!M20+MVTOCT24!M20+MVTNOV24!M20+MVTDEC244!M20</f>
        <v>12000</v>
      </c>
      <c r="N21" s="36">
        <f>MVTJANV24!N20+MVTFEV24!N20+MVTMARS24!N20+MVTAVRIL24!N20+MVTMAI24!N20+MVTJUIN24!N20+MVTJUIL24!N20+MVTAOUT24!N20+MVTSEPT24!N20+MVTOCT24!N20+MVTNOV24!N20+MVTDEC244!N20</f>
        <v>12000</v>
      </c>
      <c r="O21" s="36">
        <f>MVTJANV24!O20+MVTFEV24!O20+MVTMARS24!O20+MVTAVRIL24!O20+MVTMAI24!O20+MVTJUIN24!O20+MVTJUIL24!O20+MVTAOUT24!O20+MVTSEPT24!O20+MVTOCT24!O20+MVTNOV24!O20+MVTDEC244!O20</f>
        <v>48000</v>
      </c>
      <c r="P21" s="36">
        <f>MVTJANV24!P20+MVTFEV24!P20+MVTMARS24!P20+MVTAVRIL24!P20+MVTMAI24!P20+MVTJUIN24!P20+MVTJUIL24!P20+MVTAOUT24!P20+MVTSEPT24!P20+MVTOCT24!P20+MVTNOV24!P20+MVTDEC244!P20</f>
        <v>0</v>
      </c>
      <c r="Q21" s="36">
        <f>MVTJANV24!Q20+MVTFEV24!Q20+MVTMARS24!Q20+MVTAVRIL24!Q20+MVTMAI24!Q20+MVTJUIN24!Q20+MVTJUIL24!Q20+MVTAOUT24!Q20+MVTSEPT24!Q20+MVTOCT24!Q20+MVTNOV24!Q20+MVTDEC244!Q20</f>
        <v>25000</v>
      </c>
      <c r="R21" s="36">
        <f>MVTJANV24!R20+MVTFEV24!R20+MVTMARS24!R20+MVTAVRIL24!R20+MVTMAI24!R20+MVTJUIN24!R20+MVTJUIL24!R20+MVTAOUT24!R20+MVTSEPT24!R20+MVTOCT24!R20+MVTNOV24!R20+MVTDEC244!R20</f>
        <v>0</v>
      </c>
      <c r="S21" s="36">
        <f>MVTDEC23!S20+MVTJANV24!S20+MVTFEV24!S20+MVTMARS24!S20+MVTAVRIL24!S20+MVTMAI24!S20+MVTJUIN24!S20+MVTJUIL24!S20+MVTAOUT24!S20+MVTSEPT24!S20+MVTOCT24!S20+MVTNOV24!S20+MVTDEC244!S20</f>
        <v>0</v>
      </c>
      <c r="T21" s="36">
        <f>MVTDEC23!T20+MVTJANV24!T20+MVTFEV24!T20+MVTMARS24!T20+MVTAVRIL24!T20+MVTMAI24!T20+MVTJUIN24!T20+MVTJUIL24!T20+MVTAOUT24!T20+MVTSEPT24!T20+MVTOCT24!T20+MVTNOV24!T20+MVTDEC244!T20</f>
        <v>0</v>
      </c>
      <c r="U21" s="36"/>
      <c r="V21" s="36">
        <f>MVTJANV24!V20+MVTFEV24!V20+MVTMARS24!V20+MVTAVRIL24!V20+MVTMAI24!V20+MVTJUIN24!V20+MVTJUIL24!V20+MVTAOUT24!V20+MVTSEPT24!V20+MVTOCT24!V20+MVTNOV24!V20+MVTDEC244!V20</f>
        <v>0</v>
      </c>
      <c r="W21" s="36">
        <f t="shared" si="1"/>
        <v>0</v>
      </c>
      <c r="X21" s="36"/>
      <c r="Y21" s="36"/>
      <c r="Z21" s="36">
        <f>MVTJANV24!Z20+MVTFEV24!Z20+MVTMARS24!Z20+MVTAVRIL24!Z20+MVTMAI24!Z20+MVTJUIN24!Z20+MVTJUIL24!Z20+MVTAOUT24!Z20+MVTSEPT24!Z20+MVTOCT24!Z20+MVTNOV24!Z20+MVTDEC244!Z20</f>
        <v>0</v>
      </c>
      <c r="AA21" s="36">
        <f>MVTJANV24!AA20+MVTFEV24!AA20+MVTMARS24!AA20+MVTAVRIL24!AA20+MVTMAI24!AA20+MVTJUIN24!AA20+MVTJUIL24!AA20+MVTAOUT24!AA20+MVTSEPT24!AA20+MVTOCT24!AA20+MVTNOV24!AA20+MVTDEC244!AA20</f>
        <v>0</v>
      </c>
      <c r="AB21" s="36">
        <f>MVTJANV24!AB20+MVTFEV24!AB20+MVTMARS24!AB20+MVTAVRIL24!AB20+MVTMAI24!AB20+MVTJUIN24!AB20+MVTJUIL24!AB20+MVTAOUT24!AB20+MVTSEPT24!AB20+MVTOCT24!AB20+MVTNOV24!AB20+MVTDEC244!AB20</f>
        <v>0</v>
      </c>
      <c r="AC21" s="36">
        <f>MVTJANV24!AC20+MVTFEV24!AC20+MVTMARS24!AC20+MVTAVRIL24!AC20+MVTMAI24!AC20+MVTJUIN24!AC20+MVTJUIL24!AC20+MVTAOUT24!AC20+MVTSEPT24!AC20+MVTOCT24!AC20+MVTNOV24!AC20+MVTDEC244!AC20</f>
        <v>0</v>
      </c>
      <c r="AD21" s="36">
        <f>MVTJANV24!AD20+MVTFEV24!AD20+MVTMARS24!AD20+MVTAVRIL24!AD20+MVTMAI24!AD20+MVTJUIN24!AD20+MVTJUIL24!AD20+MVTAOUT24!AD20+MVTSEPT24!AD20+MVTOCT24!AD20+MVTNOV24!AD20+MVTDEC244!AD20</f>
        <v>0</v>
      </c>
      <c r="AE21" s="36">
        <f>MVTJANV24!AE20+MVTFEV24!AE20+MVTMARS24!AE20+MVTAVRIL24!AE20+MVTMAI24!AE20+MVTJUIN24!AE20+MVTJUIL24!AE20+MVTAOUT24!AE20+MVTSEPT24!AE20+MVTOCT24!AE20+MVTNOV24!AE20+MVTDEC244!AE20</f>
        <v>190000</v>
      </c>
      <c r="AF21" s="36">
        <f>MVTJANV24!AF20+MVTFEV24!AF20+MVTMARS24!AF20+MVTAVRIL24!AF20+MVTMAI24!AF20+MVTJUIN24!AF20+MVTJUIL24!AF20+MVTAOUT24!AF20+MVTSEPT24!AF20+MVTOCT24!AF20+MVTNOV24!AF20+MVTDEC244!AF20</f>
        <v>0</v>
      </c>
      <c r="AG21" s="36">
        <f>MVTJANV24!AG20+MVTFEV24!AG20+MVTMARS24!AG20+MVTAVRIL24!AG20+MVTMAI24!AG20+MVTJUIN24!AG20+MVTJUIL24!AG20+MVTAOUT24!AG20+MVTSEPT24!AG20+MVTOCT24!AG20+MVTNOV24!AG20+MVTDEC244!AG20</f>
        <v>0</v>
      </c>
      <c r="AH21" s="36">
        <f>MVTJANV24!AH20+MVTFEV24!AH20+MVTMARS24!AH20+MVTAVRIL24!AH20+MVTMAI24!AH20+MVTJUIN24!AH20+MVTJUIL24!AH20+MVTAOUT24!AH20+MVTSEPT24!AH20+MVTOCT24!AH20+MVTNOV24!AH20+MVTDEC244!AH20</f>
        <v>0</v>
      </c>
      <c r="AI21" s="36">
        <f>MVTJANV24!AI20+MVTFEV24!AI20+MVTMARS24!AI20+MVTAVRIL24!AI20+MVTMAI24!AI20+MVTJUIN24!AI20+MVTJUIL24!AI20+MVTAOUT24!AI20+MVTSEPT24!AI20+MVTOCT24!AI20+MVTNOV24!AI20+MVTDEC244!AI20</f>
        <v>0</v>
      </c>
      <c r="AJ21" s="36">
        <f>MVTJANV24!AJ20+MVTFEV24!AJ20+MVTMARS24!AJ20+MVTAVRIL24!AJ20+MVTMAI24!AJ20+MVTJUIN24!AJ20+MVTJUIL24!AJ20+MVTAOUT24!AJ20+MVTSEPT24!AJ20+MVTOCT24!AJ20+MVTNOV24!AJ20+MVTDEC244!AJ20</f>
        <v>0</v>
      </c>
      <c r="AK21" s="36">
        <f>MVTJANV24!AK20+MVTFEV24!AK20+MVTMARS24!AK20+MVTAVRIL24!AK20+MVTMAI24!AK20+MVTJUIN24!AK20+MVTJUIL24!AK20+MVTAOUT24!AK20+MVTSEPT24!AK20+MVTOCT24!AK20+MVTNOV24!AK20+MVTDEC244!AK20</f>
        <v>0</v>
      </c>
      <c r="AL21" s="143"/>
      <c r="AM21" s="144">
        <f t="shared" si="2"/>
        <v>0</v>
      </c>
      <c r="AN21" s="144">
        <f>MVTJANV24!AL20+MVTFEV24!AL20+MVTMARS24!AL20+MVTAVRIL24!AL20+MVTMAI24!AL20+MVTJUIN24!AL20+MVTJUIL24!AL20+MVTAOUT24!AL20+MVTSEPT24!AL20+MVTOCT24!AL20+MVTNOV24!AL20+MVTDEC244!AL20</f>
        <v>0</v>
      </c>
      <c r="AO21" s="144"/>
      <c r="AQ21" s="36"/>
    </row>
    <row r="22" spans="1:43" ht="15.5" x14ac:dyDescent="0.35">
      <c r="A22" s="1" t="s">
        <v>75</v>
      </c>
      <c r="B22" s="1" t="str">
        <f>VLOOKUP(A22,[19]LISTADHERENT!A$5:H$60,3,0)</f>
        <v>MBOGNING TUGMA GUY</v>
      </c>
      <c r="C22" s="36">
        <f>+MVTDEC23!C21</f>
        <v>700000</v>
      </c>
      <c r="D22" s="36">
        <f>+MVTDEC23!D21</f>
        <v>31709.397241182596</v>
      </c>
      <c r="E22" s="36">
        <f>VLOOKUP($A22,[29]HISTOJANV24!$A$6:$BA$38,48,0)</f>
        <v>0</v>
      </c>
      <c r="F22" s="36">
        <f>MVTDEC244!F21</f>
        <v>1018064.0502007741</v>
      </c>
      <c r="G22" s="5">
        <f>MVTDEC244!G21</f>
        <v>1018064.0502007741</v>
      </c>
      <c r="H22" s="36">
        <f>MVTDEC23!H21+MVTJANV24!H21+MVTFEV24!H21+MVTMARS24!H21+MVTAVRIL24!H21+MVTMAI24!H21+MVTJUIN24!H21+MVTJUIL24!H21+MVTAOUT24!H21+MVTSEPT24!H21+MVTOCT24!H21+MVTNOV24!H21+MVTDEC244!H21</f>
        <v>64019.634626899009</v>
      </c>
      <c r="I22" s="6">
        <f t="shared" si="0"/>
        <v>1082083.684827673</v>
      </c>
      <c r="J22" s="36">
        <f>MVTJANV24!J21+MVTFEV24!J21+MVTMARS24!J21+MVTAVRIL24!J21+MVTMAI24!J21+MVTJUIN24!J21+MVTJUIL24!J21+MVTAOUT24!J21+MVTSEPT24!J21+MVTOCT24!J21+MVTNOV24!J21+MVTDEC244!J21</f>
        <v>0</v>
      </c>
      <c r="K22" s="36">
        <f>MVTJANV24!K21+MVTFEV24!K21+MVTMARS24!K21+MVTAVRIL24!K21+MVTMAI24!K21+MVTJUIN24!K21+MVTJUIL24!K21+MVTAOUT24!K21+MVTSEPT24!K21+MVTOCT24!K21+MVTNOV24!K21+MVTDEC244!K21</f>
        <v>298500</v>
      </c>
      <c r="L22" s="36">
        <f>MVTJANV24!L21+MVTFEV24!L21+MVTMARS24!L21+MVTAVRIL24!L21+MVTMAI24!L21+MVTJUIN24!L21+MVTJUIL24!L21+MVTAOUT24!L21+MVTSEPT24!L21+MVTOCT24!L21+MVTNOV24!L21+MVTDEC244!L21</f>
        <v>226500</v>
      </c>
      <c r="M22" s="36">
        <f>MVTJANV24!M21+MVTFEV24!M21+MVTMARS24!M21+MVTAVRIL24!M21+MVTMAI24!M21+MVTJUIN24!M21+MVTJUIL24!M21+MVTAOUT24!M21+MVTSEPT24!M21+MVTOCT24!M21+MVTNOV24!M21+MVTDEC244!M21</f>
        <v>12000</v>
      </c>
      <c r="N22" s="36">
        <f>MVTJANV24!N21+MVTFEV24!N21+MVTMARS24!N21+MVTAVRIL24!N21+MVTMAI24!N21+MVTJUIN24!N21+MVTJUIL24!N21+MVTAOUT24!N21+MVTSEPT24!N21+MVTOCT24!N21+MVTNOV24!N21+MVTDEC244!N21</f>
        <v>12000</v>
      </c>
      <c r="O22" s="36">
        <f>MVTJANV24!O21+MVTFEV24!O21+MVTMARS24!O21+MVTAVRIL24!O21+MVTMAI24!O21+MVTJUIN24!O21+MVTJUIL24!O21+MVTAOUT24!O21+MVTSEPT24!O21+MVTOCT24!O21+MVTNOV24!O21+MVTDEC244!O21</f>
        <v>48000</v>
      </c>
      <c r="P22" s="36">
        <f>MVTJANV24!P21+MVTFEV24!P21+MVTMARS24!P21+MVTAVRIL24!P21+MVTMAI24!P21+MVTJUIN24!P21+MVTJUIL24!P21+MVTAOUT24!P21+MVTSEPT24!P21+MVTOCT24!P21+MVTNOV24!P21+MVTDEC244!P21</f>
        <v>0</v>
      </c>
      <c r="Q22" s="36">
        <f>MVTJANV24!Q21+MVTFEV24!Q21+MVTMARS24!Q21+MVTAVRIL24!Q21+MVTMAI24!Q21+MVTJUIN24!Q21+MVTJUIL24!Q21+MVTAOUT24!Q21+MVTSEPT24!Q21+MVTOCT24!Q21+MVTNOV24!Q21+MVTDEC244!Q21</f>
        <v>0</v>
      </c>
      <c r="R22" s="36">
        <f>MVTJANV24!R21+MVTFEV24!R21+MVTMARS24!R21+MVTAVRIL24!R21+MVTMAI24!R21+MVTJUIN24!R21+MVTJUIL24!R21+MVTAOUT24!R21+MVTSEPT24!R21+MVTOCT24!R21+MVTNOV24!R21+MVTDEC244!R21</f>
        <v>0</v>
      </c>
      <c r="S22" s="36">
        <f>MVTDEC23!S21+MVTJANV24!S21+MVTFEV24!S21+MVTMARS24!S21+MVTAVRIL24!S21+MVTMAI24!S21+MVTJUIN24!S21+MVTJUIL24!S21+MVTAOUT24!S21+MVTSEPT24!S21+MVTOCT24!S21+MVTNOV24!S21+MVTDEC244!S21</f>
        <v>2000000</v>
      </c>
      <c r="T22" s="36">
        <f>MVTDEC23!T21+MVTJANV24!T21+MVTFEV24!T21+MVTMARS24!T21+MVTAVRIL24!T21+MVTMAI24!T21+MVTJUIN24!T21+MVTJUIL24!T21+MVTAOUT24!T21+MVTSEPT24!T21+MVTOCT24!T21+MVTNOV24!T21+MVTDEC244!T21</f>
        <v>120000</v>
      </c>
      <c r="U22" s="36"/>
      <c r="V22" s="36">
        <f>MVTJANV24!V21+MVTFEV24!V21+MVTMARS24!V21+MVTAVRIL24!V21+MVTMAI24!V21+MVTJUIN24!V21+MVTJUIL24!V21+MVTAOUT24!V21+MVTSEPT24!V21+MVTOCT24!V21+MVTNOV24!V21+MVTDEC244!V21</f>
        <v>1000000</v>
      </c>
      <c r="W22" s="36">
        <f t="shared" si="1"/>
        <v>1000000</v>
      </c>
      <c r="X22" s="36"/>
      <c r="Y22" s="36"/>
      <c r="Z22" s="36">
        <f>MVTJANV24!Z21+MVTFEV24!Z21+MVTMARS24!Z21+MVTAVRIL24!Z21+MVTMAI24!Z21+MVTJUIN24!Z21+MVTJUIL24!Z21+MVTAOUT24!Z21+MVTSEPT24!Z21+MVTOCT24!Z21+MVTNOV24!Z21+MVTDEC244!Z21</f>
        <v>0</v>
      </c>
      <c r="AA22" s="36">
        <f>MVTJANV24!AA21+MVTFEV24!AA21+MVTMARS24!AA21+MVTAVRIL24!AA21+MVTMAI24!AA21+MVTJUIN24!AA21+MVTJUIL24!AA21+MVTAOUT24!AA21+MVTSEPT24!AA21+MVTOCT24!AA21+MVTNOV24!AA21+MVTDEC244!AA21</f>
        <v>0</v>
      </c>
      <c r="AB22" s="36">
        <f>MVTJANV24!AB21+MVTFEV24!AB21+MVTMARS24!AB21+MVTAVRIL24!AB21+MVTMAI24!AB21+MVTJUIN24!AB21+MVTJUIL24!AB21+MVTAOUT24!AB21+MVTSEPT24!AB21+MVTOCT24!AB21+MVTNOV24!AB21+MVTDEC244!AB21</f>
        <v>0</v>
      </c>
      <c r="AC22" s="36">
        <f>MVTJANV24!AC21+MVTFEV24!AC21+MVTMARS24!AC21+MVTAVRIL24!AC21+MVTMAI24!AC21+MVTJUIN24!AC21+MVTJUIL24!AC21+MVTAOUT24!AC21+MVTSEPT24!AC21+MVTOCT24!AC21+MVTNOV24!AC21+MVTDEC244!AC21</f>
        <v>0</v>
      </c>
      <c r="AD22" s="36">
        <f>MVTJANV24!AD21+MVTFEV24!AD21+MVTMARS24!AD21+MVTAVRIL24!AD21+MVTMAI24!AD21+MVTJUIN24!AD21+MVTJUIL24!AD21+MVTAOUT24!AD21+MVTSEPT24!AD21+MVTOCT24!AD21+MVTNOV24!AD21+MVTDEC244!AD21</f>
        <v>0</v>
      </c>
      <c r="AE22" s="36">
        <f>MVTJANV24!AE21+MVTFEV24!AE21+MVTMARS24!AE21+MVTAVRIL24!AE21+MVTMAI24!AE21+MVTJUIN24!AE21+MVTJUIL24!AE21+MVTAOUT24!AE21+MVTSEPT24!AE21+MVTOCT24!AE21+MVTNOV24!AE21+MVTDEC244!AE21</f>
        <v>66700</v>
      </c>
      <c r="AF22" s="36">
        <f>MVTJANV24!AF21+MVTFEV24!AF21+MVTMARS24!AF21+MVTAVRIL24!AF21+MVTMAI24!AF21+MVTJUIN24!AF21+MVTJUIL24!AF21+MVTAOUT24!AF21+MVTSEPT24!AF21+MVTOCT24!AF21+MVTNOV24!AF21+MVTDEC244!AF21</f>
        <v>0</v>
      </c>
      <c r="AG22" s="36">
        <f>MVTJANV24!AG21+MVTFEV24!AG21+MVTMARS24!AG21+MVTAVRIL24!AG21+MVTMAI24!AG21+MVTJUIN24!AG21+MVTJUIL24!AG21+MVTAOUT24!AG21+MVTSEPT24!AG21+MVTOCT24!AG21+MVTNOV24!AG21+MVTDEC244!AG21</f>
        <v>0</v>
      </c>
      <c r="AH22" s="36">
        <f>MVTJANV24!AH21+MVTFEV24!AH21+MVTMARS24!AH21+MVTAVRIL24!AH21+MVTMAI24!AH21+MVTJUIN24!AH21+MVTJUIL24!AH21+MVTAOUT24!AH21+MVTSEPT24!AH21+MVTOCT24!AH21+MVTNOV24!AH21+MVTDEC244!AH21</f>
        <v>0</v>
      </c>
      <c r="AI22" s="36">
        <f>MVTJANV24!AI21+MVTFEV24!AI21+MVTMARS24!AI21+MVTAVRIL24!AI21+MVTMAI24!AI21+MVTJUIN24!AI21+MVTJUIL24!AI21+MVTAOUT24!AI21+MVTSEPT24!AI21+MVTOCT24!AI21+MVTNOV24!AI21+MVTDEC244!AI21</f>
        <v>6000</v>
      </c>
      <c r="AJ22" s="36">
        <f>MVTJANV24!AJ21+MVTFEV24!AJ21+MVTMARS24!AJ21+MVTAVRIL24!AJ21+MVTMAI24!AJ21+MVTJUIN24!AJ21+MVTJUIL24!AJ21+MVTAOUT24!AJ21+MVTSEPT24!AJ21+MVTOCT24!AJ21+MVTNOV24!AJ21+MVTDEC244!AJ21</f>
        <v>0</v>
      </c>
      <c r="AK22" s="36">
        <f>MVTJANV24!AK21+MVTFEV24!AK21+MVTMARS24!AK21+MVTAVRIL24!AK21+MVTMAI24!AK21+MVTJUIN24!AK21+MVTJUIL24!AK21+MVTAOUT24!AK21+MVTSEPT24!AK21+MVTOCT24!AK21+MVTNOV24!AK21+MVTDEC244!AK21</f>
        <v>0</v>
      </c>
      <c r="AL22" s="143">
        <v>45627</v>
      </c>
      <c r="AM22" s="144">
        <f t="shared" si="2"/>
        <v>120000</v>
      </c>
      <c r="AN22" s="144">
        <f>MVTJANV24!AL21+MVTFEV24!AL21+MVTMARS24!AL21+MVTAVRIL24!AL21+MVTMAI24!AL21+MVTJUIN24!AL21+MVTJUIL24!AL21+MVTAOUT24!AL21+MVTSEPT24!AL21+MVTOCT24!AL21+MVTNOV24!AL21+MVTDEC244!AL21</f>
        <v>0</v>
      </c>
      <c r="AO22" s="144"/>
      <c r="AQ22" s="36"/>
    </row>
    <row r="23" spans="1:43" ht="15.5" x14ac:dyDescent="0.35">
      <c r="A23" s="1" t="s">
        <v>50</v>
      </c>
      <c r="B23" s="1" t="str">
        <f>VLOOKUP(A23,[19]LISTADHERENT!A$5:H$60,3,0)</f>
        <v>NANGUEN MARTIN</v>
      </c>
      <c r="C23" s="36">
        <f>+MVTDEC23!C22</f>
        <v>700000</v>
      </c>
      <c r="D23" s="36">
        <f>+MVTDEC23!D22</f>
        <v>1150.3620808817795</v>
      </c>
      <c r="E23" s="36">
        <f>VLOOKUP($A23,[29]HISTOJANV24!$A$6:$BA$38,48,0)</f>
        <v>0</v>
      </c>
      <c r="F23" s="36">
        <f>MVTDEC244!F22</f>
        <v>986602.65296518349</v>
      </c>
      <c r="G23" s="5">
        <f>MVTDEC244!G22</f>
        <v>986602.65296518349</v>
      </c>
      <c r="H23" s="36">
        <f>MVTDEC23!H22+MVTJANV24!H22+MVTFEV24!H22+MVTMARS24!H22+MVTAVRIL24!H22+MVTMAI24!H22+MVTJUIN24!H22+MVTJUIL24!H22+MVTAOUT24!H22+MVTSEPT24!H22+MVTOCT24!H22+MVTNOV24!H22+MVTDEC244!H22</f>
        <v>61488.56145264802</v>
      </c>
      <c r="I23" s="6">
        <f t="shared" si="0"/>
        <v>1048091.2144178315</v>
      </c>
      <c r="J23" s="36">
        <f>MVTJANV24!J22+MVTFEV24!J22+MVTMARS24!J22+MVTAVRIL24!J22+MVTMAI24!J22+MVTJUIN24!J22+MVTJUIL24!J22+MVTAOUT24!J22+MVTSEPT24!J22+MVTOCT24!J22+MVTNOV24!J22+MVTDEC244!J22</f>
        <v>0</v>
      </c>
      <c r="K23" s="36">
        <f>MVTJANV24!K22+MVTFEV24!K22+MVTMARS24!K22+MVTAVRIL24!K22+MVTMAI24!K22+MVTJUIN24!K22+MVTJUIL24!K22+MVTAOUT24!K22+MVTSEPT24!K22+MVTOCT24!K22+MVTNOV24!K22+MVTDEC244!K22</f>
        <v>300000</v>
      </c>
      <c r="L23" s="36">
        <f>MVTJANV24!L22+MVTFEV24!L22+MVTMARS24!L22+MVTAVRIL24!L22+MVTMAI24!L22+MVTJUIN24!L22+MVTJUIL24!L22+MVTAOUT24!L22+MVTSEPT24!L22+MVTOCT24!L22+MVTNOV24!L22+MVTDEC244!L22</f>
        <v>228000</v>
      </c>
      <c r="M23" s="36">
        <f>MVTJANV24!M22+MVTFEV24!M22+MVTMARS24!M22+MVTAVRIL24!M22+MVTMAI24!M22+MVTJUIN24!M22+MVTJUIL24!M22+MVTAOUT24!M22+MVTSEPT24!M22+MVTOCT24!M22+MVTNOV24!M22+MVTDEC244!M22</f>
        <v>12000</v>
      </c>
      <c r="N23" s="36">
        <f>MVTJANV24!N22+MVTFEV24!N22+MVTMARS24!N22+MVTAVRIL24!N22+MVTMAI24!N22+MVTJUIN24!N22+MVTJUIL24!N22+MVTAOUT24!N22+MVTSEPT24!N22+MVTOCT24!N22+MVTNOV24!N22+MVTDEC244!N22</f>
        <v>12000</v>
      </c>
      <c r="O23" s="36">
        <f>MVTJANV24!O22+MVTFEV24!O22+MVTMARS24!O22+MVTAVRIL24!O22+MVTMAI24!O22+MVTJUIN24!O22+MVTJUIL24!O22+MVTAOUT24!O22+MVTSEPT24!O22+MVTOCT24!O22+MVTNOV24!O22+MVTDEC244!O22</f>
        <v>48000</v>
      </c>
      <c r="P23" s="36">
        <f>MVTJANV24!P22+MVTFEV24!P22+MVTMARS24!P22+MVTAVRIL24!P22+MVTMAI24!P22+MVTJUIN24!P22+MVTJUIL24!P22+MVTAOUT24!P22+MVTSEPT24!P22+MVTOCT24!P22+MVTNOV24!P22+MVTDEC244!P22</f>
        <v>0</v>
      </c>
      <c r="Q23" s="36">
        <f>MVTJANV24!Q22+MVTFEV24!Q22+MVTMARS24!Q22+MVTAVRIL24!Q22+MVTMAI24!Q22+MVTJUIN24!Q22+MVTJUIL24!Q22+MVTAOUT24!Q22+MVTSEPT24!Q22+MVTOCT24!Q22+MVTNOV24!Q22+MVTDEC244!Q22</f>
        <v>0</v>
      </c>
      <c r="R23" s="36">
        <f>MVTJANV24!R22+MVTFEV24!R22+MVTMARS24!R22+MVTAVRIL24!R22+MVTMAI24!R22+MVTJUIN24!R22+MVTJUIL24!R22+MVTAOUT24!R22+MVTSEPT24!R22+MVTOCT24!R22+MVTNOV24!R22+MVTDEC244!R22</f>
        <v>0</v>
      </c>
      <c r="S23" s="36">
        <f>MVTDEC23!S22+MVTJANV24!S22+MVTFEV24!S22+MVTMARS24!S22+MVTAVRIL24!S22+MVTMAI24!S22+MVTJUIN24!S22+MVTJUIL24!S22+MVTAOUT24!S22+MVTSEPT24!S22+MVTOCT24!S22+MVTNOV24!S22+MVTDEC244!S22</f>
        <v>300000</v>
      </c>
      <c r="T23" s="36">
        <f>MVTDEC23!T22+MVTJANV24!T22+MVTFEV24!T22+MVTMARS24!T22+MVTAVRIL24!T22+MVTMAI24!T22+MVTJUIN24!T22+MVTJUIL24!T22+MVTAOUT24!T22+MVTSEPT24!T22+MVTOCT24!T22+MVTNOV24!T22+MVTDEC244!T22</f>
        <v>64500</v>
      </c>
      <c r="U23" s="36"/>
      <c r="V23" s="36">
        <f>MVTJANV24!V22+MVTFEV24!V22+MVTMARS24!V22+MVTAVRIL24!V22+MVTMAI24!V22+MVTJUIN24!V22+MVTJUIL24!V22+MVTAOUT24!V22+MVTSEPT24!V22+MVTOCT24!V22+MVTNOV24!V22+MVTDEC244!V22</f>
        <v>300000</v>
      </c>
      <c r="W23" s="36">
        <f t="shared" si="1"/>
        <v>0</v>
      </c>
      <c r="X23" s="36"/>
      <c r="Y23" s="36"/>
      <c r="Z23" s="36">
        <f>MVTJANV24!Z22+MVTFEV24!Z22+MVTMARS24!Z22+MVTAVRIL24!Z22+MVTMAI24!Z22+MVTJUIN24!Z22+MVTJUIL24!Z22+MVTAOUT24!Z22+MVTSEPT24!Z22+MVTOCT24!Z22+MVTNOV24!Z22+MVTDEC244!Z22</f>
        <v>0</v>
      </c>
      <c r="AA23" s="36">
        <f>MVTJANV24!AA22+MVTFEV24!AA22+MVTMARS24!AA22+MVTAVRIL24!AA22+MVTMAI24!AA22+MVTJUIN24!AA22+MVTJUIL24!AA22+MVTAOUT24!AA22+MVTSEPT24!AA22+MVTOCT24!AA22+MVTNOV24!AA22+MVTDEC244!AA22</f>
        <v>0</v>
      </c>
      <c r="AB23" s="36">
        <f>MVTJANV24!AB22+MVTFEV24!AB22+MVTMARS24!AB22+MVTAVRIL24!AB22+MVTMAI24!AB22+MVTJUIN24!AB22+MVTJUIL24!AB22+MVTAOUT24!AB22+MVTSEPT24!AB22+MVTOCT24!AB22+MVTNOV24!AB22+MVTDEC244!AB22</f>
        <v>0</v>
      </c>
      <c r="AC23" s="36">
        <f>MVTJANV24!AC22+MVTFEV24!AC22+MVTMARS24!AC22+MVTAVRIL24!AC22+MVTMAI24!AC22+MVTJUIN24!AC22+MVTJUIL24!AC22+MVTAOUT24!AC22+MVTSEPT24!AC22+MVTOCT24!AC22+MVTNOV24!AC22+MVTDEC244!AC22</f>
        <v>0</v>
      </c>
      <c r="AD23" s="36">
        <f>MVTJANV24!AD22+MVTFEV24!AD22+MVTMARS24!AD22+MVTAVRIL24!AD22+MVTMAI24!AD22+MVTJUIN24!AD22+MVTJUIL24!AD22+MVTAOUT24!AD22+MVTSEPT24!AD22+MVTOCT24!AD22+MVTNOV24!AD22+MVTDEC244!AD22</f>
        <v>0</v>
      </c>
      <c r="AE23" s="36">
        <f>MVTJANV24!AE22+MVTFEV24!AE22+MVTMARS24!AE22+MVTAVRIL24!AE22+MVTMAI24!AE22+MVTJUIN24!AE22+MVTJUIL24!AE22+MVTAOUT24!AE22+MVTSEPT24!AE22+MVTOCT24!AE22+MVTNOV24!AE22+MVTDEC244!AE22</f>
        <v>0</v>
      </c>
      <c r="AF23" s="36">
        <f>MVTJANV24!AF22+MVTFEV24!AF22+MVTMARS24!AF22+MVTAVRIL24!AF22+MVTMAI24!AF22+MVTJUIN24!AF22+MVTJUIL24!AF22+MVTAOUT24!AF22+MVTSEPT24!AF22+MVTOCT24!AF22+MVTNOV24!AF22+MVTDEC244!AF22</f>
        <v>0</v>
      </c>
      <c r="AG23" s="36">
        <f>MVTJANV24!AG22+MVTFEV24!AG22+MVTMARS24!AG22+MVTAVRIL24!AG22+MVTMAI24!AG22+MVTJUIN24!AG22+MVTJUIL24!AG22+MVTAOUT24!AG22+MVTSEPT24!AG22+MVTOCT24!AG22+MVTNOV24!AG22+MVTDEC244!AG22</f>
        <v>0</v>
      </c>
      <c r="AH23" s="36">
        <f>MVTJANV24!AH22+MVTFEV24!AH22+MVTMARS24!AH22+MVTAVRIL24!AH22+MVTMAI24!AH22+MVTJUIN24!AH22+MVTJUIL24!AH22+MVTAOUT24!AH22+MVTSEPT24!AH22+MVTOCT24!AH22+MVTNOV24!AH22+MVTDEC244!AH22</f>
        <v>0</v>
      </c>
      <c r="AI23" s="36">
        <f>MVTJANV24!AI22+MVTFEV24!AI22+MVTMARS24!AI22+MVTAVRIL24!AI22+MVTMAI24!AI22+MVTJUIN24!AI22+MVTJUIL24!AI22+MVTAOUT24!AI22+MVTSEPT24!AI22+MVTOCT24!AI22+MVTNOV24!AI22+MVTDEC244!AI22</f>
        <v>0</v>
      </c>
      <c r="AJ23" s="36">
        <f>MVTJANV24!AJ22+MVTFEV24!AJ22+MVTMARS24!AJ22+MVTAVRIL24!AJ22+MVTMAI24!AJ22+MVTJUIN24!AJ22+MVTJUIL24!AJ22+MVTAOUT24!AJ22+MVTSEPT24!AJ22+MVTOCT24!AJ22+MVTNOV24!AJ22+MVTDEC244!AJ22+15000+31500</f>
        <v>46500</v>
      </c>
      <c r="AK23" s="36">
        <f>MVTJANV24!AK22+MVTFEV24!AK22+MVTMARS24!AK22+MVTAVRIL24!AK22+MVTMAI24!AK22+MVTJUIN24!AK22+MVTJUIL24!AK22+MVTAOUT24!AK22+MVTSEPT24!AK22+MVTOCT24!AK22+MVTNOV24!AK22+MVTDEC244!AK22</f>
        <v>0</v>
      </c>
      <c r="AL23" s="143">
        <v>45474</v>
      </c>
      <c r="AM23" s="144">
        <f t="shared" si="2"/>
        <v>64500</v>
      </c>
      <c r="AN23" s="144">
        <f>MVTJANV24!AL22+MVTFEV24!AL22+MVTMARS24!AL22+MVTAVRIL24!AL22+MVTMAI24!AL22+MVTJUIN24!AL22+MVTJUIL24!AL22+MVTAOUT24!AL22+MVTSEPT24!AL22+MVTOCT24!AL22+MVTNOV24!AL22+MVTDEC244!AL22</f>
        <v>0</v>
      </c>
      <c r="AO23" s="144"/>
      <c r="AQ23" s="36"/>
    </row>
    <row r="24" spans="1:43" ht="15.5" x14ac:dyDescent="0.35">
      <c r="A24" s="1" t="s">
        <v>37</v>
      </c>
      <c r="B24" s="1" t="str">
        <f>VLOOKUP(A24,[19]LISTADHERENT!A$5:H$60,3,0)</f>
        <v>NANKAM APPOLINAIRE</v>
      </c>
      <c r="C24" s="36">
        <f>+MVTDEC23!C23</f>
        <v>700000</v>
      </c>
      <c r="D24" s="36">
        <f>+MVTDEC23!D23</f>
        <v>100402.23439018801</v>
      </c>
      <c r="E24" s="36">
        <f>VLOOKUP($A24,[29]HISTOJANV24!$A$6:$BA$38,48,0)</f>
        <v>0</v>
      </c>
      <c r="F24" s="36">
        <f>MVTDEC244!F23</f>
        <v>1093717.6867783549</v>
      </c>
      <c r="G24" s="5">
        <f>MVTDEC244!G23</f>
        <v>1093717.6867783549</v>
      </c>
      <c r="H24" s="36">
        <f>MVTDEC23!H23+MVTJANV24!H23+MVTFEV24!H23+MVTMARS24!H23+MVTAVRIL24!H23+MVTMAI24!H23+MVTJUIN24!H23+MVTJUIL24!H23+MVTAOUT24!H23+MVTSEPT24!H23+MVTOCT24!H23+MVTNOV24!H23+MVTDEC244!H23</f>
        <v>69789.939149332262</v>
      </c>
      <c r="I24" s="6">
        <f t="shared" si="0"/>
        <v>1163507.6259276872</v>
      </c>
      <c r="J24" s="36">
        <f>MVTJANV24!J23+MVTFEV24!J23+MVTMARS24!J23+MVTAVRIL24!J23+MVTMAI24!J23+MVTJUIN24!J23+MVTJUIL24!J23+MVTAOUT24!J23+MVTSEPT24!J23+MVTOCT24!J23+MVTNOV24!J23+MVTDEC244!J23</f>
        <v>0</v>
      </c>
      <c r="K24" s="36">
        <f>MVTJANV24!K23+MVTFEV24!K23+MVTMARS24!K23+MVTAVRIL24!K23+MVTMAI24!K23+MVTJUIN24!K23+MVTJUIL24!K23+MVTAOUT24!K23+MVTSEPT24!K23+MVTOCT24!K23+MVTNOV24!K23+MVTDEC244!K23</f>
        <v>300000</v>
      </c>
      <c r="L24" s="36">
        <f>MVTJANV24!L23+MVTFEV24!L23+MVTMARS24!L23+MVTAVRIL24!L23+MVTMAI24!L23+MVTJUIN24!L23+MVTJUIL24!L23+MVTAOUT24!L23+MVTSEPT24!L23+MVTOCT24!L23+MVTNOV24!L23+MVTDEC244!L23</f>
        <v>228000</v>
      </c>
      <c r="M24" s="36">
        <f>MVTJANV24!M23+MVTFEV24!M23+MVTMARS24!M23+MVTAVRIL24!M23+MVTMAI24!M23+MVTJUIN24!M23+MVTJUIL24!M23+MVTAOUT24!M23+MVTSEPT24!M23+MVTOCT24!M23+MVTNOV24!M23+MVTDEC244!M23</f>
        <v>12000</v>
      </c>
      <c r="N24" s="36">
        <f>MVTJANV24!N23+MVTFEV24!N23+MVTMARS24!N23+MVTAVRIL24!N23+MVTMAI24!N23+MVTJUIN24!N23+MVTJUIL24!N23+MVTAOUT24!N23+MVTSEPT24!N23+MVTOCT24!N23+MVTNOV24!N23+MVTDEC244!N23</f>
        <v>12000</v>
      </c>
      <c r="O24" s="36">
        <f>MVTJANV24!O23+MVTFEV24!O23+MVTMARS24!O23+MVTAVRIL24!O23+MVTMAI24!O23+MVTJUIN24!O23+MVTJUIL24!O23+MVTAOUT24!O23+MVTSEPT24!O23+MVTOCT24!O23+MVTNOV24!O23+MVTDEC244!O23</f>
        <v>48000</v>
      </c>
      <c r="P24" s="36">
        <f>MVTJANV24!P23+MVTFEV24!P23+MVTMARS24!P23+MVTAVRIL24!P23+MVTMAI24!P23+MVTJUIN24!P23+MVTJUIL24!P23+MVTAOUT24!P23+MVTSEPT24!P23+MVTOCT24!P23+MVTNOV24!P23+MVTDEC244!P23</f>
        <v>3000</v>
      </c>
      <c r="Q24" s="36">
        <f>MVTJANV24!Q23+MVTFEV24!Q23+MVTMARS24!Q23+MVTAVRIL24!Q23+MVTMAI24!Q23+MVTJUIN24!Q23+MVTJUIL24!Q23+MVTAOUT24!Q23+MVTSEPT24!Q23+MVTOCT24!Q23+MVTNOV24!Q23+MVTDEC244!Q23</f>
        <v>0</v>
      </c>
      <c r="R24" s="36">
        <f>MVTJANV24!R23+MVTFEV24!R23+MVTMARS24!R23+MVTAVRIL24!R23+MVTMAI24!R23+MVTJUIN24!R23+MVTJUIL24!R23+MVTAOUT24!R23+MVTSEPT24!R23+MVTOCT24!R23+MVTNOV24!R23+MVTDEC244!R23</f>
        <v>0</v>
      </c>
      <c r="S24" s="36">
        <f>MVTDEC23!S23+MVTJANV24!S23+MVTFEV24!S23+MVTMARS24!S23+MVTAVRIL24!S23+MVTMAI24!S23+MVTJUIN24!S23+MVTJUIL24!S23+MVTAOUT24!S23+MVTSEPT24!S23+MVTOCT24!S23+MVTNOV24!S23+MVTDEC244!S23</f>
        <v>1900000</v>
      </c>
      <c r="T24" s="36">
        <f>MVTDEC23!T23+MVTJANV24!T23+MVTFEV24!T23+MVTMARS24!T23+MVTAVRIL24!T23+MVTMAI24!T23+MVTJUIN24!T23+MVTJUIL24!T23+MVTAOUT24!T23+MVTSEPT24!T23+MVTOCT24!T23+MVTNOV24!T23+MVTDEC244!T23</f>
        <v>120000</v>
      </c>
      <c r="U24" s="36"/>
      <c r="V24" s="36">
        <f>MVTJANV24!V23+MVTFEV24!V23+MVTMARS24!V23+MVTAVRIL24!V23+MVTMAI24!V23+MVTJUIN24!V23+MVTJUIL24!V23+MVTAOUT24!V23+MVTSEPT24!V23+MVTOCT24!V23+MVTNOV24!V23+MVTDEC244!V23</f>
        <v>1000000</v>
      </c>
      <c r="W24" s="36">
        <f t="shared" si="1"/>
        <v>900000</v>
      </c>
      <c r="X24" s="36"/>
      <c r="Y24" s="36"/>
      <c r="Z24" s="36">
        <f>MVTJANV24!Z23+MVTFEV24!Z23+MVTMARS24!Z23+MVTAVRIL24!Z23+MVTMAI24!Z23+MVTJUIN24!Z23+MVTJUIL24!Z23+MVTAOUT24!Z23+MVTSEPT24!Z23+MVTOCT24!Z23+MVTNOV24!Z23+MVTDEC244!Z23</f>
        <v>0</v>
      </c>
      <c r="AA24" s="36">
        <f>MVTJANV24!AA23+MVTFEV24!AA23+MVTMARS24!AA23+MVTAVRIL24!AA23+MVTMAI24!AA23+MVTJUIN24!AA23+MVTJUIL24!AA23+MVTAOUT24!AA23+MVTSEPT24!AA23+MVTOCT24!AA23+MVTNOV24!AA23+MVTDEC244!AA23</f>
        <v>0</v>
      </c>
      <c r="AB24" s="36">
        <f>MVTJANV24!AB23+MVTFEV24!AB23+MVTMARS24!AB23+MVTAVRIL24!AB23+MVTMAI24!AB23+MVTJUIN24!AB23+MVTJUIL24!AB23+MVTAOUT24!AB23+MVTSEPT24!AB23+MVTOCT24!AB23+MVTNOV24!AB23+MVTDEC244!AB23</f>
        <v>0</v>
      </c>
      <c r="AC24" s="36">
        <f>MVTJANV24!AC23+MVTFEV24!AC23+MVTMARS24!AC23+MVTAVRIL24!AC23+MVTMAI24!AC23+MVTJUIN24!AC23+MVTJUIL24!AC23+MVTAOUT24!AC23+MVTSEPT24!AC23+MVTOCT24!AC23+MVTNOV24!AC23+MVTDEC244!AC23</f>
        <v>0</v>
      </c>
      <c r="AD24" s="36">
        <f>MVTJANV24!AD23+MVTFEV24!AD23+MVTMARS24!AD23+MVTAVRIL24!AD23+MVTMAI24!AD23+MVTJUIN24!AD23+MVTJUIL24!AD23+MVTAOUT24!AD23+MVTSEPT24!AD23+MVTOCT24!AD23+MVTNOV24!AD23+MVTDEC244!AD23</f>
        <v>0</v>
      </c>
      <c r="AE24" s="36">
        <f>MVTJANV24!AE23+MVTFEV24!AE23+MVTMARS24!AE23+MVTAVRIL24!AE23+MVTMAI24!AE23+MVTJUIN24!AE23+MVTJUIL24!AE23+MVTAOUT24!AE23+MVTSEPT24!AE23+MVTOCT24!AE23+MVTNOV24!AE23+MVTDEC244!AE23</f>
        <v>0</v>
      </c>
      <c r="AF24" s="36">
        <f>MVTJANV24!AF23+MVTFEV24!AF23+MVTMARS24!AF23+MVTAVRIL24!AF23+MVTMAI24!AF23+MVTJUIN24!AF23+MVTJUIL24!AF23+MVTAOUT24!AF23+MVTSEPT24!AF23+MVTOCT24!AF23+MVTNOV24!AF23+MVTDEC244!AF23</f>
        <v>0</v>
      </c>
      <c r="AG24" s="36">
        <f>MVTJANV24!AG23+MVTFEV24!AG23+MVTMARS24!AG23+MVTAVRIL24!AG23+MVTMAI24!AG23+MVTJUIN24!AG23+MVTJUIL24!AG23+MVTAOUT24!AG23+MVTSEPT24!AG23+MVTOCT24!AG23+MVTNOV24!AG23+MVTDEC244!AG23</f>
        <v>0</v>
      </c>
      <c r="AH24" s="36">
        <f>MVTJANV24!AH23+MVTFEV24!AH23+MVTMARS24!AH23+MVTAVRIL24!AH23+MVTMAI24!AH23+MVTJUIN24!AH23+MVTJUIL24!AH23+MVTAOUT24!AH23+MVTSEPT24!AH23+MVTOCT24!AH23+MVTNOV24!AH23+MVTDEC244!AH23</f>
        <v>0</v>
      </c>
      <c r="AI24" s="36"/>
      <c r="AJ24" s="36">
        <f>MVTJANV24!AJ23+MVTFEV24!AJ23+MVTMARS24!AJ23+MVTAVRIL24!AJ23+MVTMAI24!AJ23+MVTJUIN24!AJ23+MVTJUIL24!AJ23+MVTAOUT24!AJ23+MVTSEPT24!AJ23+MVTOCT24!AJ23+MVTNOV24!AJ23+MVTDEC244!AJ23</f>
        <v>0</v>
      </c>
      <c r="AK24" s="36">
        <f>MVTJANV24!AK23+MVTFEV24!AK23+MVTMARS24!AK23+MVTAVRIL24!AK23+MVTMAI24!AK23+MVTJUIN24!AK23+MVTJUIL24!AK23+MVTAOUT24!AK23+MVTSEPT24!AK23+MVTOCT24!AK23+MVTNOV24!AK23+MVTDEC244!AK23</f>
        <v>0</v>
      </c>
      <c r="AL24" s="143">
        <v>45627</v>
      </c>
      <c r="AM24" s="144">
        <f t="shared" si="2"/>
        <v>120000</v>
      </c>
      <c r="AN24" s="144">
        <f>MVTJANV24!AL23+MVTFEV24!AL23+MVTMARS24!AL23+MVTAVRIL24!AL23+MVTMAI24!AL23+MVTJUIN24!AL23+MVTJUIL24!AL23+MVTAOUT24!AL23+MVTSEPT24!AL23+MVTOCT24!AL23+MVTNOV24!AL23+MVTDEC244!AL23</f>
        <v>0</v>
      </c>
      <c r="AO24" s="144"/>
      <c r="AQ24" s="36"/>
    </row>
    <row r="25" spans="1:43" ht="15.5" x14ac:dyDescent="0.35">
      <c r="A25" s="1" t="s">
        <v>38</v>
      </c>
      <c r="B25" s="1" t="str">
        <f>VLOOKUP(A25,[19]LISTADHERENT!A$5:H$60,3,0)</f>
        <v>NDJOMO ETIENNE</v>
      </c>
      <c r="C25" s="36">
        <f>+MVTDEC23!C24</f>
        <v>700000</v>
      </c>
      <c r="D25" s="36">
        <f>+MVTDEC23!D24</f>
        <v>224970.61781197961</v>
      </c>
      <c r="E25" s="36">
        <f>VLOOKUP($A25,[29]HISTOJANV24!$A$6:$BA$38,48,0)</f>
        <v>0</v>
      </c>
      <c r="F25" s="36">
        <f>MVTDEC244!F24</f>
        <v>1369338.144939593</v>
      </c>
      <c r="G25" s="5">
        <f>MVTDEC244!G24</f>
        <v>1369338.144939593</v>
      </c>
      <c r="H25" s="36">
        <f>MVTDEC23!H24+MVTJANV24!H24+MVTFEV24!H24+MVTMARS24!H24+MVTAVRIL24!H24+MVTMAI24!H24+MVTJUIN24!H24+MVTJUIL24!H24+MVTAOUT24!H24+MVTSEPT24!H24+MVTOCT24!H24+MVTNOV24!H24+MVTDEC244!H24</f>
        <v>81969.599284953001</v>
      </c>
      <c r="I25" s="6">
        <f t="shared" si="0"/>
        <v>1451307.744224546</v>
      </c>
      <c r="J25" s="36">
        <f>MVTJANV24!J24+MVTFEV24!J24+MVTMARS24!J24+MVTAVRIL24!J24+MVTMAI24!J24+MVTJUIN24!J24+MVTJUIL24!J24+MVTAOUT24!J24+MVTSEPT24!J24+MVTOCT24!J24+MVTNOV24!J24+MVTDEC244!J24</f>
        <v>0</v>
      </c>
      <c r="K25" s="36">
        <f>MVTJANV24!K24+MVTFEV24!K24+MVTMARS24!K24+MVTAVRIL24!K24+MVTMAI24!K24+MVTJUIN24!K24+MVTJUIL24!K24+MVTAOUT24!K24+MVTSEPT24!K24+MVTOCT24!K24+MVTNOV24!K24+MVTDEC244!K24</f>
        <v>440000</v>
      </c>
      <c r="L25" s="36">
        <f>MVTJANV24!L24+MVTFEV24!L24+MVTMARS24!L24+MVTAVRIL24!L24+MVTMAI24!L24+MVTJUIN24!L24+MVTJUIL24!L24+MVTAOUT24!L24+MVTSEPT24!L24+MVTOCT24!L24+MVTNOV24!L24+MVTDEC244!L24</f>
        <v>368000</v>
      </c>
      <c r="M25" s="36">
        <f>MVTJANV24!M24+MVTFEV24!M24+MVTMARS24!M24+MVTAVRIL24!M24+MVTMAI24!M24+MVTJUIN24!M24+MVTJUIL24!M24+MVTAOUT24!M24+MVTSEPT24!M24+MVTOCT24!M24+MVTNOV24!M24+MVTDEC244!M24</f>
        <v>12000</v>
      </c>
      <c r="N25" s="36">
        <f>MVTJANV24!N24+MVTFEV24!N24+MVTMARS24!N24+MVTAVRIL24!N24+MVTMAI24!N24+MVTJUIN24!N24+MVTJUIL24!N24+MVTAOUT24!N24+MVTSEPT24!N24+MVTOCT24!N24+MVTNOV24!N24+MVTDEC244!N24</f>
        <v>12000</v>
      </c>
      <c r="O25" s="36">
        <f>MVTJANV24!O24+MVTFEV24!O24+MVTMARS24!O24+MVTAVRIL24!O24+MVTMAI24!O24+MVTJUIN24!O24+MVTJUIL24!O24+MVTAOUT24!O24+MVTSEPT24!O24+MVTOCT24!O24+MVTNOV24!O24+MVTDEC244!O24</f>
        <v>48000</v>
      </c>
      <c r="P25" s="36">
        <f>MVTJANV24!P24+MVTFEV24!P24+MVTMARS24!P24+MVTAVRIL24!P24+MVTMAI24!P24+MVTJUIN24!P24+MVTJUIL24!P24+MVTAOUT24!P24+MVTSEPT24!P24+MVTOCT24!P24+MVTNOV24!P24+MVTDEC244!P24</f>
        <v>0</v>
      </c>
      <c r="Q25" s="36">
        <f>MVTJANV24!Q24+MVTFEV24!Q24+MVTMARS24!Q24+MVTAVRIL24!Q24+MVTMAI24!Q24+MVTJUIN24!Q24+MVTJUIL24!Q24+MVTAOUT24!Q24+MVTSEPT24!Q24+MVTOCT24!Q24+MVTNOV24!Q24+MVTDEC244!Q24</f>
        <v>0</v>
      </c>
      <c r="R25" s="36">
        <f>MVTJANV24!R24+MVTFEV24!R24+MVTMARS24!R24+MVTAVRIL24!R24+MVTMAI24!R24+MVTJUIN24!R24+MVTJUIL24!R24+MVTAOUT24!R24+MVTSEPT24!R24+MVTOCT24!R24+MVTNOV24!R24+MVTDEC244!R24</f>
        <v>0</v>
      </c>
      <c r="S25" s="36">
        <f>MVTDEC23!S24+MVTJANV24!S24+MVTFEV24!S24+MVTMARS24!S24+MVTAVRIL24!S24+MVTMAI24!S24+MVTJUIN24!S24+MVTJUIL24!S24+MVTAOUT24!S24+MVTSEPT24!S24+MVTOCT24!S24+MVTNOV24!S24+MVTDEC244!S24</f>
        <v>1000000</v>
      </c>
      <c r="T25" s="36">
        <f>MVTDEC23!T24+MVTJANV24!T24+MVTFEV24!T24+MVTMARS24!T24+MVTAVRIL24!T24+MVTMAI24!T24+MVTJUIN24!T24+MVTJUIL24!T24+MVTAOUT24!T24+MVTSEPT24!T24+MVTOCT24!T24+MVTNOV24!T24+MVTDEC244!T24</f>
        <v>60000</v>
      </c>
      <c r="U25" s="36"/>
      <c r="V25" s="36">
        <f>MVTJANV24!V24+MVTFEV24!V24+MVTMARS24!V24+MVTAVRIL24!V24+MVTMAI24!V24+MVTJUIN24!V24+MVTJUIL24!V24+MVTAOUT24!V24+MVTSEPT24!V24+MVTOCT24!V24+MVTNOV24!V24+MVTDEC244!V24</f>
        <v>500000</v>
      </c>
      <c r="W25" s="36">
        <f t="shared" si="1"/>
        <v>500000</v>
      </c>
      <c r="X25" s="36"/>
      <c r="Y25" s="36"/>
      <c r="Z25" s="36">
        <f>MVTJANV24!Z24+MVTFEV24!Z24+MVTMARS24!Z24+MVTAVRIL24!Z24+MVTMAI24!Z24+MVTJUIN24!Z24+MVTJUIL24!Z24+MVTAOUT24!Z24+MVTSEPT24!Z24+MVTOCT24!Z24+MVTNOV24!Z24+MVTDEC244!Z24</f>
        <v>0</v>
      </c>
      <c r="AA25" s="36">
        <f>MVTJANV24!AA24+MVTFEV24!AA24+MVTMARS24!AA24+MVTAVRIL24!AA24+MVTMAI24!AA24+MVTJUIN24!AA24+MVTJUIL24!AA24+MVTAOUT24!AA24+MVTSEPT24!AA24+MVTOCT24!AA24+MVTNOV24!AA24+MVTDEC244!AA24</f>
        <v>0</v>
      </c>
      <c r="AB25" s="36">
        <f>MVTJANV24!AB24+MVTFEV24!AB24+MVTMARS24!AB24+MVTAVRIL24!AB24+MVTMAI24!AB24+MVTJUIN24!AB24+MVTJUIL24!AB24+MVTAOUT24!AB24+MVTSEPT24!AB24+MVTOCT24!AB24+MVTNOV24!AB24+MVTDEC244!AB24</f>
        <v>0</v>
      </c>
      <c r="AC25" s="36">
        <f>MVTJANV24!AC24+MVTFEV24!AC24+MVTMARS24!AC24+MVTAVRIL24!AC24+MVTMAI24!AC24+MVTJUIN24!AC24+MVTJUIL24!AC24+MVTAOUT24!AC24+MVTSEPT24!AC24+MVTOCT24!AC24+MVTNOV24!AC24+MVTDEC244!AC24</f>
        <v>0</v>
      </c>
      <c r="AD25" s="36">
        <f>MVTJANV24!AD24+MVTFEV24!AD24+MVTMARS24!AD24+MVTAVRIL24!AD24+MVTMAI24!AD24+MVTJUIN24!AD24+MVTJUIL24!AD24+MVTAOUT24!AD24+MVTSEPT24!AD24+MVTOCT24!AD24+MVTNOV24!AD24+MVTDEC244!AD24</f>
        <v>0</v>
      </c>
      <c r="AE25" s="36">
        <f>MVTJANV24!AE24+MVTFEV24!AE24+MVTMARS24!AE24+MVTAVRIL24!AE24+MVTMAI24!AE24+MVTJUIN24!AE24+MVTJUIL24!AE24+MVTAOUT24!AE24+MVTSEPT24!AE24+MVTOCT24!AE24+MVTNOV24!AE24+MVTDEC244!AE24</f>
        <v>0</v>
      </c>
      <c r="AF25" s="36">
        <f>MVTJANV24!AF24+MVTFEV24!AF24+MVTMARS24!AF24+MVTAVRIL24!AF24+MVTMAI24!AF24+MVTJUIN24!AF24+MVTJUIL24!AF24+MVTAOUT24!AF24+MVTSEPT24!AF24+MVTOCT24!AF24+MVTNOV24!AF24+MVTDEC244!AF24</f>
        <v>0</v>
      </c>
      <c r="AG25" s="36">
        <f>MVTJANV24!AG24+MVTFEV24!AG24+MVTMARS24!AG24+MVTAVRIL24!AG24+MVTMAI24!AG24+MVTJUIN24!AG24+MVTJUIL24!AG24+MVTAOUT24!AG24+MVTSEPT24!AG24+MVTOCT24!AG24+MVTNOV24!AG24+MVTDEC244!AG24</f>
        <v>0</v>
      </c>
      <c r="AH25" s="36">
        <f>MVTJANV24!AH24+MVTFEV24!AH24+MVTMARS24!AH24+MVTAVRIL24!AH24+MVTMAI24!AH24+MVTJUIN24!AH24+MVTJUIL24!AH24+MVTAOUT24!AH24+MVTSEPT24!AH24+MVTOCT24!AH24+MVTNOV24!AH24+MVTDEC244!AH24</f>
        <v>0</v>
      </c>
      <c r="AI25" s="36">
        <f>MVTJANV24!AI24+MVTFEV24!AI24+MVTMARS24!AI24+MVTAVRIL24!AI24+MVTMAI24!AI24+MVTJUIN24!AI24+MVTJUIL24!AI24+MVTAOUT24!AI24+MVTSEPT24!AI24+MVTOCT24!AI24+MVTNOV24!AI24+MVTDEC244!AI24</f>
        <v>0</v>
      </c>
      <c r="AJ25" s="36">
        <f>MVTJANV24!AJ24+MVTFEV24!AJ24+MVTMARS24!AJ24+MVTAVRIL24!AJ24+MVTMAI24!AJ24+MVTJUIN24!AJ24+MVTJUIL24!AJ24+MVTAOUT24!AJ24+MVTSEPT24!AJ24+MVTOCT24!AJ24+MVTNOV24!AJ24+MVTDEC244!AJ24</f>
        <v>0</v>
      </c>
      <c r="AK25" s="36">
        <f>MVTJANV24!AK24+MVTFEV24!AK24+MVTMARS24!AK24+MVTAVRIL24!AK24+MVTMAI24!AK24+MVTJUIN24!AK24+MVTJUIL24!AK24+MVTAOUT24!AK24+MVTSEPT24!AK24+MVTOCT24!AK24+MVTNOV24!AK24+MVTDEC244!AK24</f>
        <v>0</v>
      </c>
      <c r="AL25" s="143">
        <v>45627</v>
      </c>
      <c r="AM25" s="144">
        <f t="shared" si="2"/>
        <v>60000</v>
      </c>
      <c r="AN25" s="144">
        <f>MVTJANV24!AL24+MVTFEV24!AL24+MVTMARS24!AL24+MVTAVRIL24!AL24+MVTMAI24!AL24+MVTJUIN24!AL24+MVTJUIL24!AL24+MVTAOUT24!AL24+MVTSEPT24!AL24+MVTOCT24!AL24+MVTNOV24!AL24+MVTDEC244!AL24</f>
        <v>0</v>
      </c>
      <c r="AO25" s="144"/>
      <c r="AQ25" s="36"/>
    </row>
    <row r="26" spans="1:43" ht="15.5" x14ac:dyDescent="0.35">
      <c r="A26" s="1" t="s">
        <v>39</v>
      </c>
      <c r="B26" s="1" t="str">
        <f>VLOOKUP(A26,[19]LISTADHERENT!A$5:H$60,3,0)</f>
        <v>NGONDIEP CLAUDE</v>
      </c>
      <c r="C26" s="36">
        <f>+MVTDEC23!C25</f>
        <v>700000</v>
      </c>
      <c r="D26" s="36">
        <f>+MVTDEC23!D25</f>
        <v>57632.732271146844</v>
      </c>
      <c r="E26" s="36">
        <f>VLOOKUP($A26,[29]HISTOJANV24!$A$6:$BA$38,48,0)</f>
        <v>0</v>
      </c>
      <c r="F26" s="36">
        <f>MVTDEC244!F25</f>
        <v>1213902.9603721222</v>
      </c>
      <c r="G26" s="5">
        <f>MVTDEC244!G25</f>
        <v>1213902.9603721222</v>
      </c>
      <c r="H26" s="36">
        <f>MVTDEC23!H25+MVTJANV24!H25+MVTFEV24!H25+MVTMARS24!H25+MVTAVRIL24!H25+MVTMAI24!H25+MVTJUIN24!H25+MVTJUIL24!H25+MVTAOUT24!H25+MVTSEPT24!H25+MVTOCT24!H25+MVTNOV24!H25+MVTDEC244!H25</f>
        <v>68236.402453996707</v>
      </c>
      <c r="I26" s="6">
        <f t="shared" si="0"/>
        <v>1282139.3628261189</v>
      </c>
      <c r="J26" s="36">
        <f>MVTJANV24!J25+MVTFEV24!J25+MVTMARS24!J25+MVTAVRIL24!J25+MVTMAI24!J25+MVTJUIN24!J25+MVTJUIL24!J25+MVTAOUT24!J25+MVTSEPT24!J25+MVTOCT24!J25+MVTNOV24!J25+MVTDEC244!J25</f>
        <v>0</v>
      </c>
      <c r="K26" s="36">
        <f>MVTJANV24!K25+MVTFEV24!K25+MVTMARS24!K25+MVTAVRIL24!K25+MVTMAI24!K25+MVTJUIN24!K25+MVTJUIL24!K25+MVTAOUT24!K25+MVTSEPT24!K25+MVTOCT24!K25+MVTNOV24!K25+MVTDEC244!K25</f>
        <v>465000</v>
      </c>
      <c r="L26" s="36">
        <f>MVTJANV24!L25+MVTFEV24!L25+MVTMARS24!L25+MVTAVRIL24!L25+MVTMAI24!L25+MVTJUIN24!L25+MVTJUIL24!L25+MVTAOUT24!L25+MVTSEPT24!L25+MVTOCT24!L25+MVTNOV24!L25+MVTDEC244!L25</f>
        <v>393000</v>
      </c>
      <c r="M26" s="36">
        <f>MVTJANV24!M25+MVTFEV24!M25+MVTMARS24!M25+MVTAVRIL24!M25+MVTMAI24!M25+MVTJUIN24!M25+MVTJUIL24!M25+MVTAOUT24!M25+MVTSEPT24!M25+MVTOCT24!M25+MVTNOV24!M25+MVTDEC244!M25</f>
        <v>12000</v>
      </c>
      <c r="N26" s="36">
        <f>MVTJANV24!N25+MVTFEV24!N25+MVTMARS24!N25+MVTAVRIL24!N25+MVTMAI24!N25+MVTJUIN24!N25+MVTJUIL24!N25+MVTAOUT24!N25+MVTSEPT24!N25+MVTOCT24!N25+MVTNOV24!N25+MVTDEC244!N25</f>
        <v>12000</v>
      </c>
      <c r="O26" s="36">
        <f>MVTJANV24!O25+MVTFEV24!O25+MVTMARS24!O25+MVTAVRIL24!O25+MVTMAI24!O25+MVTJUIN24!O25+MVTJUIL24!O25+MVTAOUT24!O25+MVTSEPT24!O25+MVTOCT24!O25+MVTNOV24!O25+MVTDEC244!O25</f>
        <v>48000</v>
      </c>
      <c r="P26" s="36">
        <f>MVTJANV24!P25+MVTFEV24!P25+MVTMARS24!P25+MVTAVRIL24!P25+MVTMAI24!P25+MVTJUIN24!P25+MVTJUIL24!P25+MVTAOUT24!P25+MVTSEPT24!P25+MVTOCT24!P25+MVTNOV24!P25+MVTDEC244!P25</f>
        <v>12000</v>
      </c>
      <c r="Q26" s="36">
        <f>MVTJANV24!Q25+MVTFEV24!Q25+MVTMARS24!Q25+MVTAVRIL24!Q25+MVTMAI24!Q25+MVTJUIN24!Q25+MVTJUIL24!Q25+MVTAOUT24!Q25+MVTSEPT24!Q25+MVTOCT24!Q25+MVTNOV24!Q25+MVTDEC244!Q25</f>
        <v>0</v>
      </c>
      <c r="R26" s="36">
        <f>MVTJANV24!R25+MVTFEV24!R25+MVTMARS24!R25+MVTAVRIL24!R25+MVTMAI24!R25+MVTJUIN24!R25+MVTJUIL24!R25+MVTAOUT24!R25+MVTSEPT24!R25+MVTOCT24!R25+MVTNOV24!R25+MVTDEC244!R25</f>
        <v>0</v>
      </c>
      <c r="S26" s="36">
        <f>MVTDEC23!S25+MVTJANV24!S25+MVTFEV24!S25+MVTMARS24!S25+MVTAVRIL24!S25+MVTMAI24!S25+MVTJUIN24!S25+MVTJUIL24!S25+MVTAOUT24!S25+MVTSEPT24!S25+MVTOCT24!S25+MVTNOV24!S25+MVTDEC244!S25</f>
        <v>1000000</v>
      </c>
      <c r="T26" s="36">
        <f>MVTDEC23!T25+MVTJANV24!T25+MVTFEV24!T25+MVTMARS24!T25+MVTAVRIL24!T25+MVTMAI24!T25+MVTJUIN24!T25+MVTJUIL24!T25+MVTAOUT24!T25+MVTSEPT24!T25+MVTOCT24!T25+MVTNOV24!T25+MVTDEC244!T25</f>
        <v>120000</v>
      </c>
      <c r="U26" s="36"/>
      <c r="V26" s="36">
        <f>MVTJANV24!V25+MVTFEV24!V25+MVTMARS24!V25+MVTAVRIL24!V25+MVTMAI24!V25+MVTJUIN24!V25+MVTJUIL24!V25+MVTAOUT24!V25+MVTSEPT24!V25+MVTOCT24!V25+MVTNOV24!V25+MVTDEC244!V25</f>
        <v>1000000</v>
      </c>
      <c r="W26" s="36">
        <f t="shared" si="1"/>
        <v>0</v>
      </c>
      <c r="X26" s="36"/>
      <c r="Y26" s="36"/>
      <c r="Z26" s="36">
        <f>MVTJANV24!Z25+MVTFEV24!Z25+MVTMARS24!Z25+MVTAVRIL24!Z25+MVTMAI24!Z25+MVTJUIN24!Z25+MVTJUIL24!Z25+MVTAOUT24!Z25+MVTSEPT24!Z25+MVTOCT24!Z25+MVTNOV24!Z25+MVTDEC244!Z25</f>
        <v>0</v>
      </c>
      <c r="AA26" s="36">
        <f>MVTJANV24!AA25+MVTFEV24!AA25+MVTMARS24!AA25+MVTAVRIL24!AA25+MVTMAI24!AA25+MVTJUIN24!AA25+MVTJUIL24!AA25+MVTAOUT24!AA25+MVTSEPT24!AA25+MVTOCT24!AA25+MVTNOV24!AA25+MVTDEC244!AA25</f>
        <v>0</v>
      </c>
      <c r="AB26" s="36">
        <f>MVTJANV24!AB25+MVTFEV24!AB25+MVTMARS24!AB25+MVTAVRIL24!AB25+MVTMAI24!AB25+MVTJUIN24!AB25+MVTJUIL24!AB25+MVTAOUT24!AB25+MVTSEPT24!AB25+MVTOCT24!AB25+MVTNOV24!AB25+MVTDEC244!AB25</f>
        <v>0</v>
      </c>
      <c r="AC26" s="36">
        <f>MVTJANV24!AC25+MVTFEV24!AC25+MVTMARS24!AC25+MVTAVRIL24!AC25+MVTMAI24!AC25+MVTJUIN24!AC25+MVTJUIL24!AC25+MVTAOUT24!AC25+MVTSEPT24!AC25+MVTOCT24!AC25+MVTNOV24!AC25+MVTDEC244!AC25</f>
        <v>0</v>
      </c>
      <c r="AD26" s="36">
        <f>MVTJANV24!AD25+MVTFEV24!AD25+MVTMARS24!AD25+MVTAVRIL24!AD25+MVTMAI24!AD25+MVTJUIN24!AD25+MVTJUIL24!AD25+MVTAOUT24!AD25+MVTSEPT24!AD25+MVTOCT24!AD25+MVTNOV24!AD25+MVTDEC244!AD25</f>
        <v>0</v>
      </c>
      <c r="AE26" s="36">
        <f>MVTJANV24!AE25+MVTFEV24!AE25+MVTMARS24!AE25+MVTAVRIL24!AE25+MVTMAI24!AE25+MVTJUIN24!AE25+MVTJUIL24!AE25+MVTAOUT24!AE25+MVTSEPT24!AE25+MVTOCT24!AE25+MVTNOV24!AE25+MVTDEC244!AE25</f>
        <v>0</v>
      </c>
      <c r="AF26" s="36">
        <f>MVTJANV24!AF25+MVTFEV24!AF25+MVTMARS24!AF25+MVTAVRIL24!AF25+MVTMAI24!AF25+MVTJUIN24!AF25+MVTJUIL24!AF25+MVTAOUT24!AF25+MVTSEPT24!AF25+MVTOCT24!AF25+MVTNOV24!AF25+MVTDEC244!AF25</f>
        <v>0</v>
      </c>
      <c r="AG26" s="36">
        <f>MVTJANV24!AG25+MVTFEV24!AG25+MVTMARS24!AG25+MVTAVRIL24!AG25+MVTMAI24!AG25+MVTJUIN24!AG25+MVTJUIL24!AG25+MVTAOUT24!AG25+MVTSEPT24!AG25+MVTOCT24!AG25+MVTNOV24!AG25+MVTDEC244!AG25</f>
        <v>0</v>
      </c>
      <c r="AH26" s="36">
        <f>MVTJANV24!AH25+MVTFEV24!AH25+MVTMARS24!AH25+MVTAVRIL24!AH25+MVTMAI24!AH25+MVTJUIN24!AH25+MVTJUIL24!AH25+MVTAOUT24!AH25+MVTSEPT24!AH25+MVTOCT24!AH25+MVTNOV24!AH25+MVTDEC244!AH25</f>
        <v>0</v>
      </c>
      <c r="AI26" s="36">
        <f>MVTJANV24!AI25+MVTFEV24!AI25+MVTMARS24!AI25+MVTAVRIL24!AI25+MVTMAI24!AI25+MVTJUIN24!AI25+MVTJUIL24!AI25+MVTAOUT24!AI25+MVTSEPT24!AI25+MVTOCT24!AI25+MVTNOV24!AI25+MVTDEC244!AI25</f>
        <v>100000</v>
      </c>
      <c r="AJ26" s="36">
        <f>MVTJANV24!AJ25+MVTFEV24!AJ25+MVTMARS24!AJ25+MVTAVRIL24!AJ25+MVTMAI24!AJ25+MVTJUIN24!AJ25+MVTJUIL24!AJ25+MVTAOUT24!AJ25+MVTSEPT24!AJ25+MVTOCT24!AJ25+MVTNOV24!AJ25+MVTDEC244!AJ25</f>
        <v>0</v>
      </c>
      <c r="AK26" s="36">
        <f>MVTJANV24!AK25+MVTFEV24!AK25+MVTMARS24!AK25+MVTAVRIL24!AK25+MVTMAI24!AK25+MVTJUIN24!AK25+MVTJUIL24!AK25+MVTAOUT24!AK25+MVTSEPT24!AK25+MVTOCT24!AK25+MVTNOV24!AK25+MVTDEC244!AK25</f>
        <v>0</v>
      </c>
      <c r="AL26" s="143">
        <v>45627</v>
      </c>
      <c r="AM26" s="144">
        <f t="shared" si="2"/>
        <v>120000</v>
      </c>
      <c r="AN26" s="144">
        <f>MVTJANV24!AL25+MVTFEV24!AL25+MVTMARS24!AL25+MVTAVRIL24!AL25+MVTMAI24!AL25+MVTJUIN24!AL25+MVTJUIL24!AL25+MVTAOUT24!AL25+MVTSEPT24!AL25+MVTOCT24!AL25+MVTNOV24!AL25+MVTDEC244!AL25</f>
        <v>0</v>
      </c>
      <c r="AO26" s="144"/>
      <c r="AQ26" s="36"/>
    </row>
    <row r="27" spans="1:43" ht="15.5" x14ac:dyDescent="0.35">
      <c r="A27" s="1" t="s">
        <v>41</v>
      </c>
      <c r="B27" s="1" t="str">
        <f>VLOOKUP(A27,[19]LISTADHERENT!A$5:H$60,3,0)</f>
        <v>NGUIEMEGNI MATHIEU BLAISE</v>
      </c>
      <c r="C27" s="36">
        <f>+MVTDEC23!C26</f>
        <v>700000</v>
      </c>
      <c r="D27" s="36">
        <f>+MVTDEC23!D26</f>
        <v>20382.784231808502</v>
      </c>
      <c r="E27" s="36">
        <f>VLOOKUP($A27,[29]HISTOJANV24!$A$6:$BA$38,48,0)</f>
        <v>0</v>
      </c>
      <c r="F27" s="36">
        <f>MVTDEC244!F26</f>
        <v>999872.42433941911</v>
      </c>
      <c r="G27" s="5">
        <f>MVTDEC244!G26</f>
        <v>999872.42433941911</v>
      </c>
      <c r="H27" s="36">
        <f>MVTDEC23!H26+MVTJANV24!H26+MVTFEV24!H26+MVTMARS24!H26+MVTAVRIL24!H26+MVTMAI24!H26+MVTJUIN24!H26+MVTJUIL24!H26+MVTAOUT24!H26+MVTSEPT24!H26+MVTOCT24!H26+MVTNOV24!H26+MVTDEC244!H26</f>
        <v>63080.198374743843</v>
      </c>
      <c r="I27" s="6">
        <f t="shared" si="0"/>
        <v>1062952.622714163</v>
      </c>
      <c r="J27" s="36">
        <f>MVTJANV24!J26+MVTFEV24!J26+MVTMARS24!J26+MVTAVRIL24!J26+MVTMAI24!J26+MVTJUIN24!J26+MVTJUIL24!J26+MVTAOUT24!J26+MVTSEPT24!J26+MVTOCT24!J26+MVTNOV24!J26+MVTDEC244!J26</f>
        <v>0</v>
      </c>
      <c r="K27" s="36">
        <f>MVTJANV24!K26+MVTFEV24!K26+MVTMARS24!K26+MVTAVRIL24!K26+MVTMAI24!K26+MVTJUIN24!K26+MVTJUIL24!K26+MVTAOUT24!K26+MVTSEPT24!K26+MVTOCT24!K26+MVTNOV24!K26+MVTDEC244!K26</f>
        <v>292500</v>
      </c>
      <c r="L27" s="36">
        <f>MVTJANV24!L26+MVTFEV24!L26+MVTMARS24!L26+MVTAVRIL24!L26+MVTMAI24!L26+MVTJUIN24!L26+MVTJUIL24!L26+MVTAOUT24!L26+MVTSEPT24!L26+MVTOCT24!L26+MVTNOV24!L26+MVTDEC244!L26</f>
        <v>220500</v>
      </c>
      <c r="M27" s="36">
        <f>MVTJANV24!M26+MVTFEV24!M26+MVTMARS24!M26+MVTAVRIL24!M26+MVTMAI24!M26+MVTJUIN24!M26+MVTJUIL24!M26+MVTAOUT24!M26+MVTSEPT24!M26+MVTOCT24!M26+MVTNOV24!M26+MVTDEC244!M26</f>
        <v>12000</v>
      </c>
      <c r="N27" s="36">
        <f>MVTJANV24!N26+MVTFEV24!N26+MVTMARS24!N26+MVTAVRIL24!N26+MVTMAI24!N26+MVTJUIN24!N26+MVTJUIL24!N26+MVTAOUT24!N26+MVTSEPT24!N26+MVTOCT24!N26+MVTNOV24!N26+MVTDEC244!N26</f>
        <v>12000</v>
      </c>
      <c r="O27" s="36">
        <f>MVTJANV24!O26+MVTFEV24!O26+MVTMARS24!O26+MVTAVRIL24!O26+MVTMAI24!O26+MVTJUIN24!O26+MVTJUIL24!O26+MVTAOUT24!O26+MVTSEPT24!O26+MVTOCT24!O26+MVTNOV24!O26+MVTDEC244!O26</f>
        <v>48000</v>
      </c>
      <c r="P27" s="36">
        <f>MVTJANV24!P26+MVTFEV24!P26+MVTMARS24!P26+MVTAVRIL24!P26+MVTMAI24!P26+MVTJUIN24!P26+MVTJUIL24!P26+MVTAOUT24!P26+MVTSEPT24!P26+MVTOCT24!P26+MVTNOV24!P26+MVTDEC244!P26</f>
        <v>3000</v>
      </c>
      <c r="Q27" s="36">
        <f>MVTJANV24!Q26+MVTFEV24!Q26+MVTMARS24!Q26+MVTAVRIL24!Q26+MVTMAI24!Q26+MVTJUIN24!Q26+MVTJUIL24!Q26+MVTAOUT24!Q26+MVTSEPT24!Q26+MVTOCT24!Q26+MVTNOV24!Q26+MVTDEC244!Q26</f>
        <v>0</v>
      </c>
      <c r="R27" s="36">
        <f>MVTJANV24!R26+MVTFEV24!R26+MVTMARS24!R26+MVTAVRIL24!R26+MVTMAI24!R26+MVTJUIN24!R26+MVTJUIL24!R26+MVTAOUT24!R26+MVTSEPT24!R26+MVTOCT24!R26+MVTNOV24!R26+MVTDEC244!R26</f>
        <v>0</v>
      </c>
      <c r="S27" s="36">
        <f>MVTDEC23!S26+MVTJANV24!S26+MVTFEV24!S26+MVTMARS24!S26+MVTAVRIL24!S26+MVTMAI24!S26+MVTJUIN24!S26+MVTJUIL24!S26+MVTAOUT24!S26+MVTSEPT24!S26+MVTOCT24!S26+MVTNOV24!S26+MVTDEC244!S26</f>
        <v>2000000</v>
      </c>
      <c r="T27" s="36">
        <f>MVTDEC23!T26+MVTJANV24!T26+MVTFEV24!T26+MVTMARS24!T26+MVTAVRIL24!T26+MVTMAI24!T26+MVTJUIN24!T26+MVTJUIL24!T26+MVTAOUT24!T26+MVTSEPT24!T26+MVTOCT24!T26+MVTNOV24!T26+MVTDEC244!T26</f>
        <v>120000</v>
      </c>
      <c r="U27" s="36"/>
      <c r="V27" s="36">
        <f>MVTJANV24!V26+MVTFEV24!V26+MVTMARS24!V26+MVTAVRIL24!V26+MVTMAI24!V26+MVTJUIN24!V26+MVTJUIL24!V26+MVTAOUT24!V26+MVTSEPT24!V26+MVTOCT24!V26+MVTNOV24!V26+MVTDEC244!V26</f>
        <v>1000000</v>
      </c>
      <c r="W27" s="36">
        <f t="shared" si="1"/>
        <v>1000000</v>
      </c>
      <c r="X27" s="36"/>
      <c r="Y27" s="36"/>
      <c r="Z27" s="36">
        <f>MVTJANV24!Z26+MVTFEV24!Z26+MVTMARS24!Z26+MVTAVRIL24!Z26+MVTMAI24!Z26+MVTJUIN24!Z26+MVTJUIL24!Z26+MVTAOUT24!Z26+MVTSEPT24!Z26+MVTOCT24!Z26+MVTNOV24!Z26+MVTDEC244!Z26</f>
        <v>0</v>
      </c>
      <c r="AA27" s="36">
        <f>MVTJANV24!AA26+MVTFEV24!AA26+MVTMARS24!AA26+MVTAVRIL24!AA26+MVTMAI24!AA26+MVTJUIN24!AA26+MVTJUIL24!AA26+MVTAOUT24!AA26+MVTSEPT24!AA26+MVTOCT24!AA26+MVTNOV24!AA26+MVTDEC244!AA26</f>
        <v>0</v>
      </c>
      <c r="AB27" s="36">
        <f>MVTJANV24!AB26+MVTFEV24!AB26+MVTMARS24!AB26+MVTAVRIL24!AB26+MVTMAI24!AB26+MVTJUIN24!AB26+MVTJUIL24!AB26+MVTAOUT24!AB26+MVTSEPT24!AB26+MVTOCT24!AB26+MVTNOV24!AB26+MVTDEC244!AB26</f>
        <v>0</v>
      </c>
      <c r="AC27" s="36">
        <f>MVTJANV24!AC26+MVTFEV24!AC26+MVTMARS24!AC26+MVTAVRIL24!AC26+MVTMAI24!AC26+MVTJUIN24!AC26+MVTJUIL24!AC26+MVTAOUT24!AC26+MVTSEPT24!AC26+MVTOCT24!AC26+MVTNOV24!AC26+MVTDEC244!AC26</f>
        <v>0</v>
      </c>
      <c r="AD27" s="36">
        <f>MVTJANV24!AD26+MVTFEV24!AD26+MVTMARS24!AD26+MVTAVRIL24!AD26+MVTMAI24!AD26+MVTJUIN24!AD26+MVTJUIL24!AD26+MVTAOUT24!AD26+MVTSEPT24!AD26+MVTOCT24!AD26+MVTNOV24!AD26+MVTDEC244!AD26</f>
        <v>0</v>
      </c>
      <c r="AE27" s="36">
        <f>MVTJANV24!AE26+MVTFEV24!AE26+MVTMARS24!AE26+MVTAVRIL24!AE26+MVTMAI24!AE26+MVTJUIN24!AE26+MVTJUIL24!AE26+MVTAOUT24!AE26+MVTSEPT24!AE26+MVTOCT24!AE26+MVTNOV24!AE26+MVTDEC244!AE26</f>
        <v>0</v>
      </c>
      <c r="AF27" s="36">
        <f>MVTJANV24!AF26+MVTFEV24!AF26+MVTMARS24!AF26+MVTAVRIL24!AF26+MVTMAI24!AF26+MVTJUIN24!AF26+MVTJUIL24!AF26+MVTAOUT24!AF26+MVTSEPT24!AF26+MVTOCT24!AF26+MVTNOV24!AF26+MVTDEC244!AF26</f>
        <v>0</v>
      </c>
      <c r="AG27" s="36">
        <f>MVTJANV24!AG26+MVTFEV24!AG26+MVTMARS24!AG26+MVTAVRIL24!AG26+MVTMAI24!AG26+MVTJUIN24!AG26+MVTJUIL24!AG26+MVTAOUT24!AG26+MVTSEPT24!AG26+MVTOCT24!AG26+MVTNOV24!AG26+MVTDEC244!AG26</f>
        <v>0</v>
      </c>
      <c r="AH27" s="36">
        <f>MVTJANV24!AH26+MVTFEV24!AH26+MVTMARS24!AH26+MVTAVRIL24!AH26+MVTMAI24!AH26+MVTJUIN24!AH26+MVTJUIL24!AH26+MVTAOUT24!AH26+MVTSEPT24!AH26+MVTOCT24!AH26+MVTNOV24!AH26+MVTDEC244!AH26</f>
        <v>0</v>
      </c>
      <c r="AI27" s="36">
        <f>MVTJANV24!AI26+MVTFEV24!AI26+MVTMARS24!AI26+MVTAVRIL24!AI26+MVTMAI24!AI26+MVTJUIN24!AI26+MVTJUIL24!AI26+MVTAOUT24!AI26+MVTSEPT24!AI26+MVTOCT24!AI26+MVTNOV24!AI26+MVTDEC244!AI26</f>
        <v>0</v>
      </c>
      <c r="AJ27" s="36">
        <f>MVTJANV24!AJ26+MVTFEV24!AJ26+MVTMARS24!AJ26+MVTAVRIL24!AJ26+MVTMAI24!AJ26+MVTJUIN24!AJ26+MVTJUIL24!AJ26+MVTAOUT24!AJ26+MVTSEPT24!AJ26+MVTOCT24!AJ26+MVTNOV24!AJ26+MVTDEC244!AJ26</f>
        <v>0</v>
      </c>
      <c r="AK27" s="36">
        <f>MVTJANV24!AK26+MVTFEV24!AK26+MVTMARS24!AK26+MVTAVRIL24!AK26+MVTMAI24!AK26+MVTJUIN24!AK26+MVTJUIL24!AK26+MVTAOUT24!AK26+MVTSEPT24!AK26+MVTOCT24!AK26+MVTNOV24!AK26+MVTDEC244!AK26</f>
        <v>0</v>
      </c>
      <c r="AL27" s="143">
        <v>45627</v>
      </c>
      <c r="AM27" s="144">
        <f t="shared" si="2"/>
        <v>120000</v>
      </c>
      <c r="AN27" s="144">
        <f>MVTJANV24!AL26+MVTFEV24!AL26+MVTMARS24!AL26+MVTAVRIL24!AL26+MVTMAI24!AL26+MVTJUIN24!AL26+MVTJUIL24!AL26+MVTAOUT24!AL26+MVTSEPT24!AL26+MVTOCT24!AL26+MVTNOV24!AL26+MVTDEC244!AL26</f>
        <v>0</v>
      </c>
      <c r="AO27" s="144"/>
      <c r="AQ27" s="36"/>
    </row>
    <row r="28" spans="1:43" ht="15.5" x14ac:dyDescent="0.35">
      <c r="A28" s="1" t="s">
        <v>43</v>
      </c>
      <c r="B28" s="1" t="str">
        <f>VLOOKUP(A28,[19]LISTADHERENT!A$5:H$60,3,0)</f>
        <v>NKAMGANG JUSTIN DEJOLIE</v>
      </c>
      <c r="C28" s="36">
        <f>+MVTDEC23!C27</f>
        <v>700000</v>
      </c>
      <c r="D28" s="36">
        <f>+MVTDEC23!D27</f>
        <v>19031.484583758342</v>
      </c>
      <c r="E28" s="36">
        <f>VLOOKUP($A28,[29]HISTOJANV24!$A$6:$BA$38,48,0)</f>
        <v>0</v>
      </c>
      <c r="F28" s="36">
        <f>MVTDEC244!F27</f>
        <v>1007405.9978122362</v>
      </c>
      <c r="G28" s="5">
        <f>MVTDEC244!G27</f>
        <v>1007405.9978122362</v>
      </c>
      <c r="H28" s="36">
        <f>MVTDEC23!H27+MVTJANV24!H27+MVTFEV24!H27+MVTMARS24!H27+MVTAVRIL24!H27+MVTMAI24!H27+MVTJUIN24!H27+MVTJUIL24!H27+MVTAOUT24!H27+MVTSEPT24!H27+MVTOCT24!H27+MVTNOV24!H27+MVTDEC244!H27</f>
        <v>62995.891948801094</v>
      </c>
      <c r="I28" s="6">
        <f t="shared" si="0"/>
        <v>1070401.8897610372</v>
      </c>
      <c r="J28" s="36">
        <f>MVTJANV24!J27+MVTFEV24!J27+MVTMARS24!J27+MVTAVRIL24!J27+MVTMAI24!J27+MVTJUIN24!J27+MVTJUIL24!J27+MVTAOUT24!J27+MVTSEPT24!J27+MVTOCT24!J27+MVTNOV24!J27+MVTDEC244!J27</f>
        <v>0</v>
      </c>
      <c r="K28" s="36">
        <f>MVTJANV24!K27+MVTFEV24!K27+MVTMARS24!K27+MVTAVRIL24!K27+MVTMAI24!K27+MVTJUIN24!K27+MVTJUIL24!K27+MVTAOUT24!K27+MVTSEPT24!K27+MVTOCT24!K27+MVTNOV24!K27+MVTDEC244!K27</f>
        <v>301500</v>
      </c>
      <c r="L28" s="36">
        <f>MVTJANV24!L27+MVTFEV24!L27+MVTMARS24!L27+MVTAVRIL24!L27+MVTMAI24!L27+MVTJUIN24!L27+MVTJUIL24!L27+MVTAOUT24!L27+MVTSEPT24!L27+MVTOCT24!L27+MVTNOV24!L27+MVTDEC244!L27</f>
        <v>229500</v>
      </c>
      <c r="M28" s="36">
        <f>MVTJANV24!M27+MVTFEV24!M27+MVTMARS24!M27+MVTAVRIL24!M27+MVTMAI24!M27+MVTJUIN24!M27+MVTJUIL24!M27+MVTAOUT24!M27+MVTSEPT24!M27+MVTOCT24!M27+MVTNOV24!M27+MVTDEC244!M27</f>
        <v>12000</v>
      </c>
      <c r="N28" s="36">
        <f>MVTJANV24!N27+MVTFEV24!N27+MVTMARS24!N27+MVTAVRIL24!N27+MVTMAI24!N27+MVTJUIN24!N27+MVTJUIL24!N27+MVTAOUT24!N27+MVTSEPT24!N27+MVTOCT24!N27+MVTNOV24!N27+MVTDEC244!N27</f>
        <v>12000</v>
      </c>
      <c r="O28" s="36">
        <f>MVTJANV24!O27+MVTFEV24!O27+MVTMARS24!O27+MVTAVRIL24!O27+MVTMAI24!O27+MVTJUIN24!O27+MVTJUIL24!O27+MVTAOUT24!O27+MVTSEPT24!O27+MVTOCT24!O27+MVTNOV24!O27+MVTDEC244!O27</f>
        <v>48000</v>
      </c>
      <c r="P28" s="36">
        <f>MVTJANV24!P27+MVTFEV24!P27+MVTMARS24!P27+MVTAVRIL24!P27+MVTMAI24!P27+MVTJUIN24!P27+MVTJUIL24!P27+MVTAOUT24!P27+MVTSEPT24!P27+MVTOCT24!P27+MVTNOV24!P27+MVTDEC244!P27</f>
        <v>0</v>
      </c>
      <c r="Q28" s="36">
        <f>MVTJANV24!Q27+MVTFEV24!Q27+MVTMARS24!Q27+MVTAVRIL24!Q27+MVTMAI24!Q27+MVTJUIN24!Q27+MVTJUIL24!Q27+MVTAOUT24!Q27+MVTSEPT24!Q27+MVTOCT24!Q27+MVTNOV24!Q27+MVTDEC244!Q27</f>
        <v>0</v>
      </c>
      <c r="R28" s="36">
        <f>MVTJANV24!R27+MVTFEV24!R27+MVTMARS24!R27+MVTAVRIL24!R27+MVTMAI24!R27+MVTJUIN24!R27+MVTJUIL24!R27+MVTAOUT24!R27+MVTSEPT24!R27+MVTOCT24!R27+MVTNOV24!R27+MVTDEC244!R27</f>
        <v>0</v>
      </c>
      <c r="S28" s="36">
        <f>MVTDEC23!S27+MVTJANV24!S27+MVTFEV24!S27+MVTMARS24!S27+MVTAVRIL24!S27+MVTMAI24!S27+MVTJUIN24!S27+MVTJUIL24!S27+MVTAOUT24!S27+MVTSEPT24!S27+MVTOCT24!S27+MVTNOV24!S27+MVTDEC244!S27</f>
        <v>2000000</v>
      </c>
      <c r="T28" s="36">
        <f>MVTDEC23!T27+MVTJANV24!T27+MVTFEV24!T27+MVTMARS24!T27+MVTAVRIL24!T27+MVTMAI24!T27+MVTJUIN24!T27+MVTJUIL24!T27+MVTAOUT24!T27+MVTSEPT24!T27+MVTOCT24!T27+MVTNOV24!T27+MVTDEC244!T27</f>
        <v>90000</v>
      </c>
      <c r="U28" s="36"/>
      <c r="V28" s="36">
        <f>MVTJANV24!V27+MVTFEV24!V27+MVTMARS24!V27+MVTAVRIL24!V27+MVTMAI24!V27+MVTJUIN24!V27+MVTJUIL24!V27+MVTAOUT24!V27+MVTSEPT24!V27+MVTOCT24!V27+MVTNOV24!V27+MVTDEC244!V27</f>
        <v>1000000</v>
      </c>
      <c r="W28" s="36">
        <f t="shared" si="1"/>
        <v>1000000</v>
      </c>
      <c r="X28" s="36"/>
      <c r="Y28" s="36"/>
      <c r="Z28" s="36">
        <f>MVTJANV24!Z27+MVTFEV24!Z27+MVTMARS24!Z27+MVTAVRIL24!Z27+MVTMAI24!Z27+MVTJUIN24!Z27+MVTJUIL24!Z27+MVTAOUT24!Z27+MVTSEPT24!Z27+MVTOCT24!Z27+MVTNOV24!Z27+MVTDEC244!Z27</f>
        <v>0</v>
      </c>
      <c r="AA28" s="36">
        <f>MVTJANV24!AA27+MVTFEV24!AA27+MVTMARS24!AA27+MVTAVRIL24!AA27+MVTMAI24!AA27+MVTJUIN24!AA27+MVTJUIL24!AA27+MVTAOUT24!AA27+MVTSEPT24!AA27+MVTOCT24!AA27+MVTNOV24!AA27+MVTDEC244!AA27</f>
        <v>0</v>
      </c>
      <c r="AB28" s="36">
        <f>MVTJANV24!AB27+MVTFEV24!AB27+MVTMARS24!AB27+MVTAVRIL24!AB27+MVTMAI24!AB27+MVTJUIN24!AB27+MVTJUIL24!AB27+MVTAOUT24!AB27+MVTSEPT24!AB27+MVTOCT24!AB27+MVTNOV24!AB27+MVTDEC244!AB27</f>
        <v>0</v>
      </c>
      <c r="AC28" s="36">
        <f>MVTJANV24!AC27+MVTFEV24!AC27+MVTMARS24!AC27+MVTAVRIL24!AC27+MVTMAI24!AC27+MVTJUIN24!AC27+MVTJUIL24!AC27+MVTAOUT24!AC27+MVTSEPT24!AC27+MVTOCT24!AC27+MVTNOV24!AC27+MVTDEC244!AC27</f>
        <v>0</v>
      </c>
      <c r="AD28" s="36">
        <f>MVTJANV24!AD27+MVTFEV24!AD27+MVTMARS24!AD27+MVTAVRIL24!AD27+MVTMAI24!AD27+MVTJUIN24!AD27+MVTJUIL24!AD27+MVTAOUT24!AD27+MVTSEPT24!AD27+MVTOCT24!AD27+MVTNOV24!AD27+MVTDEC244!AD27</f>
        <v>0</v>
      </c>
      <c r="AE28" s="36">
        <f>MVTJANV24!AE27+MVTFEV24!AE27+MVTMARS24!AE27+MVTAVRIL24!AE27+MVTMAI24!AE27+MVTJUIN24!AE27+MVTJUIL24!AE27+MVTAOUT24!AE27+MVTSEPT24!AE27+MVTOCT24!AE27+MVTNOV24!AE27+MVTDEC244!AE27</f>
        <v>0</v>
      </c>
      <c r="AF28" s="36">
        <f>MVTJANV24!AF27+MVTFEV24!AF27+MVTMARS24!AF27+MVTAVRIL24!AF27+MVTMAI24!AF27+MVTJUIN24!AF27+MVTJUIL24!AF27+MVTAOUT24!AF27+MVTSEPT24!AF27+MVTOCT24!AF27+MVTNOV24!AF27+MVTDEC244!AF27</f>
        <v>0</v>
      </c>
      <c r="AG28" s="36">
        <f>MVTJANV24!AG27+MVTFEV24!AG27+MVTMARS24!AG27+MVTAVRIL24!AG27+MVTMAI24!AG27+MVTJUIN24!AG27+MVTJUIL24!AG27+MVTAOUT24!AG27+MVTSEPT24!AG27+MVTOCT24!AG27+MVTNOV24!AG27+MVTDEC244!AG27</f>
        <v>0</v>
      </c>
      <c r="AH28" s="36">
        <f>MVTJANV24!AH27+MVTFEV24!AH27+MVTMARS24!AH27+MVTAVRIL24!AH27+MVTMAI24!AH27+MVTJUIN24!AH27+MVTJUIL24!AH27+MVTAOUT24!AH27+MVTSEPT24!AH27+MVTOCT24!AH27+MVTNOV24!AH27+MVTDEC244!AH27</f>
        <v>0</v>
      </c>
      <c r="AI28" s="36">
        <f>MVTJANV24!AI27+MVTFEV24!AI27+MVTMARS24!AI27+MVTAVRIL24!AI27+MVTMAI24!AI27+MVTJUIN24!AI27+MVTJUIL24!AI27+MVTAOUT24!AI27+MVTSEPT24!AI27+MVTOCT24!AI27+MVTNOV24!AI27+MVTDEC244!AI27</f>
        <v>0</v>
      </c>
      <c r="AJ28" s="36">
        <f>MVTJANV24!AJ27+MVTFEV24!AJ27+MVTMARS24!AJ27+MVTAVRIL24!AJ27+MVTMAI24!AJ27+MVTJUIN24!AJ27+MVTJUIL24!AJ27+MVTAOUT24!AJ27+MVTSEPT24!AJ27+MVTOCT24!AJ27+MVTNOV24!AJ27+MVTDEC244!AJ27</f>
        <v>0</v>
      </c>
      <c r="AK28" s="36">
        <f>MVTJANV24!AK27+MVTFEV24!AK27+MVTMARS24!AK27+MVTAVRIL24!AK27+MVTMAI24!AK27+MVTJUIN24!AK27+MVTJUIL24!AK27+MVTAOUT24!AK27+MVTSEPT24!AK27+MVTOCT24!AK27+MVTNOV24!AK27+MVTDEC244!AK27</f>
        <v>0</v>
      </c>
      <c r="AL28" s="143">
        <v>45566</v>
      </c>
      <c r="AM28" s="144">
        <f t="shared" si="2"/>
        <v>90000</v>
      </c>
      <c r="AN28" s="144">
        <f>MVTJANV24!AL27+MVTFEV24!AL27+MVTMARS24!AL27+MVTAVRIL24!AL27+MVTMAI24!AL27+MVTJUIN24!AL27+MVTJUIL24!AL27+MVTAOUT24!AL27+MVTSEPT24!AL27+MVTOCT24!AL27+MVTNOV24!AL27+MVTDEC244!AL27</f>
        <v>0</v>
      </c>
      <c r="AO28" s="144"/>
      <c r="AQ28" s="36"/>
    </row>
    <row r="29" spans="1:43" ht="15.5" x14ac:dyDescent="0.35">
      <c r="A29" s="1" t="s">
        <v>172</v>
      </c>
      <c r="B29" s="1" t="str">
        <f>VLOOKUP(A29,[19]LISTADHERENT!A$5:H$60,3,0)</f>
        <v>NOUBE ETIENNE</v>
      </c>
      <c r="C29" s="36"/>
      <c r="D29" s="36">
        <f>+MVTDEC23!D28+666019</f>
        <v>1332038</v>
      </c>
      <c r="E29" s="36">
        <f>VLOOKUP($A29,[29]HISTOJANV24!$A$6:$BA$38,48,0)</f>
        <v>0</v>
      </c>
      <c r="F29" s="36">
        <f>MVTDEC244!F28</f>
        <v>907028.42220575782</v>
      </c>
      <c r="G29" s="5">
        <f>MVTDEC244!G28</f>
        <v>907028.42220575782</v>
      </c>
      <c r="H29" s="36">
        <f>MVTDEC23!H28+MVTJANV24!H28+MVTFEV24!H28+MVTMARS24!H28+MVTAVRIL24!H28+MVTMAI24!H28+MVTJUIN24!H28+MVTJUIL24!H28+MVTAOUT24!H28+MVTSEPT24!H28+MVTOCT24!H28+MVTNOV24!H28+MVTDEC244!H28</f>
        <v>16720.148215058223</v>
      </c>
      <c r="I29" s="6">
        <f t="shared" si="0"/>
        <v>923748.57042081608</v>
      </c>
      <c r="J29" s="36">
        <f>MVTJANV24!J28+MVTFEV24!J28+MVTMARS24!J28+MVTAVRIL24!J28+MVTMAI24!J28+MVTJUIN24!J28+MVTJUIL24!J28+MVTAOUT24!J28+MVTSEPT24!J28+MVTOCT24!J28+MVTNOV24!J28+MVTDEC244!J28</f>
        <v>0</v>
      </c>
      <c r="K29" s="36">
        <f>MVTJANV24!K28+MVTFEV24!K28+MVTMARS24!K28+MVTAVRIL24!K28+MVTMAI24!K28+MVTJUIN24!K28+MVTJUIL24!K28+MVTAOUT24!K28+MVTSEPT24!K28+MVTOCT24!K28+MVTNOV24!K28+MVTDEC244!K28</f>
        <v>300000</v>
      </c>
      <c r="L29" s="36">
        <f>MVTJANV24!L28+MVTFEV24!L28+MVTMARS24!L28+MVTAVRIL24!L28+MVTMAI24!L28+MVTJUIN24!L28+MVTJUIL24!L28+MVTAOUT24!L28+MVTSEPT24!L28+MVTOCT24!L28+MVTNOV24!L28+MVTDEC244!L28</f>
        <v>228000</v>
      </c>
      <c r="M29" s="36">
        <f>MVTJANV24!M28+MVTFEV24!M28+MVTMARS24!M28+MVTAVRIL24!M28+MVTMAI24!M28+MVTJUIN24!M28+MVTJUIL24!M28+MVTAOUT24!M28+MVTSEPT24!M28+MVTOCT24!M28+MVTNOV24!M28+MVTDEC244!M28</f>
        <v>12000</v>
      </c>
      <c r="N29" s="36">
        <f>MVTJANV24!N28+MVTFEV24!N28+MVTMARS24!N28+MVTAVRIL24!N28+MVTMAI24!N28+MVTJUIN24!N28+MVTJUIL24!N28+MVTAOUT24!N28+MVTSEPT24!N28+MVTOCT24!N28+MVTNOV24!N28+MVTDEC244!N28</f>
        <v>12000</v>
      </c>
      <c r="O29" s="36">
        <f>MVTJANV24!O28+MVTFEV24!O28+MVTMARS24!O28+MVTAVRIL24!O28+MVTMAI24!O28+MVTJUIN24!O28+MVTJUIL24!O28+MVTAOUT24!O28+MVTSEPT24!O28+MVTOCT24!O28+MVTNOV24!O28+MVTDEC244!O28</f>
        <v>48000</v>
      </c>
      <c r="P29" s="36">
        <f>MVTJANV24!P28+MVTFEV24!P28+MVTMARS24!P28+MVTAVRIL24!P28+MVTMAI24!P28+MVTJUIN24!P28+MVTJUIL24!P28+MVTAOUT24!P28+MVTSEPT24!P28+MVTOCT24!P28+MVTNOV24!P28+MVTDEC244!P28</f>
        <v>0</v>
      </c>
      <c r="Q29" s="36">
        <f>MVTJANV24!Q28+MVTFEV24!Q28+MVTMARS24!Q28+MVTAVRIL24!Q28+MVTMAI24!Q28+MVTJUIN24!Q28+MVTJUIL24!Q28+MVTAOUT24!Q28+MVTSEPT24!Q28+MVTOCT24!Q28+MVTNOV24!Q28+MVTDEC244!Q28</f>
        <v>0</v>
      </c>
      <c r="R29" s="36">
        <f>MVTJANV24!R28+MVTFEV24!R28+MVTMARS24!R28+MVTAVRIL24!R28+MVTMAI24!R28+MVTJUIN24!R28+MVTJUIL24!R28+MVTAOUT24!R28+MVTSEPT24!R28+MVTOCT24!R28+MVTNOV24!R28+MVTDEC244!R28</f>
        <v>0</v>
      </c>
      <c r="S29" s="36">
        <f>MVTDEC23!S28+MVTJANV24!S28+MVTFEV24!S28+MVTMARS24!S28+MVTAVRIL24!S28+MVTMAI24!S28+MVTJUIN24!S28+MVTJUIL24!S28+MVTAOUT24!S28+MVTSEPT24!S28+MVTOCT24!S28+MVTNOV24!S28+MVTDEC244!S28</f>
        <v>50000</v>
      </c>
      <c r="T29" s="36">
        <f>MVTDEC23!T28+MVTJANV24!T28+MVTFEV24!T28+MVTMARS24!T28+MVTAVRIL24!T28+MVTMAI24!T28+MVTJUIN24!T28+MVTJUIL24!T28+MVTAOUT24!T28+MVTSEPT24!T28+MVTOCT24!T28+MVTNOV24!T28+MVTDEC244!T28</f>
        <v>9250</v>
      </c>
      <c r="U29" s="36"/>
      <c r="V29" s="36">
        <f>MVTJANV24!V28+MVTFEV24!V28+MVTMARS24!V28+MVTAVRIL24!V28+MVTMAI24!V28+MVTJUIN24!V28+MVTJUIL24!V28+MVTAOUT24!V28+MVTSEPT24!V28+MVTOCT24!V28+MVTNOV24!V28+MVTDEC244!V28</f>
        <v>50000</v>
      </c>
      <c r="W29" s="36">
        <f t="shared" si="1"/>
        <v>0</v>
      </c>
      <c r="X29" s="36"/>
      <c r="Y29" s="36"/>
      <c r="Z29" s="36">
        <f>MVTJANV24!Z28+MVTFEV24!Z28+MVTMARS24!Z28+MVTAVRIL24!Z28+MVTMAI24!Z28+MVTJUIN24!Z28+MVTJUIL24!Z28+MVTAOUT24!Z28+MVTSEPT24!Z28+MVTOCT24!Z28+MVTNOV24!Z28+MVTDEC244!Z28</f>
        <v>0</v>
      </c>
      <c r="AA29" s="36">
        <f>MVTJANV24!AA28+MVTFEV24!AA28+MVTMARS24!AA28+MVTAVRIL24!AA28+MVTMAI24!AA28+MVTJUIN24!AA28+MVTJUIL24!AA28+MVTAOUT24!AA28+MVTSEPT24!AA28+MVTOCT24!AA28+MVTNOV24!AA28+MVTDEC244!AA28</f>
        <v>0</v>
      </c>
      <c r="AB29" s="36">
        <f>MVTJANV24!AB28+MVTFEV24!AB28+MVTMARS24!AB28+MVTAVRIL24!AB28+MVTMAI24!AB28+MVTJUIN24!AB28+MVTJUIL24!AB28+MVTAOUT24!AB28+MVTSEPT24!AB28+MVTOCT24!AB28+MVTNOV24!AB28+MVTDEC244!AB28</f>
        <v>0</v>
      </c>
      <c r="AC29" s="36">
        <f>MVTJANV24!AC28+MVTFEV24!AC28+MVTMARS24!AC28+MVTAVRIL24!AC28+MVTMAI24!AC28+MVTJUIN24!AC28+MVTJUIL24!AC28+MVTAOUT24!AC28+MVTSEPT24!AC28+MVTOCT24!AC28+MVTNOV24!AC28+MVTDEC244!AC28</f>
        <v>0</v>
      </c>
      <c r="AD29" s="36">
        <f>MVTJANV24!AD28+MVTFEV24!AD28+MVTMARS24!AD28+MVTAVRIL24!AD28+MVTMAI24!AD28+MVTJUIN24!AD28+MVTJUIL24!AD28+MVTAOUT24!AD28+MVTSEPT24!AD28+MVTOCT24!AD28+MVTNOV24!AD28+MVTDEC244!AD28</f>
        <v>0</v>
      </c>
      <c r="AE29" s="36">
        <f>MVTJANV24!AE28+MVTFEV24!AE28+MVTMARS24!AE28+MVTAVRIL24!AE28+MVTMAI24!AE28+MVTJUIN24!AE28+MVTJUIL24!AE28+MVTAOUT24!AE28+MVTSEPT24!AE28+MVTOCT24!AE28+MVTNOV24!AE28+MVTDEC244!AE28</f>
        <v>20000</v>
      </c>
      <c r="AF29" s="36">
        <f>MVTJANV24!AF28+MVTFEV24!AF28+MVTMARS24!AF28+MVTAVRIL24!AF28+MVTMAI24!AF28+MVTJUIN24!AF28+MVTJUIL24!AF28+MVTAOUT24!AF28+MVTSEPT24!AF28+MVTOCT24!AF28+MVTNOV24!AF28+MVTDEC244!AF28</f>
        <v>0</v>
      </c>
      <c r="AG29" s="36">
        <f>MVTJANV24!AG28+MVTFEV24!AG28+MVTMARS24!AG28+MVTAVRIL24!AG28+MVTMAI24!AG28+MVTJUIN24!AG28+MVTJUIL24!AG28+MVTAOUT24!AG28+MVTSEPT24!AG28+MVTOCT24!AG28+MVTNOV24!AG28+MVTDEC244!AG28</f>
        <v>0</v>
      </c>
      <c r="AH29" s="36">
        <f>MVTJANV24!AH28+MVTFEV24!AH28+MVTMARS24!AH28+MVTAVRIL24!AH28+MVTMAI24!AH28+MVTJUIN24!AH28+MVTJUIL24!AH28+MVTAOUT24!AH28+MVTSEPT24!AH28+MVTOCT24!AH28+MVTNOV24!AH28+MVTDEC244!AH28</f>
        <v>0</v>
      </c>
      <c r="AI29" s="36">
        <f>MVTJANV24!AI28+MVTFEV24!AI28+MVTMARS24!AI28+MVTAVRIL24!AI28+MVTMAI24!AI28+MVTJUIN24!AI28+MVTJUIL24!AI28+MVTAOUT24!AI28+MVTSEPT24!AI28+MVTOCT24!AI28+MVTNOV24!AI28+MVTDEC244!AI28</f>
        <v>100000</v>
      </c>
      <c r="AJ29" s="36">
        <f>MVTJANV24!AJ28+MVTFEV24!AJ28+MVTMARS24!AJ28+MVTAVRIL24!AJ28+MVTMAI24!AJ28+MVTJUIN24!AJ28+MVTJUIL24!AJ28+MVTAOUT24!AJ28+MVTSEPT24!AJ28+MVTOCT24!AJ28+MVTNOV24!AJ28+MVTDEC244!AJ28</f>
        <v>0</v>
      </c>
      <c r="AK29" s="36">
        <f>MVTJANV24!AK28+MVTFEV24!AK28+MVTMARS24!AK28+MVTAVRIL24!AK28+MVTMAI24!AK28+MVTJUIN24!AK28+MVTJUIL24!AK28+MVTAOUT24!AK28+MVTSEPT24!AK28+MVTOCT24!AK28+MVTNOV24!AK28+MVTDEC244!AK28</f>
        <v>0</v>
      </c>
      <c r="AL29" s="143">
        <v>45444</v>
      </c>
      <c r="AM29" s="144">
        <f t="shared" si="2"/>
        <v>9250</v>
      </c>
      <c r="AN29" s="144">
        <f>MVTJANV24!AL28+MVTFEV24!AL28+MVTMARS24!AL28+MVTAVRIL24!AL28+MVTMAI24!AL28+MVTJUIN24!AL28+MVTJUIL24!AL28+MVTAOUT24!AL28+MVTSEPT24!AL28+MVTOCT24!AL28+MVTNOV24!AL28+MVTDEC244!AL28</f>
        <v>0</v>
      </c>
      <c r="AO29" s="144"/>
      <c r="AQ29" s="36"/>
    </row>
    <row r="30" spans="1:43" ht="15.5" x14ac:dyDescent="0.35">
      <c r="A30" s="1" t="s">
        <v>45</v>
      </c>
      <c r="B30" s="1" t="str">
        <f>VLOOKUP(A30,[19]LISTADHERENT!A$5:H$60,3,0)</f>
        <v>PATEGO NJOSSU GUSTAVE</v>
      </c>
      <c r="C30" s="36">
        <f>+MVTDEC23!C29</f>
        <v>700000</v>
      </c>
      <c r="D30" s="36">
        <f>+MVTDEC23!D29</f>
        <v>43697.666300758487</v>
      </c>
      <c r="E30" s="36">
        <f>VLOOKUP($A30,[29]HISTOJANV24!$A$6:$BA$38,48,0)</f>
        <v>0</v>
      </c>
      <c r="F30" s="36">
        <f>MVTDEC244!F29</f>
        <v>1059520.7381774064</v>
      </c>
      <c r="G30" s="5">
        <f>MVTDEC244!G29</f>
        <v>1059520.7381774064</v>
      </c>
      <c r="H30" s="36">
        <f>MVTDEC23!H29+MVTJANV24!H29+MVTFEV24!H29+MVTMARS24!H29+MVTAVRIL24!H29+MVTMAI24!H29+MVTJUIN24!H29+MVTJUIL24!H29+MVTAOUT24!H29+MVTSEPT24!H29+MVTOCT24!H29+MVTNOV24!H29+MVTDEC244!H29</f>
        <v>65157.656178854231</v>
      </c>
      <c r="I30" s="6">
        <f t="shared" si="0"/>
        <v>1124678.3943562605</v>
      </c>
      <c r="J30" s="36">
        <f>MVTJANV24!J29+MVTFEV24!J29+MVTMARS24!J29+MVTAVRIL24!J29+MVTMAI24!J29+MVTJUIN24!J29+MVTJUIL24!J29+MVTAOUT24!J29+MVTSEPT24!J29+MVTOCT24!J29+MVTNOV24!J29+MVTDEC244!J29</f>
        <v>0</v>
      </c>
      <c r="K30" s="36">
        <f>MVTJANV24!K29+MVTFEV24!K29+MVTMARS24!K29+MVTAVRIL24!K29+MVTMAI24!K29+MVTJUIN24!K29+MVTJUIL24!K29+MVTAOUT24!K29+MVTSEPT24!K29+MVTOCT24!K29+MVTNOV24!K29+MVTDEC244!K29</f>
        <v>327000</v>
      </c>
      <c r="L30" s="36">
        <f>MVTJANV24!L29+MVTFEV24!L29+MVTMARS24!L29+MVTAVRIL24!L29+MVTMAI24!L29+MVTJUIN24!L29+MVTJUIL24!L29+MVTAOUT24!L29+MVTSEPT24!L29+MVTOCT24!L29+MVTNOV24!L29+MVTDEC244!L29</f>
        <v>255000</v>
      </c>
      <c r="M30" s="36">
        <f>MVTJANV24!M29+MVTFEV24!M29+MVTMARS24!M29+MVTAVRIL24!M29+MVTMAI24!M29+MVTJUIN24!M29+MVTJUIL24!M29+MVTAOUT24!M29+MVTSEPT24!M29+MVTOCT24!M29+MVTNOV24!M29+MVTDEC244!M29</f>
        <v>12000</v>
      </c>
      <c r="N30" s="36">
        <f>MVTJANV24!N29+MVTFEV24!N29+MVTMARS24!N29+MVTAVRIL24!N29+MVTMAI24!N29+MVTJUIN24!N29+MVTJUIL24!N29+MVTAOUT24!N29+MVTSEPT24!N29+MVTOCT24!N29+MVTNOV24!N29+MVTDEC244!N29</f>
        <v>12000</v>
      </c>
      <c r="O30" s="36">
        <f>MVTJANV24!O29+MVTFEV24!O29+MVTMARS24!O29+MVTAVRIL24!O29+MVTMAI24!O29+MVTJUIN24!O29+MVTJUIL24!O29+MVTAOUT24!O29+MVTSEPT24!O29+MVTOCT24!O29+MVTNOV24!O29+MVTDEC244!O29</f>
        <v>48000</v>
      </c>
      <c r="P30" s="36">
        <f>MVTJANV24!P29+MVTFEV24!P29+MVTMARS24!P29+MVTAVRIL24!P29+MVTMAI24!P29+MVTJUIN24!P29+MVTJUIL24!P29+MVTAOUT24!P29+MVTSEPT24!P29+MVTOCT24!P29+MVTNOV24!P29+MVTDEC244!P29</f>
        <v>0</v>
      </c>
      <c r="Q30" s="36">
        <f>MVTJANV24!Q29+MVTFEV24!Q29+MVTMARS24!Q29+MVTAVRIL24!Q29+MVTMAI24!Q29+MVTJUIN24!Q29+MVTJUIL24!Q29+MVTAOUT24!Q29+MVTSEPT24!Q29+MVTOCT24!Q29+MVTNOV24!Q29+MVTDEC244!Q29</f>
        <v>0</v>
      </c>
      <c r="R30" s="36">
        <f>MVTJANV24!R29+MVTFEV24!R29+MVTMARS24!R29+MVTAVRIL24!R29+MVTMAI24!R29+MVTJUIN24!R29+MVTJUIL24!R29+MVTAOUT24!R29+MVTSEPT24!R29+MVTOCT24!R29+MVTNOV24!R29+MVTDEC244!R29</f>
        <v>0</v>
      </c>
      <c r="S30" s="36">
        <f>MVTDEC23!S29+MVTJANV24!S29+MVTFEV24!S29+MVTMARS24!S29+MVTAVRIL24!S29+MVTMAI24!S29+MVTJUIN24!S29+MVTJUIL24!S29+MVTAOUT24!S29+MVTSEPT24!S29+MVTOCT24!S29+MVTNOV24!S29+MVTDEC244!S29</f>
        <v>0</v>
      </c>
      <c r="T30" s="36">
        <f>MVTDEC23!T29+MVTJANV24!T29+MVTFEV24!T29+MVTMARS24!T29+MVTAVRIL24!T29+MVTMAI24!T29+MVTJUIN24!T29+MVTJUIL24!T29+MVTAOUT24!T29+MVTSEPT24!T29+MVTOCT24!T29+MVTNOV24!T29+MVTDEC244!T29</f>
        <v>0</v>
      </c>
      <c r="U30" s="36"/>
      <c r="V30" s="36">
        <f>MVTJANV24!V29+MVTFEV24!V29+MVTMARS24!V29+MVTAVRIL24!V29+MVTMAI24!V29+MVTJUIN24!V29+MVTJUIL24!V29+MVTAOUT24!V29+MVTSEPT24!V29+MVTOCT24!V29+MVTNOV24!V29+MVTDEC244!V29</f>
        <v>0</v>
      </c>
      <c r="W30" s="36">
        <f t="shared" si="1"/>
        <v>0</v>
      </c>
      <c r="X30" s="36"/>
      <c r="Y30" s="36"/>
      <c r="Z30" s="36">
        <f>MVTJANV24!Z29+MVTFEV24!Z29+MVTMARS24!Z29+MVTAVRIL24!Z29+MVTMAI24!Z29+MVTJUIN24!Z29+MVTJUIL24!Z29+MVTAOUT24!Z29+MVTSEPT24!Z29+MVTOCT24!Z29+MVTNOV24!Z29+MVTDEC244!Z29</f>
        <v>0</v>
      </c>
      <c r="AA30" s="36">
        <f>MVTJANV24!AA29+MVTFEV24!AA29+MVTMARS24!AA29+MVTAVRIL24!AA29+MVTMAI24!AA29+MVTJUIN24!AA29+MVTJUIL24!AA29+MVTAOUT24!AA29+MVTSEPT24!AA29+MVTOCT24!AA29+MVTNOV24!AA29+MVTDEC244!AA29</f>
        <v>0</v>
      </c>
      <c r="AB30" s="36">
        <f>MVTJANV24!AB29+MVTFEV24!AB29+MVTMARS24!AB29+MVTAVRIL24!AB29+MVTMAI24!AB29+MVTJUIN24!AB29+MVTJUIL24!AB29+MVTAOUT24!AB29+MVTSEPT24!AB29+MVTOCT24!AB29+MVTNOV24!AB29+MVTDEC244!AB29</f>
        <v>0</v>
      </c>
      <c r="AC30" s="36">
        <f>MVTJANV24!AC29+MVTFEV24!AC29+MVTMARS24!AC29+MVTAVRIL24!AC29+MVTMAI24!AC29+MVTJUIN24!AC29+MVTJUIL24!AC29+MVTAOUT24!AC29+MVTSEPT24!AC29+MVTOCT24!AC29+MVTNOV24!AC29+MVTDEC244!AC29</f>
        <v>0</v>
      </c>
      <c r="AD30" s="36">
        <f>MVTJANV24!AD29+MVTFEV24!AD29+MVTMARS24!AD29+MVTAVRIL24!AD29+MVTMAI24!AD29+MVTJUIN24!AD29+MVTJUIL24!AD29+MVTAOUT24!AD29+MVTSEPT24!AD29+MVTOCT24!AD29+MVTNOV24!AD29+MVTDEC244!AD29</f>
        <v>0</v>
      </c>
      <c r="AE30" s="36">
        <f>MVTJANV24!AE29+MVTFEV24!AE29+MVTMARS24!AE29+MVTAVRIL24!AE29+MVTMAI24!AE29+MVTJUIN24!AE29+MVTJUIL24!AE29+MVTAOUT24!AE29+MVTSEPT24!AE29+MVTOCT24!AE29+MVTNOV24!AE29+MVTDEC244!AE29</f>
        <v>0</v>
      </c>
      <c r="AF30" s="36">
        <f>MVTJANV24!AF29+MVTFEV24!AF29+MVTMARS24!AF29+MVTAVRIL24!AF29+MVTMAI24!AF29+MVTJUIN24!AF29+MVTJUIL24!AF29+MVTAOUT24!AF29+MVTSEPT24!AF29+MVTOCT24!AF29+MVTNOV24!AF29+MVTDEC244!AF29</f>
        <v>0</v>
      </c>
      <c r="AG30" s="36">
        <f>MVTJANV24!AG29+MVTFEV24!AG29+MVTMARS24!AG29+MVTAVRIL24!AG29+MVTMAI24!AG29+MVTJUIN24!AG29+MVTJUIL24!AG29+MVTAOUT24!AG29+MVTSEPT24!AG29+MVTOCT24!AG29+MVTNOV24!AG29+MVTDEC244!AG29</f>
        <v>0</v>
      </c>
      <c r="AH30" s="36">
        <f>MVTJANV24!AH29+MVTFEV24!AH29+MVTMARS24!AH29+MVTAVRIL24!AH29+MVTMAI24!AH29+MVTJUIN24!AH29+MVTJUIL24!AH29+MVTAOUT24!AH29+MVTSEPT24!AH29+MVTOCT24!AH29+MVTNOV24!AH29+MVTDEC244!AH29</f>
        <v>0</v>
      </c>
      <c r="AI30" s="36">
        <f>MVTJANV24!AI29+MVTFEV24!AI29+MVTMARS24!AI29+MVTAVRIL24!AI29+MVTMAI24!AI29+MVTJUIN24!AI29+MVTJUIL24!AI29+MVTAOUT24!AI29+MVTSEPT24!AI29+MVTOCT24!AI29+MVTNOV24!AI29+MVTDEC244!AI29</f>
        <v>0</v>
      </c>
      <c r="AJ30" s="36">
        <f>MVTJANV24!AJ29+MVTFEV24!AJ29+MVTMARS24!AJ29+MVTAVRIL24!AJ29+MVTMAI24!AJ29+MVTJUIN24!AJ29+MVTJUIL24!AJ29+MVTAOUT24!AJ29+MVTSEPT24!AJ29+MVTOCT24!AJ29+MVTNOV24!AJ29+MVTDEC244!AJ29</f>
        <v>0</v>
      </c>
      <c r="AK30" s="36">
        <f>MVTJANV24!AK29+MVTFEV24!AK29+MVTMARS24!AK29+MVTAVRIL24!AK29+MVTMAI24!AK29+MVTJUIN24!AK29+MVTJUIL24!AK29+MVTAOUT24!AK29+MVTSEPT24!AK29+MVTOCT24!AK29+MVTNOV24!AK29+MVTDEC244!AK29</f>
        <v>0</v>
      </c>
      <c r="AL30" s="143"/>
      <c r="AM30" s="144">
        <f t="shared" si="2"/>
        <v>0</v>
      </c>
      <c r="AN30" s="144">
        <f>MVTJANV24!AL29+MVTFEV24!AL29+MVTMARS24!AL29+MVTAVRIL24!AL29+MVTMAI24!AL29+MVTJUIN24!AL29+MVTJUIL24!AL29+MVTAOUT24!AL29+MVTSEPT24!AL29+MVTOCT24!AL29+MVTNOV24!AL29+MVTDEC244!AL29</f>
        <v>0</v>
      </c>
      <c r="AO30" s="144"/>
      <c r="AQ30" s="36"/>
    </row>
    <row r="31" spans="1:43" ht="15.5" x14ac:dyDescent="0.35">
      <c r="A31" s="1" t="s">
        <v>312</v>
      </c>
      <c r="B31" s="1" t="str">
        <f>VLOOKUP(A31,[19]LISTADHERENT!A$5:H$60,3,0)</f>
        <v>SEUMO POLYCARPE</v>
      </c>
      <c r="C31" s="36">
        <f>+MVTDEC23!C30</f>
        <v>0</v>
      </c>
      <c r="D31" s="36">
        <f>+MVTDEC23!D30</f>
        <v>245500</v>
      </c>
      <c r="E31" s="36">
        <f>VLOOKUP($A31,[29]HISTOJANV24!$A$6:$BA$38,48,0)</f>
        <v>0</v>
      </c>
      <c r="F31" s="36">
        <f>MVTDEC244!F30</f>
        <v>944509.15650175198</v>
      </c>
      <c r="G31" s="5">
        <f>MVTDEC244!G30</f>
        <v>944509.15650175198</v>
      </c>
      <c r="H31" s="36">
        <f>MVTDEC23!H30+MVTJANV24!H30+MVTFEV24!H30+MVTMARS24!H30+MVTAVRIL24!H30+MVTMAI24!H30+MVTJUIN24!H30+MVTJUIL24!H30+MVTAOUT24!H30+MVTSEPT24!H30+MVTOCT24!H30+MVTNOV24!H30+MVTDEC244!H30</f>
        <v>17373.219200614534</v>
      </c>
      <c r="I31" s="6">
        <f t="shared" si="0"/>
        <v>961882.37570236647</v>
      </c>
      <c r="J31" s="36">
        <f>MVTJANV24!J30+MVTFEV24!J30+MVTMARS24!J30+MVTAVRIL24!J30+MVTMAI24!J30+MVTJUIN24!J30+MVTJUIL24!J30+MVTAOUT24!J30+MVTSEPT24!J30+MVTOCT24!J30+MVTNOV24!J30+MVTDEC244!J30</f>
        <v>0</v>
      </c>
      <c r="K31" s="36">
        <f>MVTJANV24!K30+MVTFEV24!K30+MVTMARS24!K30+MVTAVRIL24!K30+MVTMAI24!K30+MVTJUIN24!K30+MVTJUIL24!K30+MVTAOUT24!K30+MVTSEPT24!K30+MVTOCT24!K30+MVTNOV24!K30+MVTDEC244!K30</f>
        <v>757500</v>
      </c>
      <c r="L31" s="36">
        <f>MVTJANV24!L30+MVTFEV24!L30+MVTMARS24!L30+MVTAVRIL24!L30+MVTMAI24!L30+MVTJUIN24!L30+MVTJUIL24!L30+MVTAOUT24!L30+MVTSEPT24!L30+MVTOCT24!L30+MVTNOV24!L30+MVTDEC244!L30</f>
        <v>685500</v>
      </c>
      <c r="M31" s="36">
        <f>MVTJANV24!M30+MVTFEV24!M30+MVTMARS24!M30+MVTAVRIL24!M30+MVTMAI24!M30+MVTJUIN24!M30+MVTJUIL24!M30+MVTAOUT24!M30+MVTSEPT24!M30+MVTOCT24!M30+MVTNOV24!M30+MVTDEC244!M30</f>
        <v>12000</v>
      </c>
      <c r="N31" s="36">
        <f>MVTJANV24!N30+MVTFEV24!N30+MVTMARS24!N30+MVTAVRIL24!N30+MVTMAI24!N30+MVTJUIN24!N30+MVTJUIL24!N30+MVTAOUT24!N30+MVTSEPT24!N30+MVTOCT24!N30+MVTNOV24!N30+MVTDEC244!N30</f>
        <v>12000</v>
      </c>
      <c r="O31" s="36">
        <f>MVTJANV24!O30+MVTFEV24!O30+MVTMARS24!O30+MVTAVRIL24!O30+MVTMAI24!O30+MVTJUIN24!O30+MVTJUIL24!O30+MVTAOUT24!O30+MVTSEPT24!O30+MVTOCT24!O30+MVTNOV24!O30+MVTDEC244!O30</f>
        <v>48000</v>
      </c>
      <c r="P31" s="36">
        <f>MVTJANV24!P30+MVTFEV24!P30+MVTMARS24!P30+MVTAVRIL24!P30+MVTMAI24!P30+MVTJUIN24!P30+MVTJUIL24!P30+MVTAOUT24!P30+MVTSEPT24!P30+MVTOCT24!P30+MVTNOV24!P30+MVTDEC244!P30</f>
        <v>0</v>
      </c>
      <c r="Q31" s="36">
        <f>MVTJANV24!Q30+MVTFEV24!Q30+MVTMARS24!Q30+MVTAVRIL24!Q30+MVTMAI24!Q30+MVTJUIN24!Q30+MVTJUIL24!Q30+MVTAOUT24!Q30+MVTSEPT24!Q30+MVTOCT24!Q30+MVTNOV24!Q30+MVTDEC244!Q30</f>
        <v>0</v>
      </c>
      <c r="R31" s="36">
        <f>MVTJANV24!R30+MVTFEV24!R30+MVTMARS24!R30+MVTAVRIL24!R30+MVTMAI24!R30+MVTJUIN24!R30+MVTJUIL24!R30+MVTAOUT24!R30+MVTSEPT24!R30+MVTOCT24!R30+MVTNOV24!R30+MVTDEC244!R30</f>
        <v>0</v>
      </c>
      <c r="S31" s="36">
        <f>MVTDEC23!S30+MVTJANV24!S30+MVTFEV24!S30+MVTMARS24!S30+MVTAVRIL24!S30+MVTMAI24!S30+MVTJUIN24!S30+MVTJUIL24!S30+MVTAOUT24!S30+MVTSEPT24!S30+MVTOCT24!S30+MVTNOV24!S30+MVTDEC244!S30</f>
        <v>1000000</v>
      </c>
      <c r="T31" s="36">
        <f>MVTDEC23!T30+MVTJANV24!T30+MVTFEV24!T30+MVTMARS24!T30+MVTAVRIL24!T30+MVTMAI24!T30+MVTJUIN24!T30+MVTJUIL24!T30+MVTAOUT24!T30+MVTSEPT24!T30+MVTOCT24!T30+MVTNOV24!T30+MVTDEC244!T30</f>
        <v>0</v>
      </c>
      <c r="U31" s="36"/>
      <c r="V31" s="36">
        <f>MVTJANV24!V30+MVTFEV24!V30+MVTMARS24!V30+MVTAVRIL24!V30+MVTMAI24!V30+MVTJUIN24!V30+MVTJUIL24!V30+MVTAOUT24!V30+MVTSEPT24!V30+MVTOCT24!V30+MVTNOV24!V30+MVTDEC244!V30</f>
        <v>0</v>
      </c>
      <c r="W31" s="36">
        <f t="shared" si="1"/>
        <v>1000000</v>
      </c>
      <c r="X31" s="36"/>
      <c r="Y31" s="36"/>
      <c r="Z31" s="36">
        <f>MVTJANV24!Z30+MVTFEV24!Z30+MVTMARS24!Z30+MVTAVRIL24!Z30+MVTMAI24!Z30+MVTJUIN24!Z30+MVTJUIL24!Z30+MVTAOUT24!Z30+MVTSEPT24!Z30+MVTOCT24!Z30+MVTNOV24!Z30+MVTDEC244!Z30</f>
        <v>0</v>
      </c>
      <c r="AA31" s="36">
        <f>MVTJANV24!AA30+MVTFEV24!AA30+MVTMARS24!AA30+MVTAVRIL24!AA30+MVTMAI24!AA30+MVTJUIN24!AA30+MVTJUIL24!AA30+MVTAOUT24!AA30+MVTSEPT24!AA30+MVTOCT24!AA30+MVTNOV24!AA30+MVTDEC244!AA30</f>
        <v>0</v>
      </c>
      <c r="AB31" s="36">
        <f>MVTJANV24!AB30+MVTFEV24!AB30+MVTMARS24!AB30+MVTAVRIL24!AB30+MVTMAI24!AB30+MVTJUIN24!AB30+MVTJUIL24!AB30+MVTAOUT24!AB30+MVTSEPT24!AB30+MVTOCT24!AB30+MVTNOV24!AB30+MVTDEC244!AB30</f>
        <v>0</v>
      </c>
      <c r="AC31" s="36">
        <f>MVTJANV24!AC30+MVTFEV24!AC30+MVTMARS24!AC30+MVTAVRIL24!AC30+MVTMAI24!AC30+MVTJUIN24!AC30+MVTJUIL24!AC30+MVTAOUT24!AC30+MVTSEPT24!AC30+MVTOCT24!AC30+MVTNOV24!AC30+MVTDEC244!AC30</f>
        <v>0</v>
      </c>
      <c r="AD31" s="36">
        <f>MVTJANV24!AD30+MVTFEV24!AD30+MVTMARS24!AD30+MVTAVRIL24!AD30+MVTMAI24!AD30+MVTJUIN24!AD30+MVTJUIL24!AD30+MVTAOUT24!AD30+MVTSEPT24!AD30+MVTOCT24!AD30+MVTNOV24!AD30+MVTDEC244!AD30</f>
        <v>0</v>
      </c>
      <c r="AE31" s="36">
        <f>MVTJANV24!AE30+MVTFEV24!AE30+MVTMARS24!AE30+MVTAVRIL24!AE30+MVTMAI24!AE30+MVTJUIN24!AE30+MVTJUIL24!AE30+MVTAOUT24!AE30+MVTSEPT24!AE30+MVTOCT24!AE30+MVTNOV24!AE30+MVTDEC244!AE30</f>
        <v>115000</v>
      </c>
      <c r="AF31" s="36">
        <f>MVTJANV24!AF30+MVTFEV24!AF30+MVTMARS24!AF30+MVTAVRIL24!AF30+MVTMAI24!AF30+MVTJUIN24!AF30+MVTJUIL24!AF30+MVTAOUT24!AF30+MVTSEPT24!AF30+MVTOCT24!AF30+MVTNOV24!AF30+MVTDEC244!AF30</f>
        <v>0</v>
      </c>
      <c r="AG31" s="36">
        <f>MVTJANV24!AG30+MVTFEV24!AG30+MVTMARS24!AG30+MVTAVRIL24!AG30+MVTMAI24!AG30+MVTJUIN24!AG30+MVTJUIL24!AG30+MVTAOUT24!AG30+MVTSEPT24!AG30+MVTOCT24!AG30+MVTNOV24!AG30+MVTDEC244!AG30</f>
        <v>0</v>
      </c>
      <c r="AH31" s="36">
        <f>MVTJANV24!AH30+MVTFEV24!AH30+MVTMARS24!AH30+MVTAVRIL24!AH30+MVTMAI24!AH30+MVTJUIN24!AH30+MVTJUIL24!AH30+MVTAOUT24!AH30+MVTSEPT24!AH30+MVTOCT24!AH30+MVTNOV24!AH30+MVTDEC244!AH30</f>
        <v>0</v>
      </c>
      <c r="AI31" s="36">
        <f>MVTJANV24!AI30+MVTFEV24!AI30+MVTMARS24!AI30+MVTAVRIL24!AI30+MVTMAI24!AI30+MVTJUIN24!AI30+MVTJUIL24!AI30+MVTAOUT24!AI30+MVTSEPT24!AI30+MVTOCT24!AI30+MVTNOV24!AI30+MVTDEC244!AI30</f>
        <v>200000</v>
      </c>
      <c r="AJ31" s="36">
        <f>MVTJANV24!AJ30+MVTFEV24!AJ30+MVTMARS24!AJ30+MVTAVRIL24!AJ30+MVTMAI24!AJ30+MVTJUIN24!AJ30+MVTJUIL24!AJ30+MVTAOUT24!AJ30+MVTSEPT24!AJ30+MVTOCT24!AJ30+MVTNOV24!AJ30+MVTDEC244!AJ30</f>
        <v>0</v>
      </c>
      <c r="AK31" s="36">
        <f>MVTJANV24!AK30+MVTFEV24!AK30+MVTMARS24!AK30+MVTAVRIL24!AK30+MVTMAI24!AK30+MVTJUIN24!AK30+MVTJUIL24!AK30+MVTAOUT24!AK30+MVTSEPT24!AK30+MVTOCT24!AK30+MVTNOV24!AK30+MVTDEC244!AK30</f>
        <v>0</v>
      </c>
      <c r="AL31" s="143"/>
      <c r="AM31" s="144">
        <f t="shared" si="2"/>
        <v>0</v>
      </c>
      <c r="AN31" s="144">
        <f>MVTJANV24!AL30+MVTFEV24!AL30+MVTMARS24!AL30+MVTAVRIL24!AL30+MVTMAI24!AL30+MVTJUIN24!AL30+MVTJUIL24!AL30+MVTAOUT24!AL30+MVTSEPT24!AL30+MVTOCT24!AL30+MVTNOV24!AL30+MVTDEC244!AL30</f>
        <v>0</v>
      </c>
      <c r="AO31" s="144"/>
      <c r="AQ31" s="36"/>
    </row>
    <row r="32" spans="1:43" ht="15.5" x14ac:dyDescent="0.35">
      <c r="A32" s="1" t="s">
        <v>81</v>
      </c>
      <c r="B32" s="1" t="str">
        <f>VLOOKUP(A32,[19]LISTADHERENT!A$5:H$60,3,0)</f>
        <v>SIME BRICE</v>
      </c>
      <c r="C32" s="36">
        <f>+MVTDEC23!C31</f>
        <v>700000</v>
      </c>
      <c r="D32" s="36">
        <f>+MVTDEC23!D31</f>
        <v>104364.15055016428</v>
      </c>
      <c r="E32" s="36">
        <f>VLOOKUP($A32,[29]HISTOJANV24!$A$6:$BA$38,48,0)</f>
        <v>0</v>
      </c>
      <c r="F32" s="36">
        <f>MVTDEC244!F31</f>
        <v>1101010.4861848836</v>
      </c>
      <c r="G32" s="5">
        <f>MVTDEC244!G31</f>
        <v>1101010.4861848836</v>
      </c>
      <c r="H32" s="36">
        <f>MVTDEC23!H31+MVTJANV24!H31+MVTFEV24!H31+MVTMARS24!H31+MVTAVRIL24!H31+MVTMAI24!H31+MVTJUIN24!H31+MVTJUIL24!H31+MVTAOUT24!H31+MVTSEPT24!H31+MVTOCT24!H31+MVTNOV24!H31+MVTDEC244!H31</f>
        <v>70150.657823061978</v>
      </c>
      <c r="I32" s="6">
        <f t="shared" si="0"/>
        <v>1171161.1440079457</v>
      </c>
      <c r="J32" s="36">
        <f>MVTJANV24!J31+MVTFEV24!J31+MVTMARS24!J31+MVTAVRIL24!J31+MVTMAI24!J31+MVTJUIN24!J31+MVTJUIL24!J31+MVTAOUT24!J31+MVTSEPT24!J31+MVTOCT24!J31+MVTNOV24!J31+MVTDEC244!J31</f>
        <v>0</v>
      </c>
      <c r="K32" s="36">
        <f>MVTJANV24!K31+MVTFEV24!K31+MVTMARS24!K31+MVTAVRIL24!K31+MVTMAI24!K31+MVTJUIN24!K31+MVTJUIL24!K31+MVTAOUT24!K31+MVTSEPT24!K31+MVTOCT24!K31+MVTNOV24!K31+MVTDEC244!K31</f>
        <v>303000</v>
      </c>
      <c r="L32" s="36">
        <f>MVTJANV24!L31+MVTFEV24!L31+MVTMARS24!L31+MVTAVRIL24!L31+MVTMAI24!L31+MVTJUIN24!L31+MVTJUIL24!L31+MVTAOUT24!L31+MVTSEPT24!L31+MVTOCT24!L31+MVTNOV24!L31+MVTDEC244!L31</f>
        <v>231000</v>
      </c>
      <c r="M32" s="36">
        <f>MVTJANV24!M31+MVTFEV24!M31+MVTMARS24!M31+MVTAVRIL24!M31+MVTMAI24!M31+MVTJUIN24!M31+MVTJUIL24!M31+MVTAOUT24!M31+MVTSEPT24!M31+MVTOCT24!M31+MVTNOV24!M31+MVTDEC244!M31</f>
        <v>12000</v>
      </c>
      <c r="N32" s="36">
        <f>MVTJANV24!N31+MVTFEV24!N31+MVTMARS24!N31+MVTAVRIL24!N31+MVTMAI24!N31+MVTJUIN24!N31+MVTJUIL24!N31+MVTAOUT24!N31+MVTSEPT24!N31+MVTOCT24!N31+MVTNOV24!N31+MVTDEC244!N31</f>
        <v>12000</v>
      </c>
      <c r="O32" s="36">
        <f>MVTJANV24!O31+MVTFEV24!O31+MVTMARS24!O31+MVTAVRIL24!O31+MVTMAI24!O31+MVTJUIN24!O31+MVTJUIL24!O31+MVTAOUT24!O31+MVTSEPT24!O31+MVTOCT24!O31+MVTNOV24!O31+MVTDEC244!O31</f>
        <v>48000</v>
      </c>
      <c r="P32" s="36">
        <f>MVTJANV24!P31+MVTFEV24!P31+MVTMARS24!P31+MVTAVRIL24!P31+MVTMAI24!P31+MVTJUIN24!P31+MVTJUIL24!P31+MVTAOUT24!P31+MVTSEPT24!P31+MVTOCT24!P31+MVTNOV24!P31+MVTDEC244!P31</f>
        <v>0</v>
      </c>
      <c r="Q32" s="36">
        <f>MVTJANV24!Q31+MVTFEV24!Q31+MVTMARS24!Q31+MVTAVRIL24!Q31+MVTMAI24!Q31+MVTJUIN24!Q31+MVTJUIL24!Q31+MVTAOUT24!Q31+MVTSEPT24!Q31+MVTOCT24!Q31+MVTNOV24!Q31+MVTDEC244!Q31</f>
        <v>0</v>
      </c>
      <c r="R32" s="36">
        <f>MVTJANV24!R31+MVTFEV24!R31+MVTMARS24!R31+MVTAVRIL24!R31+MVTMAI24!R31+MVTJUIN24!R31+MVTJUIL24!R31+MVTAOUT24!R31+MVTSEPT24!R31+MVTOCT24!R31+MVTNOV24!R31+MVTDEC244!R31</f>
        <v>0</v>
      </c>
      <c r="S32" s="36">
        <f>MVTDEC23!S31+MVTJANV24!S31+MVTFEV24!S31+MVTMARS24!S31+MVTAVRIL24!S31+MVTMAI24!S31+MVTJUIN24!S31+MVTJUIL24!S31+MVTAOUT24!S31+MVTSEPT24!S31+MVTOCT24!S31+MVTNOV24!S31+MVTDEC244!S31</f>
        <v>2000000</v>
      </c>
      <c r="T32" s="36">
        <f>MVTDEC23!T31+MVTJANV24!T31+MVTFEV24!T31+MVTMARS24!T31+MVTAVRIL24!T31+MVTMAI24!T31+MVTJUIN24!T31+MVTJUIL24!T31+MVTAOUT24!T31+MVTSEPT24!T31+MVTOCT24!T31+MVTNOV24!T31+MVTDEC244!T31</f>
        <v>90000</v>
      </c>
      <c r="U32" s="36"/>
      <c r="V32" s="36">
        <f>MVTJANV24!V31+MVTFEV24!V31+MVTMARS24!V31+MVTAVRIL24!V31+MVTMAI24!V31+MVTJUIN24!V31+MVTJUIL24!V31+MVTAOUT24!V31+MVTSEPT24!V31+MVTOCT24!V31+MVTNOV24!V31+MVTDEC244!V31</f>
        <v>1000000</v>
      </c>
      <c r="W32" s="36">
        <f t="shared" si="1"/>
        <v>1000000</v>
      </c>
      <c r="X32" s="36"/>
      <c r="Y32" s="36"/>
      <c r="Z32" s="36">
        <f>MVTJANV24!Z31+MVTFEV24!Z31+MVTMARS24!Z31+MVTAVRIL24!Z31+MVTMAI24!Z31+MVTJUIN24!Z31+MVTJUIL24!Z31+MVTAOUT24!Z31+MVTSEPT24!Z31+MVTOCT24!Z31+MVTNOV24!Z31+MVTDEC244!Z31</f>
        <v>0</v>
      </c>
      <c r="AA32" s="36">
        <f>MVTJANV24!AA31+MVTFEV24!AA31+MVTMARS24!AA31+MVTAVRIL24!AA31+MVTMAI24!AA31+MVTJUIN24!AA31+MVTJUIL24!AA31+MVTAOUT24!AA31+MVTSEPT24!AA31+MVTOCT24!AA31+MVTNOV24!AA31+MVTDEC244!AA31</f>
        <v>0</v>
      </c>
      <c r="AB32" s="36">
        <f>MVTJANV24!AB31+MVTFEV24!AB31+MVTMARS24!AB31+MVTAVRIL24!AB31+MVTMAI24!AB31+MVTJUIN24!AB31+MVTJUIL24!AB31+MVTAOUT24!AB31+MVTSEPT24!AB31+MVTOCT24!AB31+MVTNOV24!AB31+MVTDEC244!AB31</f>
        <v>0</v>
      </c>
      <c r="AC32" s="36">
        <f>MVTJANV24!AC31+MVTFEV24!AC31+MVTMARS24!AC31+MVTAVRIL24!AC31+MVTMAI24!AC31+MVTJUIN24!AC31+MVTJUIL24!AC31+MVTAOUT24!AC31+MVTSEPT24!AC31+MVTOCT24!AC31+MVTNOV24!AC31+MVTDEC244!AC31</f>
        <v>0</v>
      </c>
      <c r="AD32" s="36">
        <f>MVTJANV24!AD31+MVTFEV24!AD31+MVTMARS24!AD31+MVTAVRIL24!AD31+MVTMAI24!AD31+MVTJUIN24!AD31+MVTJUIL24!AD31+MVTAOUT24!AD31+MVTSEPT24!AD31+MVTOCT24!AD31+MVTNOV24!AD31+MVTDEC244!AD31</f>
        <v>0</v>
      </c>
      <c r="AE32" s="36">
        <f>MVTJANV24!AE31+MVTFEV24!AE31+MVTMARS24!AE31+MVTAVRIL24!AE31+MVTMAI24!AE31+MVTJUIN24!AE31+MVTJUIL24!AE31+MVTAOUT24!AE31+MVTSEPT24!AE31+MVTOCT24!AE31+MVTNOV24!AE31+MVTDEC244!AE31</f>
        <v>0</v>
      </c>
      <c r="AF32" s="36">
        <f>MVTJANV24!AF31+MVTFEV24!AF31+MVTMARS24!AF31+MVTAVRIL24!AF31+MVTMAI24!AF31+MVTJUIN24!AF31+MVTJUIL24!AF31+MVTAOUT24!AF31+MVTSEPT24!AF31+MVTOCT24!AF31+MVTNOV24!AF31+MVTDEC244!AF31</f>
        <v>0</v>
      </c>
      <c r="AG32" s="36">
        <f>MVTJANV24!AG31+MVTFEV24!AG31+MVTMARS24!AG31+MVTAVRIL24!AG31+MVTMAI24!AG31+MVTJUIN24!AG31+MVTJUIL24!AG31+MVTAOUT24!AG31+MVTSEPT24!AG31+MVTOCT24!AG31+MVTNOV24!AG31+MVTDEC244!AG31</f>
        <v>0</v>
      </c>
      <c r="AH32" s="36">
        <f>MVTJANV24!AH31+MVTFEV24!AH31+MVTMARS24!AH31+MVTAVRIL24!AH31+MVTMAI24!AH31+MVTJUIN24!AH31+MVTJUIL24!AH31+MVTAOUT24!AH31+MVTSEPT24!AH31+MVTOCT24!AH31+MVTNOV24!AH31+MVTDEC244!AH31</f>
        <v>0</v>
      </c>
      <c r="AI32" s="36">
        <f>MVTJANV24!AI31+MVTFEV24!AI31+MVTMARS24!AI31+MVTAVRIL24!AI31+MVTMAI24!AI31+MVTJUIN24!AI31+MVTJUIL24!AI31+MVTAOUT24!AI31+MVTSEPT24!AI31+MVTOCT24!AI31+MVTNOV24!AI31+MVTDEC244!AI31</f>
        <v>0</v>
      </c>
      <c r="AJ32" s="36">
        <f>MVTJANV24!AJ31+MVTFEV24!AJ31+MVTMARS24!AJ31+MVTAVRIL24!AJ31+MVTMAI24!AJ31+MVTJUIN24!AJ31+MVTJUIL24!AJ31+MVTAOUT24!AJ31+MVTSEPT24!AJ31+MVTOCT24!AJ31+MVTNOV24!AJ31+MVTDEC244!AJ31</f>
        <v>0</v>
      </c>
      <c r="AK32" s="36">
        <f>MVTJANV24!AK31+MVTFEV24!AK31+MVTMARS24!AK31+MVTAVRIL24!AK31+MVTMAI24!AK31+MVTJUIN24!AK31+MVTJUIL24!AK31+MVTAOUT24!AK31+MVTSEPT24!AK31+MVTOCT24!AK31+MVTNOV24!AK31+MVTDEC244!AK31</f>
        <v>0</v>
      </c>
      <c r="AL32" s="143"/>
      <c r="AM32" s="144">
        <f t="shared" si="2"/>
        <v>90000</v>
      </c>
      <c r="AN32" s="144">
        <f>MVTJANV24!AL31+MVTFEV24!AL31+MVTMARS24!AL31+MVTAVRIL24!AL31+MVTMAI24!AL31+MVTJUIN24!AL31+MVTJUIL24!AL31+MVTAOUT24!AL31+MVTSEPT24!AL31+MVTOCT24!AL31+MVTNOV24!AL31+MVTDEC244!AL31</f>
        <v>0</v>
      </c>
      <c r="AO32" s="144"/>
      <c r="AQ32" s="36"/>
    </row>
    <row r="33" spans="1:43" ht="15.5" x14ac:dyDescent="0.35">
      <c r="A33" s="1" t="s">
        <v>49</v>
      </c>
      <c r="B33" s="1" t="str">
        <f>VLOOKUP(A33,[19]LISTADHERENT!A$5:H$60,3,0)</f>
        <v>SIMO PIERRE</v>
      </c>
      <c r="C33" s="36">
        <f>+MVTDEC23!C32</f>
        <v>700000</v>
      </c>
      <c r="D33" s="36">
        <f>+MVTDEC23!D32</f>
        <v>686.61218299972825</v>
      </c>
      <c r="E33" s="36">
        <f>VLOOKUP($A33,[29]HISTOJANV24!$A$6:$BA$38,48,0)</f>
        <v>0</v>
      </c>
      <c r="F33" s="36">
        <f>MVTDEC244!F32</f>
        <v>986102.16279974184</v>
      </c>
      <c r="G33" s="5">
        <f>MVTDEC244!G32</f>
        <v>986102.16279974184</v>
      </c>
      <c r="H33" s="36">
        <f>MVTDEC23!H32+MVTJANV24!H32+MVTFEV24!H32+MVTMARS24!H32+MVTAVRIL24!H32+MVTMAI24!H32+MVTJUIN24!H32+MVTJUIL24!H32+MVTAOUT24!H32+MVTSEPT24!H32+MVTOCT24!H32+MVTNOV24!H32+MVTDEC244!H32</f>
        <v>61449.773639687468</v>
      </c>
      <c r="I33" s="6">
        <f t="shared" si="0"/>
        <v>1047551.9364394293</v>
      </c>
      <c r="J33" s="36">
        <f>MVTJANV24!J32+MVTFEV24!J32+MVTMARS24!J32+MVTAVRIL24!J32+MVTMAI24!J32+MVTJUIN24!J32+MVTJUIL24!J32+MVTAOUT24!J32+MVTSEPT24!J32+MVTOCT24!J32+MVTNOV24!J32+MVTDEC244!J32</f>
        <v>0</v>
      </c>
      <c r="K33" s="36">
        <f>MVTJANV24!K32+MVTFEV24!K32+MVTMARS24!K32+MVTAVRIL24!K32+MVTMAI24!K32+MVTJUIN24!K32+MVTJUIL24!K32+MVTAOUT24!K32+MVTSEPT24!K32+MVTOCT24!K32+MVTNOV24!K32+MVTDEC244!K32</f>
        <v>300000</v>
      </c>
      <c r="L33" s="36">
        <f>MVTJANV24!L32+MVTFEV24!L32+MVTMARS24!L32+MVTAVRIL24!L32+MVTMAI24!L32+MVTJUIN24!L32+MVTJUIL24!L32+MVTAOUT24!L32+MVTSEPT24!L32+MVTOCT24!L32+MVTNOV24!L32+MVTDEC244!L32</f>
        <v>228000</v>
      </c>
      <c r="M33" s="36">
        <f>MVTJANV24!M32+MVTFEV24!M32+MVTMARS24!M32+MVTAVRIL24!M32+MVTMAI24!M32+MVTJUIN24!M32+MVTJUIL24!M32+MVTAOUT24!M32+MVTSEPT24!M32+MVTOCT24!M32+MVTNOV24!M32+MVTDEC244!M32</f>
        <v>12000</v>
      </c>
      <c r="N33" s="36">
        <f>MVTJANV24!N32+MVTFEV24!N32+MVTMARS24!N32+MVTAVRIL24!N32+MVTMAI24!N32+MVTJUIN24!N32+MVTJUIL24!N32+MVTAOUT24!N32+MVTSEPT24!N32+MVTOCT24!N32+MVTNOV24!N32+MVTDEC244!N32</f>
        <v>12000</v>
      </c>
      <c r="O33" s="36">
        <f>MVTJANV24!O32+MVTFEV24!O32+MVTMARS24!O32+MVTAVRIL24!O32+MVTMAI24!O32+MVTJUIN24!O32+MVTJUIL24!O32+MVTAOUT24!O32+MVTSEPT24!O32+MVTOCT24!O32+MVTNOV24!O32+MVTDEC244!O32</f>
        <v>48000</v>
      </c>
      <c r="P33" s="36">
        <f>MVTJANV24!P32+MVTFEV24!P32+MVTMARS24!P32+MVTAVRIL24!P32+MVTMAI24!P32+MVTJUIN24!P32+MVTJUIL24!P32+MVTAOUT24!P32+MVTSEPT24!P32+MVTOCT24!P32+MVTNOV24!P32+MVTDEC244!P32</f>
        <v>0</v>
      </c>
      <c r="Q33" s="36">
        <f>MVTJANV24!Q32+MVTFEV24!Q32+MVTMARS24!Q32+MVTAVRIL24!Q32+MVTMAI24!Q32+MVTJUIN24!Q32+MVTJUIL24!Q32+MVTAOUT24!Q32+MVTSEPT24!Q32+MVTOCT24!Q32+MVTNOV24!Q32+MVTDEC244!Q32</f>
        <v>0</v>
      </c>
      <c r="R33" s="36">
        <f>MVTJANV24!R32+MVTFEV24!R32+MVTMARS24!R32+MVTAVRIL24!R32+MVTMAI24!R32+MVTJUIN24!R32+MVTJUIL24!R32+MVTAOUT24!R32+MVTSEPT24!R32+MVTOCT24!R32+MVTNOV24!R32+MVTDEC244!R32</f>
        <v>0</v>
      </c>
      <c r="S33" s="36">
        <f>MVTDEC23!S32+MVTJANV24!S32+MVTFEV24!S32+MVTMARS24!S32+MVTAVRIL24!S32+MVTMAI24!S32+MVTJUIN24!S32+MVTJUIL24!S32+MVTAOUT24!S32+MVTSEPT24!S32+MVTOCT24!S32+MVTNOV24!S32+MVTDEC244!S32</f>
        <v>2250000</v>
      </c>
      <c r="T33" s="36">
        <f>MVTDEC23!T32+MVTJANV24!T32+MVTFEV24!T32+MVTMARS24!T32+MVTAVRIL24!T32+MVTMAI24!T32+MVTJUIN24!T32+MVTJUIL24!T32+MVTAOUT24!T32+MVTSEPT24!T32+MVTOCT24!T32+MVTNOV24!T32+MVTDEC244!T32</f>
        <v>105000</v>
      </c>
      <c r="U33" s="36"/>
      <c r="V33" s="36">
        <f>MVTJANV24!V32+MVTFEV24!V32+MVTMARS24!V32+MVTAVRIL24!V32+MVTMAI24!V32+MVTJUIN24!V32+MVTJUIL24!V32+MVTAOUT24!V32+MVTSEPT24!V32+MVTOCT24!V32+MVTNOV24!V32+MVTDEC244!V32</f>
        <v>1250000</v>
      </c>
      <c r="W33" s="36">
        <f t="shared" si="1"/>
        <v>1000000</v>
      </c>
      <c r="X33" s="36"/>
      <c r="Y33" s="36"/>
      <c r="Z33" s="36">
        <f>MVTJANV24!Z32+MVTFEV24!Z32+MVTMARS24!Z32+MVTAVRIL24!Z32+MVTMAI24!Z32+MVTJUIN24!Z32+MVTJUIL24!Z32+MVTAOUT24!Z32+MVTSEPT24!Z32+MVTOCT24!Z32+MVTNOV24!Z32+MVTDEC244!Z32</f>
        <v>0</v>
      </c>
      <c r="AA33" s="36">
        <f>MVTJANV24!AA32+MVTFEV24!AA32+MVTMARS24!AA32+MVTAVRIL24!AA32+MVTMAI24!AA32+MVTJUIN24!AA32+MVTJUIL24!AA32+MVTAOUT24!AA32+MVTSEPT24!AA32+MVTOCT24!AA32+MVTNOV24!AA32+MVTDEC244!AA32</f>
        <v>0</v>
      </c>
      <c r="AB33" s="36">
        <f>MVTJANV24!AB32+MVTFEV24!AB32+MVTMARS24!AB32+MVTAVRIL24!AB32+MVTMAI24!AB32+MVTJUIN24!AB32+MVTJUIL24!AB32+MVTAOUT24!AB32+MVTSEPT24!AB32+MVTOCT24!AB32+MVTNOV24!AB32+MVTDEC244!AB32</f>
        <v>0</v>
      </c>
      <c r="AC33" s="36">
        <f>MVTJANV24!AC32+MVTFEV24!AC32+MVTMARS24!AC32+MVTAVRIL24!AC32+MVTMAI24!AC32+MVTJUIN24!AC32+MVTJUIL24!AC32+MVTAOUT24!AC32+MVTSEPT24!AC32+MVTOCT24!AC32+MVTNOV24!AC32+MVTDEC244!AC32</f>
        <v>0</v>
      </c>
      <c r="AD33" s="36">
        <f>MVTJANV24!AD32+MVTFEV24!AD32+MVTMARS24!AD32+MVTAVRIL24!AD32+MVTMAI24!AD32+MVTJUIN24!AD32+MVTJUIL24!AD32+MVTAOUT24!AD32+MVTSEPT24!AD32+MVTOCT24!AD32+MVTNOV24!AD32+MVTDEC244!AD32</f>
        <v>0</v>
      </c>
      <c r="AE33" s="36">
        <f>MVTJANV24!AE32+MVTFEV24!AE32+MVTMARS24!AE32+MVTAVRIL24!AE32+MVTMAI24!AE32+MVTJUIN24!AE32+MVTJUIL24!AE32+MVTAOUT24!AE32+MVTSEPT24!AE32+MVTOCT24!AE32+MVTNOV24!AE32+MVTDEC244!AE32</f>
        <v>0</v>
      </c>
      <c r="AF33" s="36">
        <f>MVTJANV24!AF32+MVTFEV24!AF32+MVTMARS24!AF32+MVTAVRIL24!AF32+MVTMAI24!AF32+MVTJUIN24!AF32+MVTJUIL24!AF32+MVTAOUT24!AF32+MVTSEPT24!AF32+MVTOCT24!AF32+MVTNOV24!AF32+MVTDEC244!AF32</f>
        <v>0</v>
      </c>
      <c r="AG33" s="36">
        <f>MVTJANV24!AG32+MVTFEV24!AG32+MVTMARS24!AG32+MVTAVRIL24!AG32+MVTMAI24!AG32+MVTJUIN24!AG32+MVTJUIL24!AG32+MVTAOUT24!AG32+MVTSEPT24!AG32+MVTOCT24!AG32+MVTNOV24!AG32+MVTDEC244!AG32</f>
        <v>0</v>
      </c>
      <c r="AH33" s="36">
        <f>MVTJANV24!AH32+MVTFEV24!AH32+MVTMARS24!AH32+MVTAVRIL24!AH32+MVTMAI24!AH32+MVTJUIN24!AH32+MVTJUIL24!AH32+MVTAOUT24!AH32+MVTSEPT24!AH32+MVTOCT24!AH32+MVTNOV24!AH32+MVTDEC244!AH32</f>
        <v>0</v>
      </c>
      <c r="AI33" s="36">
        <f>MVTJANV24!AI32+MVTFEV24!AI32+MVTMARS24!AI32+MVTAVRIL24!AI32+MVTMAI24!AI32+MVTJUIN24!AI32+MVTJUIL24!AI32+MVTAOUT24!AI32+MVTSEPT24!AI32+MVTOCT24!AI32+MVTNOV24!AI32+MVTDEC244!AI32</f>
        <v>100000</v>
      </c>
      <c r="AJ33" s="36">
        <f>MVTJANV24!AJ32+MVTFEV24!AJ32+MVTMARS24!AJ32+MVTAVRIL24!AJ32+MVTMAI24!AJ32+MVTJUIN24!AJ32+MVTJUIL24!AJ32+MVTAOUT24!AJ32+MVTSEPT24!AJ32+MVTOCT24!AJ32+MVTNOV24!AJ32+MVTDEC244!AJ32</f>
        <v>0</v>
      </c>
      <c r="AK33" s="36">
        <f>MVTJANV24!AK32+MVTFEV24!AK32+MVTMARS24!AK32+MVTAVRIL24!AK32+MVTMAI24!AK32+MVTJUIN24!AK32+MVTJUIL24!AK32+MVTAOUT24!AK32+MVTSEPT24!AK32+MVTOCT24!AK32+MVTNOV24!AK32+MVTDEC244!AK32</f>
        <v>0</v>
      </c>
      <c r="AL33" s="143">
        <v>45627</v>
      </c>
      <c r="AM33" s="144">
        <f t="shared" si="2"/>
        <v>105000</v>
      </c>
      <c r="AN33" s="144">
        <f>MVTJANV24!AL32+MVTFEV24!AL32+MVTMARS24!AL32+MVTAVRIL24!AL32+MVTMAI24!AL32+MVTJUIN24!AL32+MVTJUIL24!AL32+MVTAOUT24!AL32+MVTSEPT24!AL32+MVTOCT24!AL32+MVTNOV24!AL32+MVTDEC244!AL32</f>
        <v>0</v>
      </c>
      <c r="AO33" s="144"/>
      <c r="AQ33" s="36"/>
    </row>
    <row r="34" spans="1:43" ht="15.5" x14ac:dyDescent="0.35">
      <c r="A34" s="1" t="s">
        <v>51</v>
      </c>
      <c r="B34" s="1" t="str">
        <f>VLOOKUP(A34,[19]LISTADHERENT!A$5:H$60,3,0)</f>
        <v>TCHOUAMOU MATHIEU</v>
      </c>
      <c r="C34" s="36">
        <f>+MVTDEC23!C33</f>
        <v>700000</v>
      </c>
      <c r="D34" s="36">
        <f>+MVTDEC23!D33</f>
        <v>975.80620651689242</v>
      </c>
      <c r="E34" s="36">
        <f>VLOOKUP($A34,[29]HISTOJANV24!$A$6:$BA$38,48,0)</f>
        <v>0</v>
      </c>
      <c r="F34" s="36">
        <f>MVTDEC244!F33</f>
        <v>1992081.9868132719</v>
      </c>
      <c r="G34" s="5">
        <f>MVTDEC244!G33</f>
        <v>1992081.9868132719</v>
      </c>
      <c r="H34" s="36">
        <f>MVTDEC23!H33+MVTJANV24!H33+MVTFEV24!H33+MVTMARS24!H33+MVTAVRIL24!H33+MVTMAI24!H33+MVTJUIN24!H33+MVTJUIL24!H33+MVTAOUT24!H33+MVTSEPT24!H33+MVTOCT24!H33+MVTNOV24!H33+MVTDEC244!H33</f>
        <v>71255.947758649185</v>
      </c>
      <c r="I34" s="6">
        <f t="shared" si="0"/>
        <v>2063337.9345719211</v>
      </c>
      <c r="J34" s="36">
        <f>MVTJANV24!J33+MVTFEV24!J33+MVTMARS24!J33+MVTAVRIL24!J33+MVTMAI24!J33+MVTJUIN24!J33+MVTJUIL24!J33+MVTAOUT24!J33+MVTSEPT24!J33+MVTOCT24!J33+MVTNOV24!J33+MVTDEC244!J33</f>
        <v>0</v>
      </c>
      <c r="K34" s="36">
        <f>MVTJANV24!K33+MVTFEV24!K33+MVTMARS24!K33+MVTAVRIL24!K33+MVTMAI24!K33+MVTJUIN24!K33+MVTJUIL24!K33+MVTAOUT24!K33+MVTSEPT24!K33+MVTOCT24!K33+MVTNOV24!K33+MVTDEC244!K33</f>
        <v>1300000</v>
      </c>
      <c r="L34" s="36">
        <f>MVTJANV24!L33+MVTFEV24!L33+MVTMARS24!L33+MVTAVRIL24!L33+MVTMAI24!L33+MVTJUIN24!L33+MVTJUIL24!L33+MVTAOUT24!L33+MVTSEPT24!L33+MVTOCT24!L33+MVTNOV24!L33+MVTDEC244!L33</f>
        <v>1228000</v>
      </c>
      <c r="M34" s="36">
        <f>MVTJANV24!M33+MVTFEV24!M33+MVTMARS24!M33+MVTAVRIL24!M33+MVTMAI24!M33+MVTJUIN24!M33+MVTJUIL24!M33+MVTAOUT24!M33+MVTSEPT24!M33+MVTOCT24!M33+MVTNOV24!M33+MVTDEC244!M33</f>
        <v>12000</v>
      </c>
      <c r="N34" s="36">
        <f>MVTJANV24!N33+MVTFEV24!N33+MVTMARS24!N33+MVTAVRIL24!N33+MVTMAI24!N33+MVTJUIN24!N33+MVTJUIL24!N33+MVTAOUT24!N33+MVTSEPT24!N33+MVTOCT24!N33+MVTNOV24!N33+MVTDEC244!N33</f>
        <v>12000</v>
      </c>
      <c r="O34" s="36">
        <f>MVTJANV24!O33+MVTFEV24!O33+MVTMARS24!O33+MVTAVRIL24!O33+MVTMAI24!O33+MVTJUIN24!O33+MVTJUIL24!O33+MVTAOUT24!O33+MVTSEPT24!O33+MVTOCT24!O33+MVTNOV24!O33+MVTDEC244!O33</f>
        <v>48000</v>
      </c>
      <c r="P34" s="36">
        <f>MVTJANV24!P33+MVTFEV24!P33+MVTMARS24!P33+MVTAVRIL24!P33+MVTMAI24!P33+MVTJUIN24!P33+MVTJUIL24!P33+MVTAOUT24!P33+MVTSEPT24!P33+MVTOCT24!P33+MVTNOV24!P33+MVTDEC244!P33</f>
        <v>0</v>
      </c>
      <c r="Q34" s="36">
        <f>MVTJANV24!Q33+MVTFEV24!Q33+MVTMARS24!Q33+MVTAVRIL24!Q33+MVTMAI24!Q33+MVTJUIN24!Q33+MVTJUIL24!Q33+MVTAOUT24!Q33+MVTSEPT24!Q33+MVTOCT24!Q33+MVTNOV24!Q33+MVTDEC244!Q33</f>
        <v>0</v>
      </c>
      <c r="R34" s="36">
        <f>MVTJANV24!R33+MVTFEV24!R33+MVTMARS24!R33+MVTAVRIL24!R33+MVTMAI24!R33+MVTJUIN24!R33+MVTJUIL24!R33+MVTAOUT24!R33+MVTSEPT24!R33+MVTOCT24!R33+MVTNOV24!R33+MVTDEC244!R33</f>
        <v>0</v>
      </c>
      <c r="S34" s="36">
        <f>MVTDEC23!S33+MVTJANV24!S33+MVTFEV24!S33+MVTMARS24!S33+MVTAVRIL24!S33+MVTMAI24!S33+MVTJUIN24!S33+MVTJUIL24!S33+MVTAOUT24!S33+MVTSEPT24!S33+MVTOCT24!S33+MVTNOV24!S33+MVTDEC244!S33</f>
        <v>2000000</v>
      </c>
      <c r="T34" s="36">
        <f>MVTDEC23!T33+MVTJANV24!T33+MVTFEV24!T33+MVTMARS24!T33+MVTAVRIL24!T33+MVTMAI24!T33+MVTJUIN24!T33+MVTJUIL24!T33+MVTAOUT24!T33+MVTSEPT24!T33+MVTOCT24!T33+MVTNOV24!T33+MVTDEC244!T33</f>
        <v>60000</v>
      </c>
      <c r="U34" s="36"/>
      <c r="V34" s="36">
        <f>MVTJANV24!V33+MVTFEV24!V33+MVTMARS24!V33+MVTAVRIL24!V33+MVTMAI24!V33+MVTJUIN24!V33+MVTJUIL24!V33+MVTAOUT24!V33+MVTSEPT24!V33+MVTOCT24!V33+MVTNOV24!V33+MVTDEC244!V33</f>
        <v>1000000</v>
      </c>
      <c r="W34" s="36">
        <f t="shared" si="1"/>
        <v>1000000</v>
      </c>
      <c r="X34" s="36"/>
      <c r="Y34" s="36"/>
      <c r="Z34" s="36">
        <f>MVTJANV24!Z33+MVTFEV24!Z33+MVTMARS24!Z33+MVTAVRIL24!Z33+MVTMAI24!Z33+MVTJUIN24!Z33+MVTJUIL24!Z33+MVTAOUT24!Z33+MVTSEPT24!Z33+MVTOCT24!Z33+MVTNOV24!Z33+MVTDEC244!Z33</f>
        <v>0</v>
      </c>
      <c r="AA34" s="36">
        <f>MVTJANV24!AA33+MVTFEV24!AA33+MVTMARS24!AA33+MVTAVRIL24!AA33+MVTMAI24!AA33+MVTJUIN24!AA33+MVTJUIL24!AA33+MVTAOUT24!AA33+MVTSEPT24!AA33+MVTOCT24!AA33+MVTNOV24!AA33+MVTDEC244!AA33</f>
        <v>0</v>
      </c>
      <c r="AB34" s="36">
        <f>MVTJANV24!AB33+MVTFEV24!AB33+MVTMARS24!AB33+MVTAVRIL24!AB33+MVTMAI24!AB33+MVTJUIN24!AB33+MVTJUIL24!AB33+MVTAOUT24!AB33+MVTSEPT24!AB33+MVTOCT24!AB33+MVTNOV24!AB33+MVTDEC244!AB33</f>
        <v>0</v>
      </c>
      <c r="AC34" s="36">
        <f>MVTJANV24!AC33+MVTFEV24!AC33+MVTMARS24!AC33+MVTAVRIL24!AC33+MVTMAI24!AC33+MVTJUIN24!AC33+MVTJUIL24!AC33+MVTAOUT24!AC33+MVTSEPT24!AC33+MVTOCT24!AC33+MVTNOV24!AC33+MVTDEC244!AC33</f>
        <v>0</v>
      </c>
      <c r="AD34" s="36">
        <f>MVTJANV24!AD33+MVTFEV24!AD33+MVTMARS24!AD33+MVTAVRIL24!AD33+MVTMAI24!AD33+MVTJUIN24!AD33+MVTJUIL24!AD33+MVTAOUT24!AD33+MVTSEPT24!AD33+MVTOCT24!AD33+MVTNOV24!AD33+MVTDEC244!AD33</f>
        <v>0</v>
      </c>
      <c r="AE34" s="36">
        <f>MVTJANV24!AE33+MVTFEV24!AE33+MVTMARS24!AE33+MVTAVRIL24!AE33+MVTMAI24!AE33+MVTJUIN24!AE33+MVTJUIL24!AE33+MVTAOUT24!AE33+MVTSEPT24!AE33+MVTOCT24!AE33+MVTNOV24!AE33+MVTDEC244!AE33</f>
        <v>0</v>
      </c>
      <c r="AF34" s="36">
        <f>MVTJANV24!AF33+MVTFEV24!AF33+MVTMARS24!AF33+MVTAVRIL24!AF33+MVTMAI24!AF33+MVTJUIN24!AF33+MVTJUIL24!AF33+MVTAOUT24!AF33+MVTSEPT24!AF33+MVTOCT24!AF33+MVTNOV24!AF33+MVTDEC244!AF33</f>
        <v>0</v>
      </c>
      <c r="AG34" s="36">
        <f>MVTJANV24!AG33+MVTFEV24!AG33+MVTMARS24!AG33+MVTAVRIL24!AG33+MVTMAI24!AG33+MVTJUIN24!AG33+MVTJUIL24!AG33+MVTAOUT24!AG33+MVTSEPT24!AG33+MVTOCT24!AG33+MVTNOV24!AG33+MVTDEC244!AG33</f>
        <v>0</v>
      </c>
      <c r="AH34" s="36">
        <f>MVTJANV24!AH33+MVTFEV24!AH33+MVTMARS24!AH33+MVTAVRIL24!AH33+MVTMAI24!AH33+MVTJUIN24!AH33+MVTJUIL24!AH33+MVTAOUT24!AH33+MVTSEPT24!AH33+MVTOCT24!AH33+MVTNOV24!AH33+MVTDEC244!AH33</f>
        <v>0</v>
      </c>
      <c r="AI34" s="36">
        <f>MVTJANV24!AI33+MVTFEV24!AI33+MVTMARS24!AI33+MVTAVRIL24!AI33+MVTMAI24!AI33+MVTJUIN24!AI33+MVTJUIL24!AI33+MVTAOUT24!AI33+MVTSEPT24!AI33+MVTOCT24!AI33+MVTNOV24!AI33+MVTDEC244!AI33</f>
        <v>0</v>
      </c>
      <c r="AJ34" s="36">
        <f>MVTJANV24!AJ33+MVTFEV24!AJ33+MVTMARS24!AJ33+MVTAVRIL24!AJ33+MVTMAI24!AJ33+MVTJUIN24!AJ33+MVTJUIL24!AJ33+MVTAOUT24!AJ33+MVTSEPT24!AJ33+MVTOCT24!AJ33+MVTNOV24!AJ33+MVTDEC244!AJ33</f>
        <v>0</v>
      </c>
      <c r="AK34" s="36">
        <f>MVTJANV24!AK33+MVTFEV24!AK33+MVTMARS24!AK33+MVTAVRIL24!AK33+MVTMAI24!AK33+MVTJUIN24!AK33+MVTJUIL24!AK33+MVTAOUT24!AK33+MVTSEPT24!AK33+MVTOCT24!AK33+MVTNOV24!AK33+MVTDEC244!AK33</f>
        <v>0</v>
      </c>
      <c r="AL34" s="143"/>
      <c r="AM34" s="144">
        <f t="shared" si="2"/>
        <v>60000</v>
      </c>
      <c r="AN34" s="144">
        <f>MVTJANV24!AL33+MVTFEV24!AL33+MVTMARS24!AL33+MVTAVRIL24!AL33+MVTMAI24!AL33+MVTJUIN24!AL33+MVTJUIL24!AL33+MVTAOUT24!AL33+MVTSEPT24!AL33+MVTOCT24!AL33+MVTNOV24!AL33+MVTDEC244!AL33</f>
        <v>0</v>
      </c>
      <c r="AO34" s="144"/>
      <c r="AP34" s="36"/>
      <c r="AQ34" s="36"/>
    </row>
    <row r="35" spans="1:43" ht="15.5" x14ac:dyDescent="0.35">
      <c r="A35" s="1" t="s">
        <v>327</v>
      </c>
      <c r="B35" s="1" t="str">
        <f>VLOOKUP(A35,[19]LISTADHERENT!A$5:H$60,3,0)</f>
        <v>TCHOUATEU AUGUSTIN</v>
      </c>
      <c r="C35" s="36">
        <f>+MVTDEC23!C34</f>
        <v>0</v>
      </c>
      <c r="D35" s="36">
        <f>+MVTDEC23!D34</f>
        <v>0</v>
      </c>
      <c r="E35" s="36">
        <f>VLOOKUP($A35,[29]HISTOJANV24!$A$6:$BA$38,48,0)</f>
        <v>0</v>
      </c>
      <c r="F35" s="36">
        <f>MVTDEC244!F34</f>
        <v>972739.10692510835</v>
      </c>
      <c r="G35" s="5">
        <f>MVTDEC244!G34</f>
        <v>972739.10692510835</v>
      </c>
      <c r="H35" s="36">
        <f>MVTDEC23!H34+MVTJANV24!H34+MVTFEV24!H34+MVTMARS24!H34+MVTAVRIL24!H34+MVTMAI24!H34+MVTJUIN24!H34+MVTJUIL24!H34+MVTAOUT24!H34+MVTSEPT24!H34+MVTOCT24!H34+MVTNOV24!H34+MVTDEC244!H34</f>
        <v>4718.6606148953824</v>
      </c>
      <c r="I35" s="6">
        <f t="shared" si="0"/>
        <v>977457.76754000376</v>
      </c>
      <c r="J35" s="36">
        <f>MVTJANV24!J34+MVTFEV24!J34+MVTMARS24!J34+MVTAVRIL24!J34+MVTMAI24!J34+MVTJUIN24!J34+MVTJUIL24!J34+MVTAOUT24!J34+MVTSEPT24!J34+MVTOCT24!J34+MVTNOV24!J34+MVTDEC244!J34</f>
        <v>0</v>
      </c>
      <c r="K35" s="36">
        <f>MVTJANV24!K34+MVTFEV24!K34+MVTMARS24!K34+MVTAVRIL24!K34+MVTMAI24!K34+MVTJUIN24!K34+MVTJUIL24!K34+MVTAOUT24!K34+MVTSEPT24!K34+MVTOCT24!K34+MVTNOV24!K34+MVTDEC244!K34</f>
        <v>1044000</v>
      </c>
      <c r="L35" s="36">
        <f>MVTJANV24!L34+MVTFEV24!L34+MVTMARS24!L34+MVTAVRIL24!L34+MVTMAI24!L34+MVTJUIN24!L34+MVTJUIL24!L34+MVTAOUT24!L34+MVTSEPT24!L34+MVTOCT24!L34+MVTNOV24!L34+MVTDEC244!L34</f>
        <v>972000</v>
      </c>
      <c r="M35" s="36">
        <f>MVTJANV24!M34+MVTFEV24!M34+MVTMARS24!M34+MVTAVRIL24!M34+MVTMAI24!M34+MVTJUIN24!M34+MVTJUIL24!M34+MVTAOUT24!M34+MVTSEPT24!M34+MVTOCT24!M34+MVTNOV24!M34+MVTDEC244!M34</f>
        <v>12000</v>
      </c>
      <c r="N35" s="36">
        <f>MVTJANV24!N34+MVTFEV24!N34+MVTMARS24!N34+MVTAVRIL24!N34+MVTMAI24!N34+MVTJUIN24!N34+MVTJUIL24!N34+MVTAOUT24!N34+MVTSEPT24!N34+MVTOCT24!N34+MVTNOV24!N34+MVTDEC244!N34</f>
        <v>12000</v>
      </c>
      <c r="O35" s="36">
        <f>MVTJANV24!O34+MVTFEV24!O34+MVTMARS24!O34+MVTAVRIL24!O34+MVTMAI24!O34+MVTJUIN24!O34+MVTJUIL24!O34+MVTAOUT24!O34+MVTSEPT24!O34+MVTOCT24!O34+MVTNOV24!O34+MVTDEC244!O34</f>
        <v>48000</v>
      </c>
      <c r="P35" s="36">
        <f>MVTJANV24!P34+MVTFEV24!P34+MVTMARS24!P34+MVTAVRIL24!P34+MVTMAI24!P34+MVTJUIN24!P34+MVTJUIL24!P34+MVTAOUT24!P34+MVTSEPT24!P34+MVTOCT24!P34+MVTNOV24!P34+MVTDEC244!P34</f>
        <v>0</v>
      </c>
      <c r="Q35" s="36">
        <f>MVTJANV24!Q34+MVTFEV24!Q34+MVTMARS24!Q34+MVTAVRIL24!Q34+MVTMAI24!Q34+MVTJUIN24!Q34+MVTJUIL24!Q34+MVTAOUT24!Q34+MVTSEPT24!Q34+MVTOCT24!Q34+MVTNOV24!Q34+MVTDEC244!Q34</f>
        <v>25000</v>
      </c>
      <c r="R35" s="36">
        <f>MVTJANV24!R34+MVTFEV24!R34+MVTMARS24!R34+MVTAVRIL24!R34+MVTMAI24!R34+MVTJUIN24!R34+MVTJUIL24!R34+MVTAOUT24!R34+MVTSEPT24!R34+MVTOCT24!R34+MVTNOV24!R34+MVTDEC244!R34</f>
        <v>120000</v>
      </c>
      <c r="S35" s="36">
        <f>MVTDEC23!S34+MVTJANV24!S34+MVTFEV24!S34+MVTMARS24!S34+MVTAVRIL24!S34+MVTMAI24!S34+MVTJUIN24!S34+MVTJUIL24!S34+MVTAOUT24!S34+MVTSEPT24!S34+MVTOCT24!S34+MVTNOV24!S34+MVTDEC244!S34</f>
        <v>1000000</v>
      </c>
      <c r="T35" s="36">
        <f>MVTDEC23!T34+MVTJANV24!T34+MVTFEV24!T34+MVTMARS24!T34+MVTAVRIL24!T34+MVTMAI24!T34+MVTJUIN24!T34+MVTJUIL24!T34+MVTAOUT24!T34+MVTSEPT24!T34+MVTOCT24!T34+MVTNOV24!T34+MVTDEC244!T34</f>
        <v>0</v>
      </c>
      <c r="U35" s="36"/>
      <c r="V35" s="36">
        <f>MVTJANV24!V34+MVTFEV24!V34+MVTMARS24!V34+MVTAVRIL24!V34+MVTMAI24!V34+MVTJUIN24!V34+MVTJUIL24!V34+MVTAOUT24!V34+MVTSEPT24!V34+MVTOCT24!V34+MVTNOV24!V34+MVTDEC244!V34</f>
        <v>0</v>
      </c>
      <c r="W35" s="36">
        <f t="shared" si="1"/>
        <v>1000000</v>
      </c>
      <c r="X35" s="36"/>
      <c r="Y35" s="36"/>
      <c r="Z35" s="36">
        <f>MVTJANV24!Z34+MVTFEV24!Z34+MVTMARS24!Z34+MVTAVRIL24!Z34+MVTMAI24!Z34+MVTJUIN24!Z34+MVTJUIL24!Z34+MVTAOUT24!Z34+MVTSEPT24!Z34+MVTOCT24!Z34+MVTNOV24!Z34+MVTDEC244!Z34</f>
        <v>0</v>
      </c>
      <c r="AA35" s="36">
        <f>MVTJANV24!AA34+MVTFEV24!AA34+MVTMARS24!AA34+MVTAVRIL24!AA34+MVTMAI24!AA34+MVTJUIN24!AA34+MVTJUIL24!AA34+MVTAOUT24!AA34+MVTSEPT24!AA34+MVTOCT24!AA34+MVTNOV24!AA34+MVTDEC244!AA34</f>
        <v>0</v>
      </c>
      <c r="AB35" s="36">
        <f>MVTJANV24!AB34+MVTFEV24!AB34+MVTMARS24!AB34+MVTAVRIL24!AB34+MVTMAI24!AB34+MVTJUIN24!AB34+MVTJUIL24!AB34+MVTAOUT24!AB34+MVTSEPT24!AB34+MVTOCT24!AB34+MVTNOV24!AB34+MVTDEC244!AB34</f>
        <v>0</v>
      </c>
      <c r="AC35" s="36">
        <f>MVTJANV24!AC34+MVTFEV24!AC34+MVTMARS24!AC34+MVTAVRIL24!AC34+MVTMAI24!AC34+MVTJUIN24!AC34+MVTJUIL24!AC34+MVTAOUT24!AC34+MVTSEPT24!AC34+MVTOCT24!AC34+MVTNOV24!AC34+MVTDEC244!AC34</f>
        <v>0</v>
      </c>
      <c r="AD35" s="36">
        <f>MVTJANV24!AD34+MVTFEV24!AD34+MVTMARS24!AD34+MVTAVRIL24!AD34+MVTMAI24!AD34+MVTJUIN24!AD34+MVTJUIL24!AD34+MVTAOUT24!AD34+MVTSEPT24!AD34+MVTOCT24!AD34+MVTNOV24!AD34+MVTDEC244!AD34</f>
        <v>0</v>
      </c>
      <c r="AE35" s="36">
        <f>MVTJANV24!AE34+MVTFEV24!AE34+MVTMARS24!AE34+MVTAVRIL24!AE34+MVTMAI24!AE34+MVTJUIN24!AE34+MVTJUIL24!AE34+MVTAOUT24!AE34+MVTSEPT24!AE34+MVTOCT24!AE34+MVTNOV24!AE34+MVTDEC244!AE34</f>
        <v>140000</v>
      </c>
      <c r="AF35" s="36">
        <f>MVTJANV24!AF34+MVTFEV24!AF34+MVTMARS24!AF34+MVTAVRIL24!AF34+MVTMAI24!AF34+MVTJUIN24!AF34+MVTJUIL24!AF34+MVTAOUT24!AF34+MVTSEPT24!AF34+MVTOCT24!AF34+MVTNOV24!AF34+MVTDEC244!AF34</f>
        <v>0</v>
      </c>
      <c r="AG35" s="36">
        <f>MVTJANV24!AG34+MVTFEV24!AG34+MVTMARS24!AG34+MVTAVRIL24!AG34+MVTMAI24!AG34+MVTJUIN24!AG34+MVTJUIL24!AG34+MVTAOUT24!AG34+MVTSEPT24!AG34+MVTOCT24!AG34+MVTNOV24!AG34+MVTDEC244!AG34</f>
        <v>0</v>
      </c>
      <c r="AH35" s="36">
        <f>MVTJANV24!AH34+MVTFEV24!AH34+MVTMARS24!AH34+MVTAVRIL24!AH34+MVTMAI24!AH34+MVTJUIN24!AH34+MVTJUIL24!AH34+MVTAOUT24!AH34+MVTSEPT24!AH34+MVTOCT24!AH34+MVTNOV24!AH34+MVTDEC244!AH34</f>
        <v>0</v>
      </c>
      <c r="AI35" s="36">
        <f>MVTJANV24!AI34+MVTFEV24!AI34+MVTMARS24!AI34+MVTAVRIL24!AI34+MVTMAI24!AI34+MVTJUIN24!AI34+MVTJUIL24!AI34+MVTAOUT24!AI34+MVTSEPT24!AI34+MVTOCT24!AI34+MVTNOV24!AI34+MVTDEC244!AI34</f>
        <v>0</v>
      </c>
      <c r="AJ35" s="36">
        <f>MVTJANV24!AJ34+MVTFEV24!AJ34+MVTMARS24!AJ34+MVTAVRIL24!AJ34+MVTMAI24!AJ34+MVTJUIN24!AJ34+MVTJUIL24!AJ34+MVTAOUT24!AJ34+MVTSEPT24!AJ34+MVTOCT24!AJ34+MVTNOV24!AJ34+MVTDEC244!AJ34</f>
        <v>0</v>
      </c>
      <c r="AK35" s="36">
        <f>MVTJANV24!AK34+MVTFEV24!AK34+MVTMARS24!AK34+MVTAVRIL24!AK34+MVTMAI24!AK34+MVTJUIN24!AK34+MVTJUIL24!AK34+MVTAOUT24!AK34+MVTSEPT24!AK34+MVTOCT24!AK34+MVTNOV24!AK34+MVTDEC244!AK34</f>
        <v>0</v>
      </c>
      <c r="AL35" s="143"/>
      <c r="AM35" s="144">
        <f t="shared" si="2"/>
        <v>0</v>
      </c>
      <c r="AN35" s="144">
        <f>MVTJANV24!AL34+MVTFEV24!AL34+MVTMARS24!AL34+MVTAVRIL24!AL34+MVTMAI24!AL34+MVTJUIN24!AL34+MVTJUIL24!AL34+MVTAOUT24!AL34+MVTSEPT24!AL34+MVTOCT24!AL34+MVTNOV24!AL34+MVTDEC244!AL34</f>
        <v>0</v>
      </c>
      <c r="AO35" s="144"/>
      <c r="AQ35" s="36"/>
    </row>
    <row r="36" spans="1:43" ht="15.5" x14ac:dyDescent="0.35">
      <c r="A36" s="1" t="s">
        <v>53</v>
      </c>
      <c r="B36" s="1" t="str">
        <f>VLOOKUP(A36,[19]LISTADHERENT!A$5:H$60,3,0)</f>
        <v>TCHOUTOU NANA CLAUDE</v>
      </c>
      <c r="C36" s="36">
        <f>+MVTDEC23!C35</f>
        <v>0</v>
      </c>
      <c r="D36" s="36">
        <f>+MVTDEC23!D35</f>
        <v>103000</v>
      </c>
      <c r="E36" s="36">
        <f>VLOOKUP($A36,[29]HISTOJANV24!$A$6:$BA$38,48,0)</f>
        <v>0</v>
      </c>
      <c r="F36" s="36">
        <f>MVTDEC244!F35</f>
        <v>631750</v>
      </c>
      <c r="G36" s="5">
        <f>MVTDEC244!G35</f>
        <v>0</v>
      </c>
      <c r="H36" s="36">
        <f>MVTDEC23!H35+MVTJANV24!H35+MVTFEV24!H35+MVTMARS24!H35+MVTAVRIL24!H35+MVTMAI24!H35+MVTJUIN24!H35+MVTJUIL24!H35+MVTAOUT24!H35+MVTSEPT24!H35+MVTOCT24!H35+MVTNOV24!H35+MVTDEC244!H35</f>
        <v>0</v>
      </c>
      <c r="I36" s="6">
        <f t="shared" si="0"/>
        <v>631750</v>
      </c>
      <c r="J36" s="36">
        <f>MVTJANV24!J35+MVTFEV24!J35+MVTMARS24!J35+MVTAVRIL24!J35+MVTMAI24!J35+MVTJUIN24!J35+MVTJUIL24!J35+MVTAOUT24!J35+MVTSEPT24!J35+MVTOCT24!J35+MVTNOV24!J35+MVTDEC244!J35</f>
        <v>0</v>
      </c>
      <c r="K36" s="36">
        <f>MVTJANV24!K35+MVTFEV24!K35+MVTMARS24!K35+MVTAVRIL24!K35+MVTMAI24!K35+MVTJUIN24!K35+MVTJUIL24!K35+MVTAOUT24!K35+MVTSEPT24!K35+MVTOCT24!K35+MVTNOV24!K35+MVTDEC244!K35</f>
        <v>600750</v>
      </c>
      <c r="L36" s="36">
        <f>MVTJANV24!L35+MVTFEV24!L35+MVTMARS24!L35+MVTAVRIL24!L35+MVTMAI24!L35+MVTJUIN24!L35+MVTJUIL24!L35+MVTAOUT24!L35+MVTSEPT24!L35+MVTOCT24!L35+MVTNOV24!L35+MVTDEC244!L35</f>
        <v>528750</v>
      </c>
      <c r="M36" s="36">
        <f>MVTJANV24!M35+MVTFEV24!M35+MVTMARS24!M35+MVTAVRIL24!M35+MVTMAI24!M35+MVTJUIN24!M35+MVTJUIL24!M35+MVTAOUT24!M35+MVTSEPT24!M35+MVTOCT24!M35+MVTNOV24!M35+MVTDEC244!M35</f>
        <v>12000</v>
      </c>
      <c r="N36" s="36">
        <f>MVTJANV24!N35+MVTFEV24!N35+MVTMARS24!N35+MVTAVRIL24!N35+MVTMAI24!N35+MVTJUIN24!N35+MVTJUIL24!N35+MVTAOUT24!N35+MVTSEPT24!N35+MVTOCT24!N35+MVTNOV24!N35+MVTDEC244!N35</f>
        <v>12000</v>
      </c>
      <c r="O36" s="36">
        <f>MVTJANV24!O35+MVTFEV24!O35+MVTMARS24!O35+MVTAVRIL24!O35+MVTMAI24!O35+MVTJUIN24!O35+MVTJUIL24!O35+MVTAOUT24!O35+MVTSEPT24!O35+MVTOCT24!O35+MVTNOV24!O35+MVTDEC244!O35</f>
        <v>48000</v>
      </c>
      <c r="P36" s="36">
        <f>MVTJANV24!P35+MVTFEV24!P35+MVTMARS24!P35+MVTAVRIL24!P35+MVTMAI24!P35+MVTJUIN24!P35+MVTJUIL24!P35+MVTAOUT24!P35+MVTSEPT24!P35+MVTOCT24!P35+MVTNOV24!P35+MVTDEC244!P35</f>
        <v>3000</v>
      </c>
      <c r="Q36" s="36">
        <f>MVTJANV24!Q35+MVTFEV24!Q35+MVTMARS24!Q35+MVTAVRIL24!Q35+MVTMAI24!Q35+MVTJUIN24!Q35+MVTJUIL24!Q35+MVTAOUT24!Q35+MVTSEPT24!Q35+MVTOCT24!Q35+MVTNOV24!Q35+MVTDEC244!Q35</f>
        <v>0</v>
      </c>
      <c r="R36" s="36">
        <f>MVTJANV24!R35+MVTFEV24!R35+MVTMARS24!R35+MVTAVRIL24!R35+MVTMAI24!R35+MVTJUIN24!R35+MVTJUIL24!R35+MVTAOUT24!R35+MVTSEPT24!R35+MVTOCT24!R35+MVTNOV24!R35+MVTDEC244!R35</f>
        <v>0</v>
      </c>
      <c r="S36" s="36">
        <f>MVTDEC23!S35+MVTJANV24!S35+MVTFEV24!S35+MVTMARS24!S35+MVTAVRIL24!S35+MVTMAI24!S35+MVTJUIN24!S35+MVTJUIL24!S35+MVTAOUT24!S35+MVTSEPT24!S35+MVTOCT24!S35+MVTNOV24!S35+MVTDEC244!S35</f>
        <v>0</v>
      </c>
      <c r="T36" s="36">
        <f>MVTDEC23!T35+MVTJANV24!T35+MVTFEV24!T35+MVTMARS24!T35+MVTAVRIL24!T35+MVTMAI24!T35+MVTJUIN24!T35+MVTJUIL24!T35+MVTAOUT24!T35+MVTSEPT24!T35+MVTOCT24!T35+MVTNOV24!T35+MVTDEC244!T35</f>
        <v>0</v>
      </c>
      <c r="U36" s="36"/>
      <c r="V36" s="36">
        <f>MVTJANV24!V35+MVTFEV24!V35+MVTMARS24!V35+MVTAVRIL24!V35+MVTMAI24!V35+MVTJUIN24!V35+MVTJUIL24!V35+MVTAOUT24!V35+MVTSEPT24!V35+MVTOCT24!V35+MVTNOV24!V35+MVTDEC244!V35</f>
        <v>0</v>
      </c>
      <c r="W36" s="36">
        <f t="shared" si="1"/>
        <v>0</v>
      </c>
      <c r="X36" s="36"/>
      <c r="Y36" s="36"/>
      <c r="Z36" s="36">
        <f>MVTJANV24!Z35+MVTFEV24!Z35+MVTMARS24!Z35+MVTAVRIL24!Z35+MVTMAI24!Z35+MVTJUIN24!Z35+MVTJUIL24!Z35+MVTAOUT24!Z35+MVTSEPT24!Z35+MVTOCT24!Z35+MVTNOV24!Z35+MVTDEC244!Z35</f>
        <v>0</v>
      </c>
      <c r="AA36" s="36">
        <f>MVTJANV24!AA35+MVTFEV24!AA35+MVTMARS24!AA35+MVTAVRIL24!AA35+MVTMAI24!AA35+MVTJUIN24!AA35+MVTJUIL24!AA35+MVTAOUT24!AA35+MVTSEPT24!AA35+MVTOCT24!AA35+MVTNOV24!AA35+MVTDEC244!AA35</f>
        <v>0</v>
      </c>
      <c r="AB36" s="36">
        <f>MVTJANV24!AB35+MVTFEV24!AB35+MVTMARS24!AB35+MVTAVRIL24!AB35+MVTMAI24!AB35+MVTJUIN24!AB35+MVTJUIL24!AB35+MVTAOUT24!AB35+MVTSEPT24!AB35+MVTOCT24!AB35+MVTNOV24!AB35+MVTDEC244!AB35</f>
        <v>0</v>
      </c>
      <c r="AC36" s="36">
        <f>MVTJANV24!AC35+MVTFEV24!AC35+MVTMARS24!AC35+MVTAVRIL24!AC35+MVTMAI24!AC35+MVTJUIN24!AC35+MVTJUIL24!AC35+MVTAOUT24!AC35+MVTSEPT24!AC35+MVTOCT24!AC35+MVTNOV24!AC35+MVTDEC244!AC35</f>
        <v>3750</v>
      </c>
      <c r="AD36" s="36">
        <f>MVTJANV24!AD35+MVTFEV24!AD35+MVTMARS24!AD35+MVTAVRIL24!AD35+MVTMAI24!AD35+MVTJUIN24!AD35+MVTJUIL24!AD35+MVTAOUT24!AD35+MVTSEPT24!AD35+MVTOCT24!AD35+MVTNOV24!AD35+MVTDEC244!AD35</f>
        <v>0</v>
      </c>
      <c r="AE36" s="36">
        <f>MVTJANV24!AE35+MVTFEV24!AE35+MVTMARS24!AE35+MVTAVRIL24!AE35+MVTMAI24!AE35+MVTJUIN24!AE35+MVTJUIL24!AE35+MVTAOUT24!AE35+MVTSEPT24!AE35+MVTOCT24!AE35+MVTNOV24!AE35+MVTDEC244!AE35</f>
        <v>0</v>
      </c>
      <c r="AF36" s="36">
        <f>MVTJANV24!AF35+MVTFEV24!AF35+MVTMARS24!AF35+MVTAVRIL24!AF35+MVTMAI24!AF35+MVTJUIN24!AF35+MVTJUIL24!AF35+MVTAOUT24!AF35+MVTSEPT24!AF35+MVTOCT24!AF35+MVTNOV24!AF35+MVTDEC244!AF35</f>
        <v>0</v>
      </c>
      <c r="AG36" s="36">
        <f>MVTJANV24!AG35+MVTFEV24!AG35+MVTMARS24!AG35+MVTAVRIL24!AG35+MVTMAI24!AG35+MVTJUIN24!AG35+MVTJUIL24!AG35+MVTAOUT24!AG35+MVTSEPT24!AG35+MVTOCT24!AG35+MVTNOV24!AG35+MVTDEC244!AG35</f>
        <v>0</v>
      </c>
      <c r="AH36" s="36">
        <f>MVTJANV24!AH35+MVTFEV24!AH35+MVTMARS24!AH35+MVTAVRIL24!AH35+MVTMAI24!AH35+MVTJUIN24!AH35+MVTJUIL24!AH35+MVTAOUT24!AH35+MVTSEPT24!AH35+MVTOCT24!AH35+MVTNOV24!AH35+MVTDEC244!AH35</f>
        <v>0</v>
      </c>
      <c r="AI36" s="36">
        <f>MVTJANV24!AI35+MVTFEV24!AI35+MVTMARS24!AI35+MVTAVRIL24!AI35+MVTMAI24!AI35+MVTJUIN24!AI35+MVTJUIL24!AI35+MVTAOUT24!AI35+MVTSEPT24!AI35+MVTOCT24!AI35+MVTNOV24!AI35+MVTDEC244!AI35</f>
        <v>0</v>
      </c>
      <c r="AJ36" s="36">
        <f>MVTJANV24!AJ35+MVTFEV24!AJ35+MVTMARS24!AJ35+MVTAVRIL24!AJ35+MVTMAI24!AJ35+MVTJUIN24!AJ35+MVTJUIL24!AJ35+MVTAOUT24!AJ35+MVTSEPT24!AJ35+MVTOCT24!AJ35+MVTNOV24!AJ35+MVTDEC244!AJ35</f>
        <v>0</v>
      </c>
      <c r="AK36" s="36">
        <f>MVTJANV24!AK35+MVTFEV24!AK35+MVTMARS24!AK35+MVTAVRIL24!AK35+MVTMAI24!AK35+MVTJUIN24!AK35+MVTJUIL24!AK35+MVTAOUT24!AK35+MVTSEPT24!AK35+MVTOCT24!AK35+MVTNOV24!AK35+MVTDEC244!AK35</f>
        <v>0</v>
      </c>
      <c r="AL36" s="143"/>
      <c r="AM36" s="144">
        <f t="shared" si="2"/>
        <v>0</v>
      </c>
      <c r="AN36" s="144">
        <f>MVTJANV24!AL35+MVTFEV24!AL35+MVTMARS24!AL35+MVTAVRIL24!AL35+MVTMAI24!AL35+MVTJUIN24!AL35+MVTJUIL24!AL35+MVTAOUT24!AL35+MVTSEPT24!AL35+MVTOCT24!AL35+MVTNOV24!AL35+MVTDEC244!AL35</f>
        <v>0</v>
      </c>
      <c r="AO36" s="144"/>
      <c r="AQ36" s="36"/>
    </row>
    <row r="37" spans="1:43" ht="15.5" x14ac:dyDescent="0.35">
      <c r="A37" s="1" t="s">
        <v>313</v>
      </c>
      <c r="B37" s="1" t="str">
        <f>VLOOKUP(A37,[19]LISTADHERENT!A$5:H$60,3,0)</f>
        <v>YANTCHOU GERVAIS</v>
      </c>
      <c r="C37" s="36"/>
      <c r="D37" s="36">
        <f>+MVTDEC23!D36+698024</f>
        <v>1396048</v>
      </c>
      <c r="E37" s="36">
        <f>VLOOKUP($A37,[29]HISTOJANV24!$A$6:$BA$38,48,0)</f>
        <v>0</v>
      </c>
      <c r="F37" s="36">
        <f>MVTDEC244!F36</f>
        <v>1094230.7829868733</v>
      </c>
      <c r="G37" s="5">
        <f>MVTDEC244!G36</f>
        <v>1094230.7829868733</v>
      </c>
      <c r="H37" s="36">
        <f>MVTDEC23!H36+MVTJANV24!H36+MVTFEV24!H36+MVTMARS24!H36+MVTAVRIL24!H36+MVTMAI24!H36+MVTJUIN24!H36+MVTJUIL24!H36+MVTAOUT24!H36+MVTSEPT24!H36+MVTOCT24!H36+MVTNOV24!H36+MVTDEC244!H36</f>
        <v>62683.368865772507</v>
      </c>
      <c r="I37" s="6">
        <f t="shared" si="0"/>
        <v>1156914.1518526459</v>
      </c>
      <c r="J37" s="36">
        <f>MVTJANV24!J36+MVTFEV24!J36+MVTMARS24!J36+MVTAVRIL24!J36+MVTMAI24!J36+MVTJUIN24!J36+MVTJUIL24!J36+MVTAOUT24!J36+MVTSEPT24!J36+MVTOCT24!J36+MVTNOV24!J36+MVTDEC244!J36</f>
        <v>0</v>
      </c>
      <c r="K37" s="36">
        <f>MVTJANV24!K36+MVTFEV24!K36+MVTMARS24!K36+MVTAVRIL24!K36+MVTMAI24!K36+MVTJUIN24!K36+MVTJUIL24!K36+MVTAOUT24!K36+MVTSEPT24!K36+MVTOCT24!K36+MVTNOV24!K36+MVTDEC244!K36</f>
        <v>410000</v>
      </c>
      <c r="L37" s="36">
        <f>MVTJANV24!L36+MVTFEV24!L36+MVTMARS24!L36+MVTAVRIL24!L36+MVTMAI24!L36+MVTJUIN24!L36+MVTJUIL24!L36+MVTAOUT24!L36+MVTSEPT24!L36+MVTOCT24!L36+MVTNOV24!L36+MVTDEC244!L36</f>
        <v>338000</v>
      </c>
      <c r="M37" s="36">
        <f>MVTJANV24!M36+MVTFEV24!M36+MVTMARS24!M36+MVTAVRIL24!M36+MVTMAI24!M36+MVTJUIN24!M36+MVTJUIL24!M36+MVTAOUT24!M36+MVTSEPT24!M36+MVTOCT24!M36+MVTNOV24!M36+MVTDEC244!M36</f>
        <v>12000</v>
      </c>
      <c r="N37" s="36">
        <f>MVTJANV24!N36+MVTFEV24!N36+MVTMARS24!N36+MVTAVRIL24!N36+MVTMAI24!N36+MVTJUIN24!N36+MVTJUIL24!N36+MVTAOUT24!N36+MVTSEPT24!N36+MVTOCT24!N36+MVTNOV24!N36+MVTDEC244!N36</f>
        <v>12000</v>
      </c>
      <c r="O37" s="36">
        <f>MVTJANV24!O36+MVTFEV24!O36+MVTMARS24!O36+MVTAVRIL24!O36+MVTMAI24!O36+MVTJUIN24!O36+MVTJUIL24!O36+MVTAOUT24!O36+MVTSEPT24!O36+MVTOCT24!O36+MVTNOV24!O36+MVTDEC244!O36</f>
        <v>48000</v>
      </c>
      <c r="P37" s="36">
        <f>MVTJANV24!P36+MVTFEV24!P36+MVTMARS24!P36+MVTAVRIL24!P36+MVTMAI24!P36+MVTJUIN24!P36+MVTJUIL24!P36+MVTAOUT24!P36+MVTSEPT24!P36+MVTOCT24!P36+MVTNOV24!P36+MVTDEC244!P36</f>
        <v>0</v>
      </c>
      <c r="Q37" s="36">
        <f>MVTJANV24!Q36+MVTFEV24!Q36+MVTMARS24!Q36+MVTAVRIL24!Q36+MVTMAI24!Q36+MVTJUIN24!Q36+MVTJUIL24!Q36+MVTAOUT24!Q36+MVTSEPT24!Q36+MVTOCT24!Q36+MVTNOV24!Q36+MVTDEC244!Q36</f>
        <v>0</v>
      </c>
      <c r="R37" s="36">
        <f>MVTJANV24!R36+MVTFEV24!R36+MVTMARS24!R36+MVTAVRIL24!R36+MVTMAI24!R36+MVTJUIN24!R36+MVTJUIL24!R36+MVTAOUT24!R36+MVTSEPT24!R36+MVTOCT24!R36+MVTNOV24!R36+MVTDEC244!R36</f>
        <v>0</v>
      </c>
      <c r="S37" s="36">
        <f>MVTDEC23!S36+MVTJANV24!S36+MVTFEV24!S36+MVTMARS24!S36+MVTAVRIL24!S36+MVTMAI24!S36+MVTJUIN24!S36+MVTJUIL24!S36+MVTAOUT24!S36+MVTSEPT24!S36+MVTOCT24!S36+MVTNOV24!S36+MVTDEC244!S36</f>
        <v>1700000</v>
      </c>
      <c r="T37" s="36">
        <f>MVTDEC23!T36+MVTJANV24!T36+MVTFEV24!T36+MVTMARS24!T36+MVTAVRIL24!T36+MVTMAI24!T36+MVTJUIN24!T36+MVTJUIL24!T36+MVTAOUT24!T36+MVTSEPT24!T36+MVTOCT24!T36+MVTNOV24!T36+MVTDEC244!T36</f>
        <v>84000</v>
      </c>
      <c r="U37" s="36"/>
      <c r="V37" s="36">
        <f>MVTJANV24!V36+MVTFEV24!V36+MVTMARS24!V36+MVTAVRIL24!V36+MVTMAI24!V36+MVTJUIN24!V36+MVTJUIL24!V36+MVTAOUT24!V36+MVTSEPT24!V36+MVTOCT24!V36+MVTNOV24!V36+MVTDEC244!V36</f>
        <v>597500</v>
      </c>
      <c r="W37" s="36">
        <f t="shared" si="1"/>
        <v>1102500</v>
      </c>
      <c r="X37" s="36"/>
      <c r="Y37" s="36"/>
      <c r="Z37" s="36">
        <f>MVTJANV24!Z36+MVTFEV24!Z36+MVTMARS24!Z36+MVTAVRIL24!Z36+MVTMAI24!Z36+MVTJUIN24!Z36+MVTJUIL24!Z36+MVTAOUT24!Z36+MVTSEPT24!Z36+MVTOCT24!Z36+MVTNOV24!Z36+MVTDEC244!Z36</f>
        <v>0</v>
      </c>
      <c r="AA37" s="36">
        <f>MVTJANV24!AA36+MVTFEV24!AA36+MVTMARS24!AA36+MVTAVRIL24!AA36+MVTMAI24!AA36+MVTJUIN24!AA36+MVTJUIL24!AA36+MVTAOUT24!AA36+MVTSEPT24!AA36+MVTOCT24!AA36+MVTNOV24!AA36+MVTDEC244!AA36</f>
        <v>0</v>
      </c>
      <c r="AB37" s="36">
        <f>MVTJANV24!AB36+MVTFEV24!AB36+MVTMARS24!AB36+MVTAVRIL24!AB36+MVTMAI24!AB36+MVTJUIN24!AB36+MVTJUIL24!AB36+MVTAOUT24!AB36+MVTSEPT24!AB36+MVTOCT24!AB36+MVTNOV24!AB36+MVTDEC244!AB36</f>
        <v>0</v>
      </c>
      <c r="AC37" s="36">
        <f>MVTJANV24!AC36+MVTFEV24!AC36+MVTMARS24!AC36+MVTAVRIL24!AC36+MVTMAI24!AC36+MVTJUIN24!AC36+MVTJUIL24!AC36+MVTAOUT24!AC36+MVTSEPT24!AC36+MVTOCT24!AC36+MVTNOV24!AC36+MVTDEC244!AC36</f>
        <v>0</v>
      </c>
      <c r="AD37" s="36">
        <f>MVTJANV24!AD36+MVTFEV24!AD36+MVTMARS24!AD36+MVTAVRIL24!AD36+MVTMAI24!AD36+MVTJUIN24!AD36+MVTJUIL24!AD36+MVTAOUT24!AD36+MVTSEPT24!AD36+MVTOCT24!AD36+MVTNOV24!AD36+MVTDEC244!AD36</f>
        <v>0</v>
      </c>
      <c r="AE37" s="36">
        <f>MVTJANV24!AE36+MVTFEV24!AE36+MVTMARS24!AE36+MVTAVRIL24!AE36+MVTMAI24!AE36+MVTJUIN24!AE36+MVTJUIL24!AE36+MVTAOUT24!AE36+MVTSEPT24!AE36+MVTOCT24!AE36+MVTNOV24!AE36+MVTDEC244!AE36</f>
        <v>0</v>
      </c>
      <c r="AF37" s="36">
        <f>MVTJANV24!AF36+MVTFEV24!AF36+MVTMARS24!AF36+MVTAVRIL24!AF36+MVTMAI24!AF36+MVTJUIN24!AF36+MVTJUIL24!AF36+MVTAOUT24!AF36+MVTSEPT24!AF36+MVTOCT24!AF36+MVTNOV24!AF36+MVTDEC244!AF36</f>
        <v>0</v>
      </c>
      <c r="AG37" s="36">
        <f>MVTJANV24!AG36+MVTFEV24!AG36+MVTMARS24!AG36+MVTAVRIL24!AG36+MVTMAI24!AG36+MVTJUIN24!AG36+MVTJUIL24!AG36+MVTAOUT24!AG36+MVTSEPT24!AG36+MVTOCT24!AG36+MVTNOV24!AG36+MVTDEC244!AG36</f>
        <v>0</v>
      </c>
      <c r="AH37" s="36">
        <f>MVTJANV24!AH36+MVTFEV24!AH36+MVTMARS24!AH36+MVTAVRIL24!AH36+MVTMAI24!AH36+MVTJUIN24!AH36+MVTJUIL24!AH36+MVTAOUT24!AH36+MVTSEPT24!AH36+MVTOCT24!AH36+MVTNOV24!AH36+MVTDEC244!AH36</f>
        <v>0</v>
      </c>
      <c r="AI37" s="36">
        <f>MVTJANV24!AI36+MVTFEV24!AI36+MVTMARS24!AI36+MVTAVRIL24!AI36+MVTMAI24!AI36+MVTJUIN24!AI36+MVTJUIL24!AI36+MVTAOUT24!AI36+MVTSEPT24!AI36+MVTOCT24!AI36+MVTNOV24!AI36+MVTDEC244!AI36</f>
        <v>100000</v>
      </c>
      <c r="AJ37" s="36">
        <f>MVTJANV24!AJ36+MVTFEV24!AJ36+MVTMARS24!AJ36+MVTAVRIL24!AJ36+MVTMAI24!AJ36+MVTJUIN24!AJ36+MVTJUIL24!AJ36+MVTAOUT24!AJ36+MVTSEPT24!AJ36+MVTOCT24!AJ36+MVTNOV24!AJ36+MVTDEC244!AJ36</f>
        <v>0</v>
      </c>
      <c r="AK37" s="36">
        <f>MVTJANV24!AK36+MVTFEV24!AK36+MVTMARS24!AK36+MVTAVRIL24!AK36+MVTMAI24!AK36+MVTJUIN24!AK36+MVTJUIL24!AK36+MVTAOUT24!AK36+MVTSEPT24!AK36+MVTOCT24!AK36+MVTNOV24!AK36+MVTDEC244!AK36</f>
        <v>0</v>
      </c>
      <c r="AL37" s="143"/>
      <c r="AM37" s="144">
        <f t="shared" si="2"/>
        <v>84000</v>
      </c>
      <c r="AN37" s="144">
        <f>MVTJANV24!AL36+MVTFEV24!AL36+MVTMARS24!AL36+MVTAVRIL24!AL36+MVTMAI24!AL36+MVTJUIN24!AL36+MVTJUIL24!AL36+MVTAOUT24!AL36+MVTSEPT24!AL36+MVTOCT24!AL36+MVTNOV24!AL36+MVTDEC244!AL36</f>
        <v>0</v>
      </c>
      <c r="AO37" s="144"/>
      <c r="AQ37" s="36"/>
    </row>
    <row r="38" spans="1:43" ht="15.5" x14ac:dyDescent="0.35">
      <c r="A38" s="1" t="s">
        <v>55</v>
      </c>
      <c r="B38" s="1" t="str">
        <f>VLOOKUP(A38,[19]LISTADHERENT!A$5:H$60,3,0)</f>
        <v>YEPMOU JEAN JACQUES</v>
      </c>
      <c r="C38" s="36">
        <f>+MVTDEC23!C37</f>
        <v>700000</v>
      </c>
      <c r="D38" s="36">
        <f>+MVTDEC23!D37</f>
        <v>1003326.8477058813</v>
      </c>
      <c r="E38" s="36">
        <f>VLOOKUP($A38,[29]HISTOJANV24!$A$6:$BA$38,48,0)</f>
        <v>0</v>
      </c>
      <c r="F38" s="36">
        <f>MVTDEC244!F37</f>
        <v>2068175.8832408788</v>
      </c>
      <c r="G38" s="5">
        <f>MVTDEC244!G37</f>
        <v>2068175.8832408788</v>
      </c>
      <c r="H38" s="36">
        <f>MVTDEC23!H37+MVTJANV24!H37+MVTFEV24!H37+MVTMARS24!H37+MVTAVRIL24!H37+MVTMAI24!H37+MVTJUIN24!H37+MVTJUIL24!H37+MVTAOUT24!H37+MVTSEPT24!H37+MVTOCT24!H37+MVTNOV24!H37+MVTDEC244!H37</f>
        <v>145310.10891910025</v>
      </c>
      <c r="I38" s="6">
        <f t="shared" si="0"/>
        <v>2213485.992159979</v>
      </c>
      <c r="J38" s="36">
        <f>MVTJANV24!J37+MVTFEV24!J37+MVTMARS24!J37+MVTAVRIL24!J37+MVTMAI24!J37+MVTJUIN24!J37+MVTJUIL24!J37+MVTAOUT24!J37+MVTSEPT24!J37+MVTOCT24!J37+MVTNOV24!J37+MVTDEC244!J37</f>
        <v>0</v>
      </c>
      <c r="K38" s="36">
        <f>MVTJANV24!K37+MVTFEV24!K37+MVTMARS24!K37+MVTAVRIL24!K37+MVTMAI24!K37+MVTJUIN24!K37+MVTJUIL24!K37+MVTAOUT24!K37+MVTSEPT24!K37+MVTOCT24!K37+MVTNOV24!K37+MVTDEC244!K37</f>
        <v>300000</v>
      </c>
      <c r="L38" s="36">
        <f>MVTJANV24!L37+MVTFEV24!L37+MVTMARS24!L37+MVTAVRIL24!L37+MVTMAI24!L37+MVTJUIN24!L37+MVTJUIL24!L37+MVTAOUT24!L37+MVTSEPT24!L37+MVTOCT24!L37+MVTNOV24!L37+MVTDEC244!L37</f>
        <v>228000</v>
      </c>
      <c r="M38" s="36">
        <f>MVTJANV24!M37+MVTFEV24!M37+MVTMARS24!M37+MVTAVRIL24!M37+MVTMAI24!M37+MVTJUIN24!M37+MVTJUIL24!M37+MVTAOUT24!M37+MVTSEPT24!M37+MVTOCT24!M37+MVTNOV24!M37+MVTDEC244!M37</f>
        <v>12000</v>
      </c>
      <c r="N38" s="36">
        <f>MVTJANV24!N37+MVTFEV24!N37+MVTMARS24!N37+MVTAVRIL24!N37+MVTMAI24!N37+MVTJUIN24!N37+MVTJUIL24!N37+MVTAOUT24!N37+MVTSEPT24!N37+MVTOCT24!N37+MVTNOV24!N37+MVTDEC244!N37</f>
        <v>12000</v>
      </c>
      <c r="O38" s="36">
        <f>MVTJANV24!O37+MVTFEV24!O37+MVTMARS24!O37+MVTAVRIL24!O37+MVTMAI24!O37+MVTJUIN24!O37+MVTJUIL24!O37+MVTAOUT24!O37+MVTSEPT24!O37+MVTOCT24!O37+MVTNOV24!O37+MVTDEC244!O37</f>
        <v>48000</v>
      </c>
      <c r="P38" s="36">
        <f>MVTJANV24!P37+MVTFEV24!P37+MVTMARS24!P37+MVTAVRIL24!P37+MVTMAI24!P37+MVTJUIN24!P37+MVTJUIL24!P37+MVTAOUT24!P37+MVTSEPT24!P37+MVTOCT24!P37+MVTNOV24!P37+MVTDEC244!P37</f>
        <v>3000</v>
      </c>
      <c r="Q38" s="36">
        <f>MVTJANV24!Q37+MVTFEV24!Q37+MVTMARS24!Q37+MVTAVRIL24!Q37+MVTMAI24!Q37+MVTJUIN24!Q37+MVTJUIL24!Q37+MVTAOUT24!Q37+MVTSEPT24!Q37+MVTOCT24!Q37+MVTNOV24!Q37+MVTDEC244!Q37</f>
        <v>0</v>
      </c>
      <c r="R38" s="36">
        <f>MVTJANV24!R37+MVTFEV24!R37+MVTMARS24!R37+MVTAVRIL24!R37+MVTMAI24!R37+MVTJUIN24!R37+MVTJUIL24!R37+MVTAOUT24!R37+MVTSEPT24!R37+MVTOCT24!R37+MVTNOV24!R37+MVTDEC244!R37</f>
        <v>0</v>
      </c>
      <c r="S38" s="36">
        <f>MVTDEC23!S37+MVTJANV24!S37+MVTFEV24!S37+MVTMARS24!S37+MVTAVRIL24!S37+MVTMAI24!S37+MVTJUIN24!S37+MVTJUIL24!S37+MVTAOUT24!S37+MVTSEPT24!S37+MVTOCT24!S37+MVTNOV24!S37+MVTDEC244!S37</f>
        <v>0</v>
      </c>
      <c r="T38" s="36">
        <f>MVTDEC23!T37+MVTJANV24!T37+MVTFEV24!T37+MVTMARS24!T37+MVTAVRIL24!T37+MVTMAI24!T37+MVTJUIN24!T37+MVTJUIL24!T37+MVTAOUT24!T37+MVTSEPT24!T37+MVTOCT24!T37+MVTNOV24!T37+MVTDEC244!T37</f>
        <v>0</v>
      </c>
      <c r="U38" s="36"/>
      <c r="V38" s="36">
        <f>MVTJANV24!V37+MVTFEV24!V37+MVTMARS24!V37+MVTAVRIL24!V37+MVTMAI24!V37+MVTJUIN24!V37+MVTJUIL24!V37+MVTAOUT24!V37+MVTSEPT24!V37+MVTOCT24!V37+MVTNOV24!V37+MVTDEC244!V37</f>
        <v>0</v>
      </c>
      <c r="W38" s="36">
        <f t="shared" si="1"/>
        <v>0</v>
      </c>
      <c r="X38" s="36"/>
      <c r="Y38" s="36"/>
      <c r="Z38" s="36">
        <f>MVTJANV24!Z37+MVTFEV24!Z37+MVTMARS24!Z37+MVTAVRIL24!Z37+MVTMAI24!Z37+MVTJUIN24!Z37+MVTJUIL24!Z37+MVTAOUT24!Z37+MVTSEPT24!Z37+MVTOCT24!Z37+MVTNOV24!Z37+MVTDEC244!Z37</f>
        <v>0</v>
      </c>
      <c r="AA38" s="36">
        <f>MVTJANV24!AA37+MVTFEV24!AA37+MVTMARS24!AA37+MVTAVRIL24!AA37+MVTMAI24!AA37+MVTJUIN24!AA37+MVTJUIL24!AA37+MVTAOUT24!AA37+MVTSEPT24!AA37+MVTOCT24!AA37+MVTNOV24!AA37+MVTDEC244!AA37</f>
        <v>0</v>
      </c>
      <c r="AB38" s="36">
        <f>MVTJANV24!AB37+MVTFEV24!AB37+MVTMARS24!AB37+MVTAVRIL24!AB37+MVTMAI24!AB37+MVTJUIN24!AB37+MVTJUIL24!AB37+MVTAOUT24!AB37+MVTSEPT24!AB37+MVTOCT24!AB37+MVTNOV24!AB37+MVTDEC244!AB37</f>
        <v>0</v>
      </c>
      <c r="AC38" s="36">
        <f>MVTJANV24!AC37+MVTFEV24!AC37+MVTMARS24!AC37+MVTAVRIL24!AC37+MVTMAI24!AC37+MVTJUIN24!AC37+MVTJUIL24!AC37+MVTAOUT24!AC37+MVTSEPT24!AC37+MVTOCT24!AC37+MVTNOV24!AC37+MVTDEC244!AC37</f>
        <v>0</v>
      </c>
      <c r="AD38" s="36">
        <f>MVTJANV24!AD37+MVTFEV24!AD37+MVTMARS24!AD37+MVTAVRIL24!AD37+MVTMAI24!AD37+MVTJUIN24!AD37+MVTJUIL24!AD37+MVTAOUT24!AD37+MVTSEPT24!AD37+MVTOCT24!AD37+MVTNOV24!AD37+MVTDEC244!AD37</f>
        <v>0</v>
      </c>
      <c r="AE38" s="36">
        <f>MVTJANV24!AE37+MVTFEV24!AE37+MVTMARS24!AE37+MVTAVRIL24!AE37+MVTMAI24!AE37+MVTJUIN24!AE37+MVTJUIL24!AE37+MVTAOUT24!AE37+MVTSEPT24!AE37+MVTOCT24!AE37+MVTNOV24!AE37+MVTDEC244!AE37</f>
        <v>0</v>
      </c>
      <c r="AF38" s="36">
        <f>MVTJANV24!AF37+MVTFEV24!AF37+MVTMARS24!AF37+MVTAVRIL24!AF37+MVTMAI24!AF37+MVTJUIN24!AF37+MVTJUIL24!AF37+MVTAOUT24!AF37+MVTSEPT24!AF37+MVTOCT24!AF37+MVTNOV24!AF37+MVTDEC244!AF37</f>
        <v>0</v>
      </c>
      <c r="AG38" s="36">
        <f>MVTJANV24!AG37+MVTFEV24!AG37+MVTMARS24!AG37+MVTAVRIL24!AG37+MVTMAI24!AG37+MVTJUIN24!AG37+MVTJUIL24!AG37+MVTAOUT24!AG37+MVTSEPT24!AG37+MVTOCT24!AG37+MVTNOV24!AG37+MVTDEC244!AG37</f>
        <v>0</v>
      </c>
      <c r="AH38" s="36">
        <f>MVTJANV24!AH37+MVTFEV24!AH37+MVTMARS24!AH37+MVTAVRIL24!AH37+MVTMAI24!AH37+MVTJUIN24!AH37+MVTJUIL24!AH37+MVTAOUT24!AH37+MVTSEPT24!AH37+MVTOCT24!AH37+MVTNOV24!AH37+MVTDEC244!AH37</f>
        <v>0</v>
      </c>
      <c r="AI38" s="36">
        <f>MVTJANV24!AI37+MVTFEV24!AI37+MVTMARS24!AI37+MVTAVRIL24!AI37+MVTMAI24!AI37+MVTJUIN24!AI37+MVTJUIL24!AI37+MVTAOUT24!AI37+MVTSEPT24!AI37+MVTOCT24!AI37+MVTNOV24!AI37+MVTDEC244!AI37</f>
        <v>100000</v>
      </c>
      <c r="AJ38" s="36">
        <f>MVTJANV24!AJ37+MVTFEV24!AJ37+MVTMARS24!AJ37+MVTAVRIL24!AJ37+MVTMAI24!AJ37+MVTJUIN24!AJ37+MVTJUIL24!AJ37+MVTAOUT24!AJ37+MVTSEPT24!AJ37+MVTOCT24!AJ37+MVTNOV24!AJ37+MVTDEC244!AJ37</f>
        <v>0</v>
      </c>
      <c r="AK38" s="36">
        <f>MVTJANV24!AK37+MVTFEV24!AK37+MVTMARS24!AK37+MVTAVRIL24!AK37+MVTMAI24!AK37+MVTJUIN24!AK37+MVTJUIL24!AK37+MVTAOUT24!AK37+MVTSEPT24!AK37+MVTOCT24!AK37+MVTNOV24!AK37+MVTDEC244!AK37</f>
        <v>0</v>
      </c>
      <c r="AL38" s="36"/>
      <c r="AM38" s="144">
        <f t="shared" si="2"/>
        <v>0</v>
      </c>
      <c r="AN38" s="144">
        <f>MVTJANV24!AL37+MVTFEV24!AL37+MVTMARS24!AL37+MVTAVRIL24!AL37+MVTMAI24!AL37+MVTJUIN24!AL37+MVTJUIL24!AL37+MVTAOUT24!AL37+MVTSEPT24!AL37+MVTOCT24!AL37+MVTNOV24!AL37+MVTDEC244!AL37</f>
        <v>0</v>
      </c>
      <c r="AO38" s="36"/>
      <c r="AP38" s="36"/>
      <c r="AQ38" s="36"/>
    </row>
    <row r="39" spans="1:43" ht="15.5" x14ac:dyDescent="0.35">
      <c r="A39" s="1" t="s">
        <v>328</v>
      </c>
      <c r="B39" s="1" t="str">
        <f>VLOOKUP(A39,[19]LISTADHERENT!A$5:H$60,3,0)</f>
        <v>YIALA ALAIN OSCAR</v>
      </c>
      <c r="C39" s="36">
        <f>+MVTDEC23!C38</f>
        <v>0</v>
      </c>
      <c r="D39" s="36">
        <f>+MVTDEC23!D38</f>
        <v>0</v>
      </c>
      <c r="E39" s="36">
        <f>VLOOKUP($A39,[29]HISTOJANV24!$A$6:$BA$38,48,0)</f>
        <v>0</v>
      </c>
      <c r="F39" s="36">
        <f>MVTDEC244!F38</f>
        <v>928771.34199085762</v>
      </c>
      <c r="G39" s="5">
        <f>MVTDEC244!G38</f>
        <v>928771.34199085762</v>
      </c>
      <c r="H39" s="36">
        <f>MVTDEC23!H38+MVTJANV24!H38+MVTFEV24!H38+MVTMARS24!H38+MVTAVRIL24!H38+MVTMAI24!H38+MVTJUIN24!H38+MVTJUIL24!H38+MVTAOUT24!H38+MVTSEPT24!H38+MVTOCT24!H38+MVTNOV24!H38+MVTDEC244!H38</f>
        <v>4571.020028550347</v>
      </c>
      <c r="I39" s="6">
        <f t="shared" si="0"/>
        <v>933342.36201940791</v>
      </c>
      <c r="J39" s="36">
        <f>MVTJANV24!J38+MVTFEV24!J38+MVTMARS24!J38+MVTAVRIL24!J38+MVTMAI24!J38+MVTJUIN24!J38+MVTJUIL24!J38+MVTAOUT24!J38+MVTSEPT24!J38+MVTOCT24!J38+MVTNOV24!J38+MVTDEC244!J38</f>
        <v>0</v>
      </c>
      <c r="K39" s="36">
        <f>MVTJANV24!K38+MVTFEV24!K38+MVTMARS24!K38+MVTAVRIL24!K38+MVTMAI24!K38+MVTJUIN24!K38+MVTJUIL24!K38+MVTAOUT24!K38+MVTSEPT24!K38+MVTOCT24!K38+MVTNOV24!K38+MVTDEC244!K38</f>
        <v>1000000</v>
      </c>
      <c r="L39" s="36">
        <f>MVTJANV24!L38+MVTFEV24!L38+MVTMARS24!L38+MVTAVRIL24!L38+MVTMAI24!L38+MVTJUIN24!L38+MVTJUIL24!L38+MVTAOUT24!L38+MVTSEPT24!L38+MVTOCT24!L38+MVTNOV24!L38+MVTDEC244!L38</f>
        <v>928000</v>
      </c>
      <c r="M39" s="36">
        <f>MVTJANV24!M38+MVTFEV24!M38+MVTMARS24!M38+MVTAVRIL24!M38+MVTMAI24!M38+MVTJUIN24!M38+MVTJUIL24!M38+MVTAOUT24!M38+MVTSEPT24!M38+MVTOCT24!M38+MVTNOV24!M38+MVTDEC244!M38</f>
        <v>12000</v>
      </c>
      <c r="N39" s="36">
        <f>MVTJANV24!N38+MVTFEV24!N38+MVTMARS24!N38+MVTAVRIL24!N38+MVTMAI24!N38+MVTJUIN24!N38+MVTJUIL24!N38+MVTAOUT24!N38+MVTSEPT24!N38+MVTOCT24!N38+MVTNOV24!N38+MVTDEC244!N38</f>
        <v>12000</v>
      </c>
      <c r="O39" s="36">
        <f>MVTJANV24!O38+MVTFEV24!O38+MVTMARS24!O38+MVTAVRIL24!O38+MVTMAI24!O38+MVTJUIN24!O38+MVTJUIL24!O38+MVTAOUT24!O38+MVTSEPT24!O38+MVTOCT24!O38+MVTNOV24!O38+MVTDEC244!O38</f>
        <v>48000</v>
      </c>
      <c r="P39" s="36">
        <f>MVTJANV24!P38+MVTFEV24!P38+MVTMARS24!P38+MVTAVRIL24!P38+MVTMAI24!P38+MVTJUIN24!P38+MVTJUIL24!P38+MVTAOUT24!P38+MVTSEPT24!P38+MVTOCT24!P38+MVTNOV24!P38+MVTDEC244!P38</f>
        <v>18000</v>
      </c>
      <c r="Q39" s="36">
        <f>MVTJANV24!Q38+MVTFEV24!Q38+MVTMARS24!Q38+MVTAVRIL24!Q38+MVTMAI24!Q38+MVTJUIN24!Q38+MVTJUIL24!Q38+MVTAOUT24!Q38+MVTSEPT24!Q38+MVTOCT24!Q38+MVTNOV24!Q38+MVTDEC244!Q38</f>
        <v>25000</v>
      </c>
      <c r="R39" s="36">
        <f>MVTJANV24!R38+MVTFEV24!R38+MVTMARS24!R38+MVTAVRIL24!R38+MVTMAI24!R38+MVTJUIN24!R38+MVTJUIL24!R38+MVTAOUT24!R38+MVTSEPT24!R38+MVTOCT24!R38+MVTNOV24!R38+MVTDEC244!R38</f>
        <v>120000</v>
      </c>
      <c r="S39" s="36">
        <f>MVTDEC23!S38+MVTJANV24!S38+MVTFEV24!S38+MVTMARS24!S38+MVTAVRIL24!S38+MVTMAI24!S38+MVTJUIN24!S38+MVTJUIL24!S38+MVTAOUT24!S38+MVTSEPT24!S38+MVTOCT24!S38+MVTNOV24!S38+MVTDEC244!S38</f>
        <v>0</v>
      </c>
      <c r="T39" s="36">
        <f>MVTDEC23!T38+MVTJANV24!T38+MVTFEV24!T38+MVTMARS24!T38+MVTAVRIL24!T38+MVTMAI24!T38+MVTJUIN24!T38+MVTJUIL24!T38+MVTAOUT24!T38+MVTSEPT24!T38+MVTOCT24!T38+MVTNOV24!T38+MVTDEC244!T38</f>
        <v>0</v>
      </c>
      <c r="U39" s="36"/>
      <c r="V39" s="36">
        <f>MVTJANV24!V38+MVTFEV24!V38+MVTMARS24!V38+MVTAVRIL24!V38+MVTMAI24!V38+MVTJUIN24!V38+MVTJUIL24!V38+MVTAOUT24!V38+MVTSEPT24!V38+MVTOCT24!V38+MVTNOV24!V38+MVTDEC244!V38</f>
        <v>0</v>
      </c>
      <c r="W39" s="36">
        <f t="shared" si="1"/>
        <v>0</v>
      </c>
      <c r="X39" s="36"/>
      <c r="Y39" s="36"/>
      <c r="Z39" s="36">
        <f>MVTJANV24!Z38+MVTFEV24!Z38+MVTMARS24!Z38+MVTAVRIL24!Z38+MVTMAI24!Z38+MVTJUIN24!Z38+MVTJUIL24!Z38+MVTAOUT24!Z38+MVTSEPT24!Z38+MVTOCT24!Z38+MVTNOV24!Z38+MVTDEC244!Z38</f>
        <v>0</v>
      </c>
      <c r="AA39" s="36">
        <f>MVTJANV24!AA38+MVTFEV24!AA38+MVTMARS24!AA38+MVTAVRIL24!AA38+MVTMAI24!AA38+MVTJUIN24!AA38+MVTJUIL24!AA38+MVTAOUT24!AA38+MVTSEPT24!AA38+MVTOCT24!AA38+MVTNOV24!AA38+MVTDEC244!AA38</f>
        <v>0</v>
      </c>
      <c r="AB39" s="36">
        <f>MVTJANV24!AB38+MVTFEV24!AB38+MVTMARS24!AB38+MVTAVRIL24!AB38+MVTMAI24!AB38+MVTJUIN24!AB38+MVTJUIL24!AB38+MVTAOUT24!AB38+MVTSEPT24!AB38+MVTOCT24!AB38+MVTNOV24!AB38+MVTDEC244!AB38</f>
        <v>0</v>
      </c>
      <c r="AC39" s="36">
        <f>MVTJANV24!AC38+MVTFEV24!AC38+MVTMARS24!AC38+MVTAVRIL24!AC38+MVTMAI24!AC38+MVTJUIN24!AC38+MVTJUIL24!AC38+MVTAOUT24!AC38+MVTSEPT24!AC38+MVTOCT24!AC38+MVTNOV24!AC38+MVTDEC244!AC38</f>
        <v>0</v>
      </c>
      <c r="AD39" s="36">
        <f>MVTJANV24!AD38+MVTFEV24!AD38+MVTMARS24!AD38+MVTAVRIL24!AD38+MVTMAI24!AD38+MVTJUIN24!AD38+MVTJUIL24!AD38+MVTAOUT24!AD38+MVTSEPT24!AD38+MVTOCT24!AD38+MVTNOV24!AD38+MVTDEC244!AD38</f>
        <v>0</v>
      </c>
      <c r="AE39" s="36">
        <f>MVTJANV24!AE38+MVTFEV24!AE38+MVTMARS24!AE38+MVTAVRIL24!AE38+MVTMAI24!AE38+MVTJUIN24!AE38+MVTJUIL24!AE38+MVTAOUT24!AE38+MVTSEPT24!AE38+MVTOCT24!AE38+MVTNOV24!AE38+MVTDEC244!AE38</f>
        <v>240000</v>
      </c>
      <c r="AF39" s="36">
        <f>MVTJANV24!AF38+MVTFEV24!AF38+MVTMARS24!AF38+MVTAVRIL24!AF38+MVTMAI24!AF38+MVTJUIN24!AF38+MVTJUIL24!AF38+MVTAOUT24!AF38+MVTSEPT24!AF38+MVTOCT24!AF38+MVTNOV24!AF38+MVTDEC244!AF38</f>
        <v>0</v>
      </c>
      <c r="AG39" s="36">
        <f>MVTJANV24!AG38+MVTFEV24!AG38+MVTMARS24!AG38+MVTAVRIL24!AG38+MVTMAI24!AG38+MVTJUIN24!AG38+MVTJUIL24!AG38+MVTAOUT24!AG38+MVTSEPT24!AG38+MVTOCT24!AG38+MVTNOV24!AG38+MVTDEC244!AG38</f>
        <v>0</v>
      </c>
      <c r="AH39" s="36">
        <f>MVTJANV24!AH38+MVTFEV24!AH38+MVTMARS24!AH38+MVTAVRIL24!AH38+MVTMAI24!AH38+MVTJUIN24!AH38+MVTJUIL24!AH38+MVTAOUT24!AH38+MVTSEPT24!AH38+MVTOCT24!AH38+MVTNOV24!AH38+MVTDEC244!AH38</f>
        <v>0</v>
      </c>
      <c r="AI39" s="36">
        <f>MVTJANV24!AI38+MVTFEV24!AI38+MVTMARS24!AI38+MVTAVRIL24!AI38+MVTMAI24!AI38+MVTJUIN24!AI38+MVTJUIL24!AI38+MVTAOUT24!AI38+MVTSEPT24!AI38+MVTOCT24!AI38+MVTNOV24!AI38+MVTDEC244!AI38</f>
        <v>0</v>
      </c>
      <c r="AJ39" s="36">
        <f>MVTJANV24!AJ38+MVTFEV24!AJ38+MVTMARS24!AJ38+MVTAVRIL24!AJ38+MVTMAI24!AJ38+MVTJUIN24!AJ38+MVTJUIL24!AJ38+MVTAOUT24!AJ38+MVTSEPT24!AJ38+MVTOCT24!AJ38+MVTNOV24!AJ38+MVTDEC244!AJ38</f>
        <v>0</v>
      </c>
      <c r="AK39" s="36">
        <f>MVTJANV24!AK38+MVTFEV24!AK38+MVTMARS24!AK38+MVTAVRIL24!AK38+MVTMAI24!AK38+MVTJUIN24!AK38+MVTJUIL24!AK38+MVTAOUT24!AK38+MVTSEPT24!AK38+MVTOCT24!AK38+MVTNOV24!AK38+MVTDEC244!AK38</f>
        <v>0</v>
      </c>
      <c r="AL39" s="2"/>
      <c r="AM39" s="144">
        <f t="shared" si="2"/>
        <v>0</v>
      </c>
      <c r="AN39" s="144">
        <f>MVTJANV24!AL38+MVTFEV24!AL38+MVTMARS24!AL38+MVTAVRIL24!AL38+MVTMAI24!AL38+MVTJUIN24!AL38+MVTJUIL24!AL38+MVTAOUT24!AL38+MVTSEPT24!AL38+MVTOCT24!AL38+MVTNOV24!AL38+MVTDEC244!AL38</f>
        <v>0</v>
      </c>
    </row>
    <row r="40" spans="1:43" ht="15.5" x14ac:dyDescent="0.35">
      <c r="A40" s="1" t="s">
        <v>56</v>
      </c>
      <c r="B40" s="1" t="str">
        <f>VLOOKUP(A40,[19]LISTADHERENT!A$5:H$60,3,0)</f>
        <v>YOUMBI EMMANUEL</v>
      </c>
      <c r="C40" s="36">
        <f>+MVTDEC23!C39</f>
        <v>700000</v>
      </c>
      <c r="D40" s="36">
        <f>+MVTDEC23!D39</f>
        <v>1157834.9698456018</v>
      </c>
      <c r="E40" s="36">
        <f>VLOOKUP($A40,[29]HISTOJANV24!$A$6:$BA$38,48,0)</f>
        <v>0</v>
      </c>
      <c r="F40" s="36">
        <f>MVTDEC244!F39</f>
        <v>2234924.8053753586</v>
      </c>
      <c r="G40" s="5">
        <f>MVTDEC244!G39</f>
        <v>2234924.8053753586</v>
      </c>
      <c r="H40" s="36">
        <f>MVTDEC23!H39+MVTJANV24!H39+MVTFEV24!H39+MVTMARS24!H39+MVTAVRIL24!H39+MVTMAI24!H39+MVTJUIN24!H39+MVTJUIL24!H39+MVTAOUT24!H39+MVTSEPT24!H39+MVTOCT24!H39+MVTNOV24!H39+MVTDEC244!H39</f>
        <v>158233.09212580579</v>
      </c>
      <c r="I40" s="6">
        <f t="shared" si="0"/>
        <v>2393157.8975011641</v>
      </c>
      <c r="J40" s="36">
        <f>MVTJANV24!J39+MVTFEV24!J39+MVTMARS24!J39+MVTAVRIL24!J39+MVTMAI24!J39+MVTJUIN24!J39+MVTJUIL24!J39+MVTAOUT24!J39+MVTSEPT24!J39+MVTOCT24!J39+MVTNOV24!J39+MVTDEC244!J39</f>
        <v>0</v>
      </c>
      <c r="K40" s="36">
        <f>MVTJANV24!K39+MVTFEV24!K39+MVTMARS24!K39+MVTAVRIL24!K39+MVTMAI24!K39+MVTJUIN24!K39+MVTJUIL24!K39+MVTAOUT24!K39+MVTSEPT24!K39+MVTOCT24!K39+MVTNOV24!K39+MVTDEC244!K39</f>
        <v>300000</v>
      </c>
      <c r="L40" s="36">
        <f>MVTJANV24!L39+MVTFEV24!L39+MVTMARS24!L39+MVTAVRIL24!L39+MVTMAI24!L39+MVTJUIN24!L39+MVTJUIL24!L39+MVTAOUT24!L39+MVTSEPT24!L39+MVTOCT24!L39+MVTNOV24!L39+MVTDEC244!L39</f>
        <v>228000</v>
      </c>
      <c r="M40" s="36">
        <f>MVTJANV24!M39+MVTFEV24!M39+MVTMARS24!M39+MVTAVRIL24!M39+MVTMAI24!M39+MVTJUIN24!M39+MVTJUIL24!M39+MVTAOUT24!M39+MVTSEPT24!M39+MVTOCT24!M39+MVTNOV24!M39+MVTDEC244!M39</f>
        <v>12000</v>
      </c>
      <c r="N40" s="36">
        <f>MVTJANV24!N39+MVTFEV24!N39+MVTMARS24!N39+MVTAVRIL24!N39+MVTMAI24!N39+MVTJUIN24!N39+MVTJUIL24!N39+MVTAOUT24!N39+MVTSEPT24!N39+MVTOCT24!N39+MVTNOV24!N39+MVTDEC244!N39</f>
        <v>12000</v>
      </c>
      <c r="O40" s="36">
        <f>MVTJANV24!O39+MVTFEV24!O39+MVTMARS24!O39+MVTAVRIL24!O39+MVTMAI24!O39+MVTJUIN24!O39+MVTJUIL24!O39+MVTAOUT24!O39+MVTSEPT24!O39+MVTOCT24!O39+MVTNOV24!O39+MVTDEC244!O39</f>
        <v>48000</v>
      </c>
      <c r="P40" s="36">
        <f>MVTJANV24!P39+MVTFEV24!P39+MVTMARS24!P39+MVTAVRIL24!P39+MVTMAI24!P39+MVTJUIN24!P39+MVTJUIL24!P39+MVTAOUT24!P39+MVTSEPT24!P39+MVTOCT24!P39+MVTNOV24!P39+MVTDEC244!P39</f>
        <v>0</v>
      </c>
      <c r="Q40" s="36">
        <f>MVTJANV24!Q39+MVTFEV24!Q39+MVTMARS24!Q39+MVTAVRIL24!Q39+MVTMAI24!Q39+MVTJUIN24!Q39+MVTJUIL24!Q39+MVTAOUT24!Q39+MVTSEPT24!Q39+MVTOCT24!Q39+MVTNOV24!Q39+MVTDEC244!Q39</f>
        <v>0</v>
      </c>
      <c r="R40" s="36">
        <f>MVTJANV24!R39+MVTFEV24!R39+MVTMARS24!R39+MVTAVRIL24!R39+MVTMAI24!R39+MVTJUIN24!R39+MVTJUIL24!R39+MVTAOUT24!R39+MVTSEPT24!R39+MVTOCT24!R39+MVTNOV24!R39+MVTDEC244!R39</f>
        <v>0</v>
      </c>
      <c r="S40" s="36">
        <f>MVTDEC23!S39+MVTJANV24!S39+MVTFEV24!S39+MVTMARS24!S39+MVTAVRIL24!S39+MVTMAI24!S39+MVTJUIN24!S39+MVTJUIL24!S39+MVTAOUT24!S39+MVTSEPT24!S39+MVTOCT24!S39+MVTNOV24!S39+MVTDEC244!S39</f>
        <v>500000</v>
      </c>
      <c r="T40" s="36">
        <f>MVTDEC23!T39+MVTJANV24!T39+MVTFEV24!T39+MVTMARS24!T39+MVTAVRIL24!T39+MVTMAI24!T39+MVTJUIN24!T39+MVTJUIL24!T39+MVTAOUT24!T39+MVTSEPT24!T39+MVTOCT24!T39+MVTNOV24!T39+MVTDEC244!T39</f>
        <v>0</v>
      </c>
      <c r="U40" s="36"/>
      <c r="V40" s="36">
        <f>MVTJANV24!V39+MVTFEV24!V39+MVTMARS24!V39+MVTAVRIL24!V39+MVTMAI24!V39+MVTJUIN24!V39+MVTJUIL24!V39+MVTAOUT24!V39+MVTSEPT24!V39+MVTOCT24!V39+MVTNOV24!V39+MVTDEC244!V39</f>
        <v>0</v>
      </c>
      <c r="W40" s="36">
        <f t="shared" si="1"/>
        <v>500000</v>
      </c>
      <c r="X40" s="36"/>
      <c r="Y40" s="36"/>
      <c r="Z40" s="36">
        <f>MVTJANV24!Z39+MVTFEV24!Z39+MVTMARS24!Z39+MVTAVRIL24!Z39+MVTMAI24!Z39+MVTJUIN24!Z39+MVTJUIL24!Z39+MVTAOUT24!Z39+MVTSEPT24!Z39+MVTOCT24!Z39+MVTNOV24!Z39+MVTDEC244!Z39</f>
        <v>0</v>
      </c>
      <c r="AA40" s="36">
        <f>MVTJANV24!AA39+MVTFEV24!AA39+MVTMARS24!AA39+MVTAVRIL24!AA39+MVTMAI24!AA39+MVTJUIN24!AA39+MVTJUIL24!AA39+MVTAOUT24!AA39+MVTSEPT24!AA39+MVTOCT24!AA39+MVTNOV24!AA39+MVTDEC244!AA39</f>
        <v>0</v>
      </c>
      <c r="AB40" s="36">
        <f>MVTJANV24!AB39+MVTFEV24!AB39+MVTMARS24!AB39+MVTAVRIL24!AB39+MVTMAI24!AB39+MVTJUIN24!AB39+MVTJUIL24!AB39+MVTAOUT24!AB39+MVTSEPT24!AB39+MVTOCT24!AB39+MVTNOV24!AB39+MVTDEC244!AB39</f>
        <v>0</v>
      </c>
      <c r="AC40" s="36">
        <f>MVTJANV24!AC39+MVTFEV24!AC39+MVTMARS24!AC39+MVTAVRIL24!AC39+MVTMAI24!AC39+MVTJUIN24!AC39+MVTJUIL24!AC39+MVTAOUT24!AC39+MVTSEPT24!AC39+MVTOCT24!AC39+MVTNOV24!AC39+MVTDEC244!AC39</f>
        <v>0</v>
      </c>
      <c r="AD40" s="36">
        <f>MVTJANV24!AD39+MVTFEV24!AD39+MVTMARS24!AD39+MVTAVRIL24!AD39+MVTMAI24!AD39+MVTJUIN24!AD39+MVTJUIL24!AD39+MVTAOUT24!AD39+MVTSEPT24!AD39+MVTOCT24!AD39+MVTNOV24!AD39+MVTDEC244!AD39</f>
        <v>0</v>
      </c>
      <c r="AE40" s="36">
        <f>MVTJANV24!AE39+MVTFEV24!AE39+MVTMARS24!AE39+MVTAVRIL24!AE39+MVTMAI24!AE39+MVTJUIN24!AE39+MVTJUIL24!AE39+MVTAOUT24!AE39+MVTSEPT24!AE39+MVTOCT24!AE39+MVTNOV24!AE39+MVTDEC244!AE39</f>
        <v>0</v>
      </c>
      <c r="AF40" s="36">
        <f>MVTJANV24!AF39+MVTFEV24!AF39+MVTMARS24!AF39+MVTAVRIL24!AF39+MVTMAI24!AF39+MVTJUIN24!AF39+MVTJUIL24!AF39+MVTAOUT24!AF39+MVTSEPT24!AF39+MVTOCT24!AF39+MVTNOV24!AF39+MVTDEC244!AF39</f>
        <v>0</v>
      </c>
      <c r="AG40" s="36">
        <f>MVTJANV24!AG39+MVTFEV24!AG39+MVTMARS24!AG39+MVTAVRIL24!AG39+MVTMAI24!AG39+MVTJUIN24!AG39+MVTJUIL24!AG39+MVTAOUT24!AG39+MVTSEPT24!AG39+MVTOCT24!AG39+MVTNOV24!AG39+MVTDEC244!AG39</f>
        <v>0</v>
      </c>
      <c r="AH40" s="36">
        <f>MVTJANV24!AH39+MVTFEV24!AH39+MVTMARS24!AH39+MVTAVRIL24!AH39+MVTMAI24!AH39+MVTJUIN24!AH39+MVTJUIL24!AH39+MVTAOUT24!AH39+MVTSEPT24!AH39+MVTOCT24!AH39+MVTNOV24!AH39+MVTDEC244!AH39</f>
        <v>0</v>
      </c>
      <c r="AI40" s="36">
        <f>MVTJANV24!AI39+MVTFEV24!AI39+MVTMARS24!AI39+MVTAVRIL24!AI39+MVTMAI24!AI39+MVTJUIN24!AI39+MVTJUIL24!AI39+MVTAOUT24!AI39+MVTSEPT24!AI39+MVTOCT24!AI39+MVTNOV24!AI39+MVTDEC244!AI39</f>
        <v>100000</v>
      </c>
      <c r="AJ40" s="36">
        <f>MVTJANV24!AJ39+MVTFEV24!AJ39+MVTMARS24!AJ39+MVTAVRIL24!AJ39+MVTMAI24!AJ39+MVTJUIN24!AJ39+MVTJUIL24!AJ39+MVTAOUT24!AJ39+MVTSEPT24!AJ39+MVTOCT24!AJ39+MVTNOV24!AJ39+MVTDEC244!AJ39</f>
        <v>0</v>
      </c>
      <c r="AK40" s="36">
        <f>MVTJANV24!AK39+MVTFEV24!AK39+MVTMARS24!AK39+MVTAVRIL24!AK39+MVTMAI24!AK39+MVTJUIN24!AK39+MVTJUIL24!AK39+MVTAOUT24!AK39+MVTSEPT24!AK39+MVTOCT24!AK39+MVTNOV24!AK39+MVTDEC244!AK39</f>
        <v>0</v>
      </c>
      <c r="AL40" s="2"/>
      <c r="AM40" s="144">
        <f t="shared" si="2"/>
        <v>0</v>
      </c>
      <c r="AN40" s="144">
        <f>MVTJANV24!AL39+MVTFEV24!AL39+MVTMARS24!AL39+MVTAVRIL24!AL39+MVTMAI24!AL39+MVTJUIN24!AL39+MVTJUIL24!AL39+MVTAOUT24!AL39+MVTSEPT24!AL39+MVTOCT24!AL39+MVTNOV24!AL39+MVTDEC244!AL39</f>
        <v>0</v>
      </c>
    </row>
    <row r="41" spans="1:43" ht="17.5" x14ac:dyDescent="0.35">
      <c r="A41" s="1"/>
      <c r="B41" s="1"/>
      <c r="C41" s="36">
        <f>+MVTDEC23!C40</f>
        <v>0</v>
      </c>
      <c r="D41" s="36">
        <f>+MVTDEC23!D40</f>
        <v>0</v>
      </c>
      <c r="E41" s="1"/>
      <c r="F41" s="1"/>
      <c r="G41" s="1"/>
      <c r="H41" s="36"/>
      <c r="I41" s="1"/>
      <c r="J41"/>
      <c r="K41" s="161"/>
      <c r="L41" s="161"/>
      <c r="M41" s="2"/>
      <c r="N41" s="2"/>
      <c r="O41" s="2"/>
      <c r="Q41" s="2"/>
      <c r="R41" s="2"/>
      <c r="W41" s="36">
        <f t="shared" si="1"/>
        <v>0</v>
      </c>
      <c r="AL41" s="9"/>
      <c r="AM41" s="9"/>
      <c r="AN41" s="144">
        <f>MVTJANV24!AL40+MVTFEV24!AL40+MVTMARS24!AL40+MVTAVRIL24!AL40+MVTMAI24!AL40+MVTJUIN24!AL40+MVTJUIL24!AL40+MVTAOUT24!AL40+MVTSEPT24!AL40+MVTOCT24!AL40+MVTNOV24!AL40+MVTDEC244!AL40</f>
        <v>0</v>
      </c>
      <c r="AO41" s="9"/>
      <c r="AP41" s="9"/>
      <c r="AQ41" s="9"/>
    </row>
    <row r="42" spans="1:43" ht="17.5" x14ac:dyDescent="0.35">
      <c r="A42" s="1" t="s">
        <v>57</v>
      </c>
      <c r="B42" s="1"/>
      <c r="C42" s="9">
        <f t="shared" ref="C42:AQ42" si="3">SUM(C7:C41)</f>
        <v>16800000</v>
      </c>
      <c r="D42" s="9">
        <f t="shared" si="3"/>
        <v>10148398.07312192</v>
      </c>
      <c r="E42" s="9">
        <f t="shared" si="3"/>
        <v>0</v>
      </c>
      <c r="F42" s="9">
        <f t="shared" si="3"/>
        <v>37826406.07312192</v>
      </c>
      <c r="G42" s="9">
        <f t="shared" si="3"/>
        <v>35992939.07312192</v>
      </c>
      <c r="H42" s="36">
        <f t="shared" si="3"/>
        <v>1982150.0000000005</v>
      </c>
      <c r="I42" s="9">
        <f t="shared" si="3"/>
        <v>39808556.073121913</v>
      </c>
      <c r="J42" s="9">
        <f t="shared" si="3"/>
        <v>0</v>
      </c>
      <c r="K42" s="9">
        <f t="shared" si="3"/>
        <v>14065850</v>
      </c>
      <c r="L42" s="9">
        <f t="shared" si="3"/>
        <v>11823850</v>
      </c>
      <c r="M42" s="9">
        <f t="shared" si="3"/>
        <v>384000</v>
      </c>
      <c r="N42" s="9">
        <f t="shared" si="3"/>
        <v>384000</v>
      </c>
      <c r="O42" s="9">
        <f t="shared" si="3"/>
        <v>1536000</v>
      </c>
      <c r="P42" s="9">
        <f t="shared" si="3"/>
        <v>87000</v>
      </c>
      <c r="Q42" s="9">
        <f t="shared" si="3"/>
        <v>75000</v>
      </c>
      <c r="R42" s="9">
        <f t="shared" si="3"/>
        <v>240000</v>
      </c>
      <c r="S42" s="9">
        <f t="shared" si="3"/>
        <v>36888500</v>
      </c>
      <c r="T42" s="9">
        <f t="shared" si="3"/>
        <v>1982150</v>
      </c>
      <c r="U42" s="9">
        <f t="shared" si="3"/>
        <v>0</v>
      </c>
      <c r="V42" s="9">
        <f t="shared" si="3"/>
        <v>18456000</v>
      </c>
      <c r="W42" s="9">
        <f t="shared" si="3"/>
        <v>18432500</v>
      </c>
      <c r="X42" s="9">
        <f t="shared" si="3"/>
        <v>0</v>
      </c>
      <c r="Y42" s="9">
        <f t="shared" si="3"/>
        <v>0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3750</v>
      </c>
      <c r="AD42" s="9">
        <f t="shared" si="3"/>
        <v>0</v>
      </c>
      <c r="AE42" s="9">
        <f t="shared" si="3"/>
        <v>771700</v>
      </c>
      <c r="AF42" s="9">
        <f t="shared" si="3"/>
        <v>301000</v>
      </c>
      <c r="AG42" s="9">
        <f t="shared" si="3"/>
        <v>909500</v>
      </c>
      <c r="AH42" s="9">
        <f t="shared" si="3"/>
        <v>200000</v>
      </c>
      <c r="AI42" s="9">
        <f t="shared" si="3"/>
        <v>1206000</v>
      </c>
      <c r="AJ42" s="9">
        <f t="shared" si="3"/>
        <v>209250</v>
      </c>
      <c r="AK42" s="9">
        <f t="shared" si="3"/>
        <v>0</v>
      </c>
      <c r="AL42" s="9"/>
      <c r="AM42" s="9">
        <f t="shared" si="3"/>
        <v>1982150</v>
      </c>
      <c r="AN42" s="9">
        <f t="shared" si="3"/>
        <v>9326618</v>
      </c>
      <c r="AO42" s="9">
        <f t="shared" si="3"/>
        <v>0</v>
      </c>
      <c r="AP42" s="9">
        <f t="shared" si="3"/>
        <v>0</v>
      </c>
      <c r="AQ42" s="9">
        <f t="shared" si="3"/>
        <v>0</v>
      </c>
    </row>
    <row r="44" spans="1:43" ht="17.5" x14ac:dyDescent="0.35">
      <c r="D44" s="157">
        <v>6273822</v>
      </c>
      <c r="E44" s="2">
        <f>D42-D44</f>
        <v>3874576.0731219202</v>
      </c>
      <c r="AM44" t="s">
        <v>337</v>
      </c>
      <c r="AN44" s="9">
        <f>2300000/32</f>
        <v>71875</v>
      </c>
    </row>
    <row r="45" spans="1:43" x14ac:dyDescent="0.35">
      <c r="S45" s="2"/>
      <c r="T45" s="2"/>
    </row>
  </sheetData>
  <autoFilter ref="A6:J40" xr:uid="{00000000-0009-0000-0000-000012000000}">
    <sortState ref="A5:D48">
      <sortCondition ref="B5:B48"/>
    </sortState>
  </autoFilter>
  <mergeCells count="1">
    <mergeCell ref="J4:O4"/>
  </mergeCells>
  <pageMargins left="0.70866141732283472" right="0.70866141732283472" top="0.74803149606299213" bottom="0.74803149606299213" header="0.31496062992125984" footer="0.31496062992125984"/>
  <pageSetup orientation="portrait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F27B-597D-47A6-9DAB-F93A27192CA4}">
  <dimension ref="A1:R42"/>
  <sheetViews>
    <sheetView zoomScale="93" zoomScaleNormal="93"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M2" sqref="M2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6.81640625" bestFit="1" customWidth="1"/>
    <col min="4" max="4" width="17.54296875" style="161" customWidth="1"/>
    <col min="5" max="5" width="15.7265625" style="2" customWidth="1"/>
    <col min="6" max="8" width="12.453125" style="2" customWidth="1"/>
    <col min="9" max="9" width="16.81640625" style="2" bestFit="1" customWidth="1"/>
    <col min="10" max="10" width="16.81640625" style="2" customWidth="1"/>
    <col min="11" max="11" width="14.6328125" bestFit="1" customWidth="1"/>
    <col min="12" max="12" width="17.1796875" customWidth="1"/>
    <col min="13" max="13" width="12.453125" style="2" bestFit="1" customWidth="1"/>
    <col min="14" max="14" width="13.08984375" bestFit="1" customWidth="1"/>
    <col min="17" max="17" width="12.453125" bestFit="1" customWidth="1"/>
  </cols>
  <sheetData>
    <row r="1" spans="1:18" ht="26" x14ac:dyDescent="0.35">
      <c r="A1" s="1" t="s">
        <v>0</v>
      </c>
      <c r="B1" s="1" t="s">
        <v>1</v>
      </c>
      <c r="C1" s="1"/>
      <c r="M1" s="145"/>
    </row>
    <row r="2" spans="1:18" ht="26" x14ac:dyDescent="0.6">
      <c r="A2" s="1" t="s">
        <v>2</v>
      </c>
      <c r="B2" s="1">
        <v>2024</v>
      </c>
      <c r="C2" s="1"/>
      <c r="M2" s="59"/>
    </row>
    <row r="3" spans="1:18" ht="23.5" x14ac:dyDescent="0.55000000000000004">
      <c r="A3" s="193" t="s">
        <v>336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</row>
    <row r="4" spans="1:18" ht="15" thickBot="1" x14ac:dyDescent="0.4">
      <c r="A4" s="14"/>
      <c r="B4" s="14"/>
      <c r="D4"/>
      <c r="E4"/>
      <c r="F4"/>
      <c r="G4"/>
      <c r="H4"/>
      <c r="I4" s="14"/>
      <c r="J4" s="14"/>
      <c r="K4" s="14"/>
      <c r="L4" s="14"/>
      <c r="M4" s="14"/>
      <c r="N4" s="14"/>
      <c r="O4" s="14"/>
      <c r="P4" s="14"/>
      <c r="Q4" s="14"/>
    </row>
    <row r="5" spans="1:18" ht="43" thickTop="1" x14ac:dyDescent="0.35">
      <c r="A5" s="169" t="s">
        <v>4</v>
      </c>
      <c r="B5" s="170" t="s">
        <v>5</v>
      </c>
      <c r="C5" s="171" t="s">
        <v>214</v>
      </c>
      <c r="D5" s="170" t="s">
        <v>9</v>
      </c>
      <c r="E5" s="171" t="s">
        <v>10</v>
      </c>
      <c r="F5" s="171" t="s">
        <v>11</v>
      </c>
      <c r="G5" s="171" t="s">
        <v>12</v>
      </c>
      <c r="H5" s="171" t="s">
        <v>72</v>
      </c>
      <c r="I5" s="171" t="s">
        <v>73</v>
      </c>
      <c r="J5" s="171" t="s">
        <v>13</v>
      </c>
      <c r="K5" s="171" t="s">
        <v>334</v>
      </c>
      <c r="L5" s="172" t="s">
        <v>333</v>
      </c>
      <c r="M5" s="172" t="s">
        <v>321</v>
      </c>
      <c r="N5" s="172" t="s">
        <v>10</v>
      </c>
      <c r="O5" s="172" t="s">
        <v>11</v>
      </c>
      <c r="P5" s="172" t="s">
        <v>303</v>
      </c>
      <c r="Q5" s="172" t="s">
        <v>269</v>
      </c>
      <c r="R5" s="173" t="s">
        <v>335</v>
      </c>
    </row>
    <row r="6" spans="1:18" ht="15.5" x14ac:dyDescent="0.35">
      <c r="A6" s="42" t="s">
        <v>16</v>
      </c>
      <c r="B6" s="49" t="str">
        <f>VLOOKUP(A6,[19]LISTADHERENT!A$5:H$60,3,0)</f>
        <v>ASELBY</v>
      </c>
      <c r="C6" s="48">
        <f>MVTRESUME24!C7+MVTRESUME24!D7</f>
        <v>886523.25892224163</v>
      </c>
      <c r="D6" s="48">
        <f>+MVTRESUME24!L7</f>
        <v>62000</v>
      </c>
      <c r="E6" s="48">
        <f>+MVTRESUME24!M7</f>
        <v>0</v>
      </c>
      <c r="F6" s="48">
        <f>+MVTRESUME24!N7</f>
        <v>0</v>
      </c>
      <c r="G6" s="48">
        <f>+MVTRESUME24!O7</f>
        <v>0</v>
      </c>
      <c r="H6" s="48">
        <f>+MVTRESUME24!P7</f>
        <v>0</v>
      </c>
      <c r="I6" s="48">
        <f>+MVTRESUME24!Q7</f>
        <v>0</v>
      </c>
      <c r="J6" s="48">
        <f>+MVTRESUME24!R7</f>
        <v>0</v>
      </c>
      <c r="K6" s="48">
        <f>+MVTRESUME24!W7</f>
        <v>0</v>
      </c>
      <c r="L6" s="165">
        <f>+MVTRESUME24!AM7</f>
        <v>0</v>
      </c>
      <c r="M6" s="166" t="str">
        <f>IF(L6=0,"",VLOOKUP(A6,MVTRESUME24!A7:AQ41,38,0))</f>
        <v/>
      </c>
      <c r="N6" s="48">
        <f>+MVTRESUME24!AF7</f>
        <v>301000</v>
      </c>
      <c r="O6" s="48">
        <f>+MVTRESUME24!AG7</f>
        <v>909500</v>
      </c>
      <c r="P6" s="48">
        <f>+MVTRESUME24!AH7</f>
        <v>200000</v>
      </c>
      <c r="Q6" s="48">
        <f>+MVTRESUME24!AI7</f>
        <v>300000</v>
      </c>
      <c r="R6" s="167">
        <f>MVTRESUME24!AN7</f>
        <v>9326618</v>
      </c>
    </row>
    <row r="7" spans="1:18" ht="15.5" x14ac:dyDescent="0.35">
      <c r="A7" s="42" t="s">
        <v>17</v>
      </c>
      <c r="B7" s="49" t="str">
        <f>VLOOKUP(A7,[19]LISTADHERENT!A$5:H$60,3,0)</f>
        <v>BAKOP ACHILLE</v>
      </c>
      <c r="C7" s="48">
        <f>MVTRESUME24!C8+MVTRESUME24!D8</f>
        <v>1356964</v>
      </c>
      <c r="D7" s="48">
        <f>+MVTRESUME24!L8</f>
        <v>236000</v>
      </c>
      <c r="E7" s="48">
        <f>+MVTRESUME24!M8</f>
        <v>12000</v>
      </c>
      <c r="F7" s="48">
        <f>+MVTRESUME24!N8</f>
        <v>12000</v>
      </c>
      <c r="G7" s="48">
        <f>+MVTRESUME24!O8</f>
        <v>48000</v>
      </c>
      <c r="H7" s="48">
        <f>+MVTRESUME24!P8</f>
        <v>12000</v>
      </c>
      <c r="I7" s="48">
        <f>+MVTRESUME24!Q8</f>
        <v>0</v>
      </c>
      <c r="J7" s="48">
        <f>+MVTRESUME24!R8</f>
        <v>0</v>
      </c>
      <c r="K7" s="48">
        <f>+MVTRESUME24!W8</f>
        <v>600000</v>
      </c>
      <c r="L7" s="165">
        <f>+MVTRESUME24!AM8</f>
        <v>117000</v>
      </c>
      <c r="M7" s="166">
        <f>IF(L7=0,"",VLOOKUP(A7,MVTRESUME24!A8:AQ42,38,0))</f>
        <v>45474</v>
      </c>
      <c r="N7" s="48">
        <v>0</v>
      </c>
      <c r="O7" s="48">
        <v>0</v>
      </c>
      <c r="P7" s="48">
        <v>0</v>
      </c>
      <c r="Q7" s="48">
        <v>0</v>
      </c>
      <c r="R7" s="168"/>
    </row>
    <row r="8" spans="1:18" ht="15.5" x14ac:dyDescent="0.35">
      <c r="A8" s="42" t="s">
        <v>19</v>
      </c>
      <c r="B8" s="49" t="str">
        <f>VLOOKUP(A8,[19]LISTADHERENT!A$5:H$60,3,0)</f>
        <v>BOUTCHOUANG WILLIAM</v>
      </c>
      <c r="C8" s="48">
        <f>MVTRESUME24!C9+MVTRESUME24!D9</f>
        <v>700033.12626320519</v>
      </c>
      <c r="D8" s="48">
        <f>+MVTRESUME24!L9</f>
        <v>225000</v>
      </c>
      <c r="E8" s="48">
        <f>+MVTRESUME24!M9</f>
        <v>12000</v>
      </c>
      <c r="F8" s="48">
        <f>+MVTRESUME24!N9</f>
        <v>12000</v>
      </c>
      <c r="G8" s="48">
        <f>+MVTRESUME24!O9</f>
        <v>48000</v>
      </c>
      <c r="H8" s="48">
        <f>+MVTRESUME24!P9</f>
        <v>6000</v>
      </c>
      <c r="I8" s="48">
        <f>+MVTRESUME24!Q9</f>
        <v>0</v>
      </c>
      <c r="J8" s="48">
        <f>+MVTRESUME24!R9</f>
        <v>0</v>
      </c>
      <c r="K8" s="48">
        <f>+MVTRESUME24!W9</f>
        <v>500000</v>
      </c>
      <c r="L8" s="165">
        <f>+MVTRESUME24!AM9</f>
        <v>60000</v>
      </c>
      <c r="M8" s="166">
        <f>IF(L8=0,"",VLOOKUP(A8,MVTRESUME24!A9:AQ43,38,0))</f>
        <v>45352</v>
      </c>
      <c r="N8" s="48">
        <v>0</v>
      </c>
      <c r="O8" s="48">
        <v>0</v>
      </c>
      <c r="P8" s="48">
        <v>0</v>
      </c>
      <c r="Q8" s="48">
        <v>0</v>
      </c>
      <c r="R8" s="168"/>
    </row>
    <row r="9" spans="1:18" ht="15.5" x14ac:dyDescent="0.35">
      <c r="A9" s="42" t="s">
        <v>23</v>
      </c>
      <c r="B9" s="49" t="str">
        <f>VLOOKUP(A9,[19]LISTADHERENT!A$5:H$60,3,0)</f>
        <v xml:space="preserve">DJOMO JEAN PAUL </v>
      </c>
      <c r="C9" s="48">
        <f>MVTRESUME24!C10+MVTRESUME24!D10</f>
        <v>753357.82624304004</v>
      </c>
      <c r="D9" s="48">
        <f>+MVTRESUME24!L10</f>
        <v>220500</v>
      </c>
      <c r="E9" s="48">
        <f>+MVTRESUME24!M10</f>
        <v>12000</v>
      </c>
      <c r="F9" s="48">
        <f>+MVTRESUME24!N10</f>
        <v>12000</v>
      </c>
      <c r="G9" s="48">
        <f>+MVTRESUME24!O10</f>
        <v>48000</v>
      </c>
      <c r="H9" s="48">
        <f>+MVTRESUME24!P10</f>
        <v>0</v>
      </c>
      <c r="I9" s="48">
        <f>+MVTRESUME24!Q10</f>
        <v>0</v>
      </c>
      <c r="J9" s="48">
        <f>+MVTRESUME24!R10</f>
        <v>0</v>
      </c>
      <c r="K9" s="48">
        <f>+MVTRESUME24!W10</f>
        <v>1000000</v>
      </c>
      <c r="L9" s="165">
        <f>+MVTRESUME24!AM10</f>
        <v>120000</v>
      </c>
      <c r="M9" s="166">
        <f>IF(L9=0,"",VLOOKUP(A9,MVTRESUME24!A10:AQ44,38,0))</f>
        <v>45627</v>
      </c>
      <c r="N9" s="48">
        <v>0</v>
      </c>
      <c r="O9" s="48">
        <v>0</v>
      </c>
      <c r="P9" s="48">
        <v>0</v>
      </c>
      <c r="Q9" s="48">
        <v>0</v>
      </c>
      <c r="R9" s="168"/>
    </row>
    <row r="10" spans="1:18" ht="15.5" x14ac:dyDescent="0.35">
      <c r="A10" s="42" t="s">
        <v>154</v>
      </c>
      <c r="B10" s="49" t="str">
        <f>VLOOKUP(A10,[19]LISTADHERENT!A$5:H$60,3,0)</f>
        <v>DJOMOU TCHAPDA</v>
      </c>
      <c r="C10" s="48">
        <f>MVTRESUME24!C11+MVTRESUME24!D11</f>
        <v>700294.6792959054</v>
      </c>
      <c r="D10" s="48">
        <f>+MVTRESUME24!L11</f>
        <v>221500</v>
      </c>
      <c r="E10" s="48">
        <f>+MVTRESUME24!M11</f>
        <v>12000</v>
      </c>
      <c r="F10" s="48">
        <f>+MVTRESUME24!N11</f>
        <v>12000</v>
      </c>
      <c r="G10" s="48">
        <f>+MVTRESUME24!O11</f>
        <v>48000</v>
      </c>
      <c r="H10" s="48">
        <f>+MVTRESUME24!P11</f>
        <v>9000</v>
      </c>
      <c r="I10" s="48">
        <f>+MVTRESUME24!Q11</f>
        <v>0</v>
      </c>
      <c r="J10" s="48">
        <f>+MVTRESUME24!R11</f>
        <v>0</v>
      </c>
      <c r="K10" s="48">
        <f>+MVTRESUME24!W11</f>
        <v>1000000</v>
      </c>
      <c r="L10" s="165">
        <f>+MVTRESUME24!AM11</f>
        <v>120000</v>
      </c>
      <c r="M10" s="166">
        <f>IF(L10=0,"",VLOOKUP(A10,MVTRESUME24!A11:AQ45,38,0))</f>
        <v>45627</v>
      </c>
      <c r="N10" s="48">
        <v>0</v>
      </c>
      <c r="O10" s="48">
        <v>0</v>
      </c>
      <c r="P10" s="48">
        <v>0</v>
      </c>
      <c r="Q10" s="48">
        <v>0</v>
      </c>
      <c r="R10" s="168"/>
    </row>
    <row r="11" spans="1:18" ht="15.5" x14ac:dyDescent="0.35">
      <c r="A11" s="42" t="s">
        <v>24</v>
      </c>
      <c r="B11" s="49" t="str">
        <f>VLOOKUP(A11,[19]LISTADHERENT!A$5:H$60,3,0)</f>
        <v>DJOUKWE NANGUEN GUY BLAISE</v>
      </c>
      <c r="C11" s="48">
        <f>MVTRESUME24!C12+MVTRESUME24!D12</f>
        <v>702196.76789740683</v>
      </c>
      <c r="D11" s="48">
        <f>+MVTRESUME24!L12</f>
        <v>251000</v>
      </c>
      <c r="E11" s="48">
        <f>+MVTRESUME24!M12</f>
        <v>12000</v>
      </c>
      <c r="F11" s="48">
        <f>+MVTRESUME24!N12</f>
        <v>12000</v>
      </c>
      <c r="G11" s="48">
        <f>+MVTRESUME24!O12</f>
        <v>48000</v>
      </c>
      <c r="H11" s="48">
        <f>+MVTRESUME24!P12</f>
        <v>3000</v>
      </c>
      <c r="I11" s="48">
        <f>+MVTRESUME24!Q12</f>
        <v>0</v>
      </c>
      <c r="J11" s="48">
        <f>+MVTRESUME24!R12</f>
        <v>0</v>
      </c>
      <c r="K11" s="48">
        <f>+MVTRESUME24!W12</f>
        <v>1000000</v>
      </c>
      <c r="L11" s="165">
        <f>+MVTRESUME24!AM12</f>
        <v>60000</v>
      </c>
      <c r="M11" s="166">
        <f>IF(L11=0,"",VLOOKUP(A11,MVTRESUME24!A12:AQ46,38,0))</f>
        <v>45474</v>
      </c>
      <c r="N11" s="48">
        <v>0</v>
      </c>
      <c r="O11" s="48">
        <v>0</v>
      </c>
      <c r="P11" s="48">
        <v>0</v>
      </c>
      <c r="Q11" s="48">
        <v>0</v>
      </c>
      <c r="R11" s="168"/>
    </row>
    <row r="12" spans="1:18" ht="15.5" x14ac:dyDescent="0.35">
      <c r="A12" s="42" t="s">
        <v>25</v>
      </c>
      <c r="B12" s="49" t="str">
        <f>VLOOKUP(A12,[19]LISTADHERENT!A$5:H$60,3,0)</f>
        <v>DJUOMBESSY ANTOINE</v>
      </c>
      <c r="C12" s="48">
        <f>MVTRESUME24!C13+MVTRESUME24!D13</f>
        <v>714513.27745162044</v>
      </c>
      <c r="D12" s="48">
        <f>+MVTRESUME24!L13</f>
        <v>295600</v>
      </c>
      <c r="E12" s="48">
        <f>+MVTRESUME24!M13</f>
        <v>12000</v>
      </c>
      <c r="F12" s="48">
        <f>+MVTRESUME24!N13</f>
        <v>12000</v>
      </c>
      <c r="G12" s="48">
        <f>+MVTRESUME24!O13</f>
        <v>48000</v>
      </c>
      <c r="H12" s="48">
        <f>+MVTRESUME24!P13</f>
        <v>0</v>
      </c>
      <c r="I12" s="48">
        <f>+MVTRESUME24!Q13</f>
        <v>0</v>
      </c>
      <c r="J12" s="48">
        <f>+MVTRESUME24!R13</f>
        <v>0</v>
      </c>
      <c r="K12" s="48">
        <f>+MVTRESUME24!W13</f>
        <v>1000000</v>
      </c>
      <c r="L12" s="165">
        <f>+MVTRESUME24!AM13</f>
        <v>68400</v>
      </c>
      <c r="M12" s="166">
        <f>IF(L12=0,"",VLOOKUP(A12,MVTRESUME24!A13:AQ47,38,0))</f>
        <v>45627</v>
      </c>
      <c r="N12" s="48">
        <v>0</v>
      </c>
      <c r="O12" s="48">
        <v>0</v>
      </c>
      <c r="P12" s="48">
        <v>0</v>
      </c>
      <c r="Q12" s="48">
        <v>0</v>
      </c>
      <c r="R12" s="168"/>
    </row>
    <row r="13" spans="1:18" ht="15.5" x14ac:dyDescent="0.35">
      <c r="A13" s="42" t="s">
        <v>79</v>
      </c>
      <c r="B13" s="49" t="str">
        <f>VLOOKUP(A13,[19]LISTADHERENT!A$5:H$60,3,0)</f>
        <v>DOMOU FABIEN</v>
      </c>
      <c r="C13" s="48">
        <f>MVTRESUME24!C14+MVTRESUME24!D14</f>
        <v>700041.23580590985</v>
      </c>
      <c r="D13" s="48">
        <f>+MVTRESUME24!L14</f>
        <v>228000</v>
      </c>
      <c r="E13" s="48">
        <f>+MVTRESUME24!M14</f>
        <v>12000</v>
      </c>
      <c r="F13" s="48">
        <f>+MVTRESUME24!N14</f>
        <v>12000</v>
      </c>
      <c r="G13" s="48">
        <f>+MVTRESUME24!O14</f>
        <v>48000</v>
      </c>
      <c r="H13" s="48">
        <f>+MVTRESUME24!P14</f>
        <v>0</v>
      </c>
      <c r="I13" s="48">
        <f>+MVTRESUME24!Q14</f>
        <v>0</v>
      </c>
      <c r="J13" s="48">
        <f>+MVTRESUME24!R14</f>
        <v>0</v>
      </c>
      <c r="K13" s="48">
        <f>+MVTRESUME24!W14</f>
        <v>0</v>
      </c>
      <c r="L13" s="165">
        <f>+MVTRESUME24!AM14</f>
        <v>120000</v>
      </c>
      <c r="M13" s="166">
        <f>IF(L13=0,"",VLOOKUP(A13,MVTRESUME24!A14:AQ48,38,0))</f>
        <v>45627</v>
      </c>
      <c r="N13" s="48">
        <v>0</v>
      </c>
      <c r="O13" s="48">
        <v>0</v>
      </c>
      <c r="P13" s="48">
        <v>0</v>
      </c>
      <c r="Q13" s="48">
        <v>0</v>
      </c>
      <c r="R13" s="168"/>
    </row>
    <row r="14" spans="1:18" ht="15.5" x14ac:dyDescent="0.35">
      <c r="A14" s="42" t="s">
        <v>26</v>
      </c>
      <c r="B14" s="49" t="str">
        <f>VLOOKUP(A14,[19]LISTADHERENT!A$5:H$60,3,0)</f>
        <v>DONHOU DAVID</v>
      </c>
      <c r="C14" s="48">
        <f>MVTRESUME24!C15+MVTRESUME24!D15</f>
        <v>1218031.291016574</v>
      </c>
      <c r="D14" s="48">
        <f>+MVTRESUME24!L15</f>
        <v>228000</v>
      </c>
      <c r="E14" s="48">
        <f>+MVTRESUME24!M15</f>
        <v>12000</v>
      </c>
      <c r="F14" s="48">
        <f>+MVTRESUME24!N15</f>
        <v>12000</v>
      </c>
      <c r="G14" s="48">
        <f>+MVTRESUME24!O15</f>
        <v>48000</v>
      </c>
      <c r="H14" s="48">
        <f>+MVTRESUME24!P15</f>
        <v>3000</v>
      </c>
      <c r="I14" s="48">
        <f>+MVTRESUME24!Q15</f>
        <v>0</v>
      </c>
      <c r="J14" s="48">
        <f>+MVTRESUME24!R15</f>
        <v>0</v>
      </c>
      <c r="K14" s="48">
        <f>+MVTRESUME24!W15</f>
        <v>0</v>
      </c>
      <c r="L14" s="165">
        <f>+MVTRESUME24!AM15</f>
        <v>0</v>
      </c>
      <c r="M14" s="166" t="str">
        <f>IF(L14=0,"",VLOOKUP(A14,MVTRESUME24!A15:AQ49,38,0))</f>
        <v/>
      </c>
      <c r="N14" s="48">
        <v>0</v>
      </c>
      <c r="O14" s="48">
        <v>0</v>
      </c>
      <c r="P14" s="48">
        <v>0</v>
      </c>
      <c r="Q14" s="48">
        <v>0</v>
      </c>
      <c r="R14" s="168"/>
    </row>
    <row r="15" spans="1:18" ht="14.25" customHeight="1" x14ac:dyDescent="0.35">
      <c r="A15" s="42" t="s">
        <v>28</v>
      </c>
      <c r="B15" s="49" t="str">
        <f>VLOOKUP(A15,[19]LISTADHERENT!A$5:H$60,3,0)</f>
        <v>HENGUE PAUL OMER</v>
      </c>
      <c r="C15" s="48">
        <f>MVTRESUME24!C16+MVTRESUME24!D16</f>
        <v>757899.60350092198</v>
      </c>
      <c r="D15" s="48">
        <f>+MVTRESUME24!L16</f>
        <v>228000</v>
      </c>
      <c r="E15" s="48">
        <f>+MVTRESUME24!M16</f>
        <v>12000</v>
      </c>
      <c r="F15" s="48">
        <f>+MVTRESUME24!N16</f>
        <v>12000</v>
      </c>
      <c r="G15" s="48">
        <f>+MVTRESUME24!O16</f>
        <v>48000</v>
      </c>
      <c r="H15" s="48">
        <f>+MVTRESUME24!P16</f>
        <v>0</v>
      </c>
      <c r="I15" s="48">
        <f>+MVTRESUME24!Q16</f>
        <v>0</v>
      </c>
      <c r="J15" s="48">
        <f>+MVTRESUME24!R16</f>
        <v>0</v>
      </c>
      <c r="K15" s="48">
        <f>+MVTRESUME24!W16</f>
        <v>1000000</v>
      </c>
      <c r="L15" s="165">
        <f>+MVTRESUME24!AM16</f>
        <v>70000</v>
      </c>
      <c r="M15" s="166">
        <f>IF(L15=0,"",VLOOKUP(A15,MVTRESUME24!A16:AQ50,38,0))</f>
        <v>45627</v>
      </c>
      <c r="N15" s="48">
        <v>0</v>
      </c>
      <c r="O15" s="48">
        <v>0</v>
      </c>
      <c r="P15" s="48">
        <v>0</v>
      </c>
      <c r="Q15" s="48">
        <v>0</v>
      </c>
      <c r="R15" s="168"/>
    </row>
    <row r="16" spans="1:18" ht="15.5" x14ac:dyDescent="0.35">
      <c r="A16" s="42" t="s">
        <v>29</v>
      </c>
      <c r="B16" s="49" t="str">
        <f>VLOOKUP(A16,[19]LISTADHERENT!A$5:H$60,3,0)</f>
        <v>HOTCHO BENJAMIN</v>
      </c>
      <c r="C16" s="48">
        <f>MVTRESUME24!C17+MVTRESUME24!D17</f>
        <v>729661.20810410159</v>
      </c>
      <c r="D16" s="48">
        <f>+MVTRESUME24!L17</f>
        <v>587000</v>
      </c>
      <c r="E16" s="48">
        <f>+MVTRESUME24!M17</f>
        <v>12000</v>
      </c>
      <c r="F16" s="48">
        <f>+MVTRESUME24!N17</f>
        <v>12000</v>
      </c>
      <c r="G16" s="48">
        <f>+MVTRESUME24!O17</f>
        <v>48000</v>
      </c>
      <c r="H16" s="48">
        <f>+MVTRESUME24!P17</f>
        <v>0</v>
      </c>
      <c r="I16" s="48">
        <f>+MVTRESUME24!Q17</f>
        <v>0</v>
      </c>
      <c r="J16" s="48">
        <f>+MVTRESUME24!R17</f>
        <v>0</v>
      </c>
      <c r="K16" s="48">
        <f>+MVTRESUME24!W17</f>
        <v>0</v>
      </c>
      <c r="L16" s="165">
        <f>+MVTRESUME24!AM17</f>
        <v>30000</v>
      </c>
      <c r="M16" s="166">
        <f>IF(L16=0,"",VLOOKUP(A16,MVTRESUME24!A17:AQ51,38,0))</f>
        <v>45627</v>
      </c>
      <c r="N16" s="48">
        <v>0</v>
      </c>
      <c r="O16" s="48">
        <v>0</v>
      </c>
      <c r="P16" s="48">
        <v>0</v>
      </c>
      <c r="Q16" s="48">
        <v>0</v>
      </c>
      <c r="R16" s="168"/>
    </row>
    <row r="17" spans="1:18" ht="15.5" x14ac:dyDescent="0.35">
      <c r="A17" s="42" t="s">
        <v>33</v>
      </c>
      <c r="B17" s="49" t="str">
        <f>VLOOKUP(A17,[19]LISTADHERENT!A$5:H$60,3,0)</f>
        <v>KOUAMOU MOISE</v>
      </c>
      <c r="C17" s="48">
        <f>MVTRESUME24!C18+MVTRESUME24!D18</f>
        <v>709267.50515287893</v>
      </c>
      <c r="D17" s="48">
        <f>+MVTRESUME24!L18</f>
        <v>224000</v>
      </c>
      <c r="E17" s="48">
        <f>+MVTRESUME24!M18</f>
        <v>12000</v>
      </c>
      <c r="F17" s="48">
        <f>+MVTRESUME24!N18</f>
        <v>12000</v>
      </c>
      <c r="G17" s="48">
        <f>+MVTRESUME24!O18</f>
        <v>48000</v>
      </c>
      <c r="H17" s="48">
        <f>+MVTRESUME24!P18</f>
        <v>6000</v>
      </c>
      <c r="I17" s="48">
        <f>+MVTRESUME24!Q18</f>
        <v>0</v>
      </c>
      <c r="J17" s="48">
        <f>+MVTRESUME24!R18</f>
        <v>0</v>
      </c>
      <c r="K17" s="48">
        <f>+MVTRESUME24!W18</f>
        <v>330000</v>
      </c>
      <c r="L17" s="165">
        <f>+MVTRESUME24!AM18</f>
        <v>110000</v>
      </c>
      <c r="M17" s="166">
        <f>IF(L17=0,"",VLOOKUP(A17,MVTRESUME24!A18:AQ52,38,0))</f>
        <v>45627</v>
      </c>
      <c r="N17" s="48">
        <v>0</v>
      </c>
      <c r="O17" s="48">
        <v>0</v>
      </c>
      <c r="P17" s="48">
        <v>0</v>
      </c>
      <c r="Q17" s="48">
        <v>100000</v>
      </c>
      <c r="R17" s="168"/>
    </row>
    <row r="18" spans="1:18" ht="15.5" x14ac:dyDescent="0.35">
      <c r="A18" s="42" t="s">
        <v>35</v>
      </c>
      <c r="B18" s="49" t="str">
        <f>VLOOKUP(A18,[19]LISTADHERENT!A$5:H$60,3,0)</f>
        <v>KOUATCHO MESSACK</v>
      </c>
      <c r="C18" s="48">
        <f>MVTRESUME24!C19+MVTRESUME24!D19</f>
        <v>724428.62806524511</v>
      </c>
      <c r="D18" s="48">
        <f>+MVTRESUME24!L19</f>
        <v>320000</v>
      </c>
      <c r="E18" s="48">
        <f>+MVTRESUME24!M19</f>
        <v>12000</v>
      </c>
      <c r="F18" s="48">
        <f>+MVTRESUME24!N19</f>
        <v>12000</v>
      </c>
      <c r="G18" s="48">
        <f>+MVTRESUME24!O19</f>
        <v>48000</v>
      </c>
      <c r="H18" s="48">
        <f>+MVTRESUME24!P19</f>
        <v>6000</v>
      </c>
      <c r="I18" s="48">
        <f>+MVTRESUME24!Q19</f>
        <v>0</v>
      </c>
      <c r="J18" s="48">
        <f>+MVTRESUME24!R19</f>
        <v>0</v>
      </c>
      <c r="K18" s="48">
        <f>+MVTRESUME24!W19</f>
        <v>1000000</v>
      </c>
      <c r="L18" s="165">
        <f>+MVTRESUME24!AM19</f>
        <v>64000</v>
      </c>
      <c r="M18" s="166">
        <f>IF(L18=0,"",VLOOKUP(A18,MVTRESUME24!A19:AQ53,38,0))</f>
        <v>45627</v>
      </c>
      <c r="N18" s="48">
        <v>0</v>
      </c>
      <c r="O18" s="48">
        <v>0</v>
      </c>
      <c r="P18" s="48">
        <v>0</v>
      </c>
      <c r="Q18" s="48">
        <v>0</v>
      </c>
      <c r="R18" s="168"/>
    </row>
    <row r="19" spans="1:18" ht="15.5" x14ac:dyDescent="0.35">
      <c r="A19" s="42" t="s">
        <v>36</v>
      </c>
      <c r="B19" s="49" t="str">
        <f>VLOOKUP(A19,[19]LISTADHERENT!A$5:H$60,3,0)</f>
        <v>LOWE JEAN</v>
      </c>
      <c r="C19" s="48">
        <f>MVTRESUME24!C20+MVTRESUME24!D20</f>
        <v>1352434</v>
      </c>
      <c r="D19" s="48">
        <f>+MVTRESUME24!L20</f>
        <v>0</v>
      </c>
      <c r="E19" s="48">
        <f>+MVTRESUME24!M20</f>
        <v>0</v>
      </c>
      <c r="F19" s="48">
        <f>+MVTRESUME24!N20</f>
        <v>0</v>
      </c>
      <c r="G19" s="48">
        <f>+MVTRESUME24!O20</f>
        <v>0</v>
      </c>
      <c r="H19" s="48">
        <f>+MVTRESUME24!P20</f>
        <v>0</v>
      </c>
      <c r="I19" s="48">
        <f>+MVTRESUME24!Q20</f>
        <v>0</v>
      </c>
      <c r="J19" s="48">
        <f>+MVTRESUME24!R20</f>
        <v>0</v>
      </c>
      <c r="K19" s="48">
        <f>+MVTRESUME24!W20</f>
        <v>0</v>
      </c>
      <c r="L19" s="165">
        <f>+MVTRESUME24!AM20</f>
        <v>0</v>
      </c>
      <c r="M19" s="166" t="str">
        <f>IF(L19=0,"",VLOOKUP(A19,MVTRESUME24!A20:AQ54,38,0))</f>
        <v/>
      </c>
      <c r="N19" s="48">
        <v>0</v>
      </c>
      <c r="O19" s="48">
        <v>0</v>
      </c>
      <c r="P19" s="48">
        <v>0</v>
      </c>
      <c r="Q19" s="48">
        <v>0</v>
      </c>
      <c r="R19" s="168"/>
    </row>
    <row r="20" spans="1:18" ht="15.5" x14ac:dyDescent="0.35">
      <c r="A20" s="42" t="s">
        <v>329</v>
      </c>
      <c r="B20" s="49" t="str">
        <f>VLOOKUP(A20,[19]LISTADHERENT!A$5:H$60,3,0)</f>
        <v>MASSEUNGOUE DAGOBERT</v>
      </c>
      <c r="C20" s="48">
        <f>MVTRESUME24!C21+MVTRESUME24!D21</f>
        <v>0</v>
      </c>
      <c r="D20" s="48">
        <f>+MVTRESUME24!L21</f>
        <v>525500</v>
      </c>
      <c r="E20" s="48">
        <f>+MVTRESUME24!M21</f>
        <v>12000</v>
      </c>
      <c r="F20" s="48">
        <f>+MVTRESUME24!N21</f>
        <v>12000</v>
      </c>
      <c r="G20" s="48">
        <f>+MVTRESUME24!O21</f>
        <v>48000</v>
      </c>
      <c r="H20" s="48">
        <f>+MVTRESUME24!P21</f>
        <v>0</v>
      </c>
      <c r="I20" s="48">
        <f>+MVTRESUME24!Q21</f>
        <v>25000</v>
      </c>
      <c r="J20" s="48">
        <f>+MVTRESUME24!R21</f>
        <v>0</v>
      </c>
      <c r="K20" s="48">
        <f>+MVTRESUME24!W21</f>
        <v>0</v>
      </c>
      <c r="L20" s="165">
        <f>+MVTRESUME24!AM21</f>
        <v>0</v>
      </c>
      <c r="M20" s="166" t="str">
        <f>IF(L20=0,"",VLOOKUP(A20,MVTRESUME24!A21:AQ55,38,0))</f>
        <v/>
      </c>
      <c r="N20" s="48">
        <v>0</v>
      </c>
      <c r="O20" s="48">
        <v>0</v>
      </c>
      <c r="P20" s="48">
        <v>0</v>
      </c>
      <c r="Q20" s="48">
        <v>0</v>
      </c>
      <c r="R20" s="168"/>
    </row>
    <row r="21" spans="1:18" ht="15.5" x14ac:dyDescent="0.35">
      <c r="A21" s="42" t="s">
        <v>75</v>
      </c>
      <c r="B21" s="49" t="str">
        <f>VLOOKUP(A21,[19]LISTADHERENT!A$5:H$60,3,0)</f>
        <v>MBOGNING TUGMA GUY</v>
      </c>
      <c r="C21" s="48">
        <f>MVTRESUME24!C22+MVTRESUME24!D22</f>
        <v>731709.39724118263</v>
      </c>
      <c r="D21" s="48">
        <f>+MVTRESUME24!L22</f>
        <v>226500</v>
      </c>
      <c r="E21" s="48">
        <f>+MVTRESUME24!M22</f>
        <v>12000</v>
      </c>
      <c r="F21" s="48">
        <f>+MVTRESUME24!N22</f>
        <v>12000</v>
      </c>
      <c r="G21" s="48">
        <f>+MVTRESUME24!O22</f>
        <v>48000</v>
      </c>
      <c r="H21" s="48">
        <f>+MVTRESUME24!P22</f>
        <v>0</v>
      </c>
      <c r="I21" s="48">
        <f>+MVTRESUME24!Q22</f>
        <v>0</v>
      </c>
      <c r="J21" s="48">
        <f>+MVTRESUME24!R22</f>
        <v>0</v>
      </c>
      <c r="K21" s="48">
        <f>+MVTRESUME24!W22</f>
        <v>1000000</v>
      </c>
      <c r="L21" s="165">
        <f>+MVTRESUME24!AM22</f>
        <v>120000</v>
      </c>
      <c r="M21" s="166">
        <f>IF(L21=0,"",VLOOKUP(A21,MVTRESUME24!A22:AQ56,38,0))</f>
        <v>45627</v>
      </c>
      <c r="N21" s="48">
        <v>0</v>
      </c>
      <c r="O21" s="48">
        <v>0</v>
      </c>
      <c r="P21" s="48">
        <v>0</v>
      </c>
      <c r="Q21" s="48">
        <v>0</v>
      </c>
      <c r="R21" s="168"/>
    </row>
    <row r="22" spans="1:18" ht="15.5" x14ac:dyDescent="0.35">
      <c r="A22" s="42" t="s">
        <v>50</v>
      </c>
      <c r="B22" s="49" t="str">
        <f>VLOOKUP(A22,[19]LISTADHERENT!A$5:H$60,3,0)</f>
        <v>NANGUEN MARTIN</v>
      </c>
      <c r="C22" s="48">
        <f>MVTRESUME24!C23+MVTRESUME24!D23</f>
        <v>701150.36208088184</v>
      </c>
      <c r="D22" s="48">
        <f>+MVTRESUME24!L23</f>
        <v>228000</v>
      </c>
      <c r="E22" s="48">
        <f>+MVTRESUME24!M23</f>
        <v>12000</v>
      </c>
      <c r="F22" s="48">
        <f>+MVTRESUME24!N23</f>
        <v>12000</v>
      </c>
      <c r="G22" s="48">
        <f>+MVTRESUME24!O23</f>
        <v>48000</v>
      </c>
      <c r="H22" s="48">
        <f>+MVTRESUME24!P23</f>
        <v>0</v>
      </c>
      <c r="I22" s="48">
        <f>+MVTRESUME24!Q23</f>
        <v>0</v>
      </c>
      <c r="J22" s="48">
        <f>+MVTRESUME24!R23</f>
        <v>0</v>
      </c>
      <c r="K22" s="48">
        <f>+MVTRESUME24!W23</f>
        <v>0</v>
      </c>
      <c r="L22" s="165">
        <f>+MVTRESUME24!AM23</f>
        <v>64500</v>
      </c>
      <c r="M22" s="166">
        <f>IF(L22=0,"",VLOOKUP(A22,MVTRESUME24!A23:AQ57,38,0))</f>
        <v>45474</v>
      </c>
      <c r="N22" s="48">
        <v>0</v>
      </c>
      <c r="O22" s="48">
        <v>0</v>
      </c>
      <c r="P22" s="48">
        <v>0</v>
      </c>
      <c r="Q22" s="48">
        <v>0</v>
      </c>
      <c r="R22" s="168"/>
    </row>
    <row r="23" spans="1:18" ht="15.5" x14ac:dyDescent="0.35">
      <c r="A23" s="42" t="s">
        <v>37</v>
      </c>
      <c r="B23" s="49" t="str">
        <f>VLOOKUP(A23,[19]LISTADHERENT!A$5:H$60,3,0)</f>
        <v>NANKAM APPOLINAIRE</v>
      </c>
      <c r="C23" s="48">
        <f>MVTRESUME24!C24+MVTRESUME24!D24</f>
        <v>800402.23439018801</v>
      </c>
      <c r="D23" s="48">
        <f>+MVTRESUME24!L24</f>
        <v>228000</v>
      </c>
      <c r="E23" s="48">
        <f>+MVTRESUME24!M24</f>
        <v>12000</v>
      </c>
      <c r="F23" s="48">
        <f>+MVTRESUME24!N24</f>
        <v>12000</v>
      </c>
      <c r="G23" s="48">
        <f>+MVTRESUME24!O24</f>
        <v>48000</v>
      </c>
      <c r="H23" s="48">
        <f>+MVTRESUME24!P24</f>
        <v>3000</v>
      </c>
      <c r="I23" s="48">
        <f>+MVTRESUME24!Q24</f>
        <v>0</v>
      </c>
      <c r="J23" s="48">
        <f>+MVTRESUME24!R24</f>
        <v>0</v>
      </c>
      <c r="K23" s="48">
        <f>+MVTRESUME24!W24</f>
        <v>900000</v>
      </c>
      <c r="L23" s="165">
        <f>+MVTRESUME24!AM24</f>
        <v>120000</v>
      </c>
      <c r="M23" s="166">
        <f>IF(L23=0,"",VLOOKUP(A23,MVTRESUME24!A24:AQ58,38,0))</f>
        <v>45627</v>
      </c>
      <c r="N23" s="48">
        <v>0</v>
      </c>
      <c r="O23" s="48">
        <v>0</v>
      </c>
      <c r="P23" s="48">
        <v>0</v>
      </c>
      <c r="Q23" s="48">
        <v>0</v>
      </c>
      <c r="R23" s="168"/>
    </row>
    <row r="24" spans="1:18" ht="15.5" x14ac:dyDescent="0.35">
      <c r="A24" s="42" t="s">
        <v>38</v>
      </c>
      <c r="B24" s="49" t="str">
        <f>VLOOKUP(A24,[19]LISTADHERENT!A$5:H$60,3,0)</f>
        <v>NDJOMO ETIENNE</v>
      </c>
      <c r="C24" s="48">
        <f>MVTRESUME24!C25+MVTRESUME24!D25</f>
        <v>924970.61781197961</v>
      </c>
      <c r="D24" s="48">
        <f>+MVTRESUME24!L25</f>
        <v>368000</v>
      </c>
      <c r="E24" s="48">
        <f>+MVTRESUME24!M25</f>
        <v>12000</v>
      </c>
      <c r="F24" s="48">
        <f>+MVTRESUME24!N25</f>
        <v>12000</v>
      </c>
      <c r="G24" s="48">
        <f>+MVTRESUME24!O25</f>
        <v>48000</v>
      </c>
      <c r="H24" s="48">
        <f>+MVTRESUME24!P25</f>
        <v>0</v>
      </c>
      <c r="I24" s="48">
        <f>+MVTRESUME24!Q25</f>
        <v>0</v>
      </c>
      <c r="J24" s="48">
        <f>+MVTRESUME24!R25</f>
        <v>0</v>
      </c>
      <c r="K24" s="48">
        <f>+MVTRESUME24!W25</f>
        <v>500000</v>
      </c>
      <c r="L24" s="165">
        <f>+MVTRESUME24!AM25</f>
        <v>60000</v>
      </c>
      <c r="M24" s="166">
        <f>IF(L24=0,"",VLOOKUP(A24,MVTRESUME24!A25:AQ59,38,0))</f>
        <v>45627</v>
      </c>
      <c r="N24" s="48">
        <v>0</v>
      </c>
      <c r="O24" s="48">
        <v>0</v>
      </c>
      <c r="P24" s="48">
        <v>0</v>
      </c>
      <c r="Q24" s="48">
        <v>0</v>
      </c>
      <c r="R24" s="168"/>
    </row>
    <row r="25" spans="1:18" ht="15.5" x14ac:dyDescent="0.35">
      <c r="A25" s="42" t="s">
        <v>39</v>
      </c>
      <c r="B25" s="49" t="str">
        <f>VLOOKUP(A25,[19]LISTADHERENT!A$5:H$60,3,0)</f>
        <v>NGONDIEP CLAUDE</v>
      </c>
      <c r="C25" s="48">
        <f>MVTRESUME24!C26+MVTRESUME24!D26</f>
        <v>757632.73227114684</v>
      </c>
      <c r="D25" s="48">
        <f>+MVTRESUME24!L26</f>
        <v>393000</v>
      </c>
      <c r="E25" s="48">
        <f>+MVTRESUME24!M26</f>
        <v>12000</v>
      </c>
      <c r="F25" s="48">
        <f>+MVTRESUME24!N26</f>
        <v>12000</v>
      </c>
      <c r="G25" s="48">
        <f>+MVTRESUME24!O26</f>
        <v>48000</v>
      </c>
      <c r="H25" s="48">
        <f>+MVTRESUME24!P26</f>
        <v>12000</v>
      </c>
      <c r="I25" s="48">
        <f>+MVTRESUME24!Q26</f>
        <v>0</v>
      </c>
      <c r="J25" s="48">
        <f>+MVTRESUME24!R26</f>
        <v>0</v>
      </c>
      <c r="K25" s="48">
        <f>+MVTRESUME24!W26</f>
        <v>0</v>
      </c>
      <c r="L25" s="165">
        <f>+MVTRESUME24!AM26</f>
        <v>120000</v>
      </c>
      <c r="M25" s="166">
        <f>IF(L25=0,"",VLOOKUP(A25,MVTRESUME24!A26:AQ60,38,0))</f>
        <v>45627</v>
      </c>
      <c r="N25" s="48">
        <v>0</v>
      </c>
      <c r="O25" s="48">
        <v>0</v>
      </c>
      <c r="P25" s="48">
        <v>0</v>
      </c>
      <c r="Q25" s="48">
        <v>100000</v>
      </c>
      <c r="R25" s="168"/>
    </row>
    <row r="26" spans="1:18" ht="15.5" x14ac:dyDescent="0.35">
      <c r="A26" s="42" t="s">
        <v>41</v>
      </c>
      <c r="B26" s="49" t="str">
        <f>VLOOKUP(A26,[19]LISTADHERENT!A$5:H$60,3,0)</f>
        <v>NGUIEMEGNI MATHIEU BLAISE</v>
      </c>
      <c r="C26" s="48">
        <f>MVTRESUME24!C27+MVTRESUME24!D27</f>
        <v>720382.7842318085</v>
      </c>
      <c r="D26" s="48">
        <f>+MVTRESUME24!L27</f>
        <v>220500</v>
      </c>
      <c r="E26" s="48">
        <f>+MVTRESUME24!M27</f>
        <v>12000</v>
      </c>
      <c r="F26" s="48">
        <f>+MVTRESUME24!N27</f>
        <v>12000</v>
      </c>
      <c r="G26" s="48">
        <f>+MVTRESUME24!O27</f>
        <v>48000</v>
      </c>
      <c r="H26" s="48">
        <f>+MVTRESUME24!P27</f>
        <v>3000</v>
      </c>
      <c r="I26" s="48">
        <f>+MVTRESUME24!Q27</f>
        <v>0</v>
      </c>
      <c r="J26" s="48">
        <f>+MVTRESUME24!R27</f>
        <v>0</v>
      </c>
      <c r="K26" s="48">
        <f>+MVTRESUME24!W27</f>
        <v>1000000</v>
      </c>
      <c r="L26" s="165">
        <f>+MVTRESUME24!AM27</f>
        <v>120000</v>
      </c>
      <c r="M26" s="166">
        <f>IF(L26=0,"",VLOOKUP(A26,MVTRESUME24!A27:AQ61,38,0))</f>
        <v>45627</v>
      </c>
      <c r="N26" s="48">
        <v>0</v>
      </c>
      <c r="O26" s="48">
        <v>0</v>
      </c>
      <c r="P26" s="48">
        <v>0</v>
      </c>
      <c r="Q26" s="48">
        <v>0</v>
      </c>
      <c r="R26" s="168"/>
    </row>
    <row r="27" spans="1:18" ht="15.5" x14ac:dyDescent="0.35">
      <c r="A27" s="42" t="s">
        <v>43</v>
      </c>
      <c r="B27" s="49" t="str">
        <f>VLOOKUP(A27,[19]LISTADHERENT!A$5:H$60,3,0)</f>
        <v>NKAMGANG JUSTIN DEJOLIE</v>
      </c>
      <c r="C27" s="48">
        <f>MVTRESUME24!C28+MVTRESUME24!D28</f>
        <v>719031.48458375828</v>
      </c>
      <c r="D27" s="48">
        <f>+MVTRESUME24!L28</f>
        <v>229500</v>
      </c>
      <c r="E27" s="48">
        <f>+MVTRESUME24!M28</f>
        <v>12000</v>
      </c>
      <c r="F27" s="48">
        <f>+MVTRESUME24!N28</f>
        <v>12000</v>
      </c>
      <c r="G27" s="48">
        <f>+MVTRESUME24!O28</f>
        <v>48000</v>
      </c>
      <c r="H27" s="48">
        <f>+MVTRESUME24!P28</f>
        <v>0</v>
      </c>
      <c r="I27" s="48">
        <f>+MVTRESUME24!Q28</f>
        <v>0</v>
      </c>
      <c r="J27" s="48">
        <f>+MVTRESUME24!R28</f>
        <v>0</v>
      </c>
      <c r="K27" s="48">
        <f>+MVTRESUME24!W28</f>
        <v>1000000</v>
      </c>
      <c r="L27" s="165">
        <f>+MVTRESUME24!AM28</f>
        <v>90000</v>
      </c>
      <c r="M27" s="166">
        <f>IF(L27=0,"",VLOOKUP(A27,MVTRESUME24!A28:AQ62,38,0))</f>
        <v>45566</v>
      </c>
      <c r="N27" s="48">
        <v>0</v>
      </c>
      <c r="O27" s="48">
        <v>0</v>
      </c>
      <c r="P27" s="48">
        <v>0</v>
      </c>
      <c r="Q27" s="48">
        <v>0</v>
      </c>
      <c r="R27" s="168"/>
    </row>
    <row r="28" spans="1:18" ht="15.5" x14ac:dyDescent="0.35">
      <c r="A28" s="42" t="s">
        <v>172</v>
      </c>
      <c r="B28" s="49" t="str">
        <f>VLOOKUP(A28,[19]LISTADHERENT!A$5:H$60,3,0)</f>
        <v>NOUBE ETIENNE</v>
      </c>
      <c r="C28" s="48">
        <f>MVTRESUME24!C29+MVTRESUME24!D29</f>
        <v>1332038</v>
      </c>
      <c r="D28" s="48">
        <f>+MVTRESUME24!L29</f>
        <v>228000</v>
      </c>
      <c r="E28" s="48">
        <f>+MVTRESUME24!M29</f>
        <v>12000</v>
      </c>
      <c r="F28" s="48">
        <f>+MVTRESUME24!N29</f>
        <v>12000</v>
      </c>
      <c r="G28" s="48">
        <f>+MVTRESUME24!O29</f>
        <v>48000</v>
      </c>
      <c r="H28" s="48">
        <f>+MVTRESUME24!P29</f>
        <v>0</v>
      </c>
      <c r="I28" s="48">
        <f>+MVTRESUME24!Q29</f>
        <v>0</v>
      </c>
      <c r="J28" s="48">
        <f>+MVTRESUME24!R29</f>
        <v>0</v>
      </c>
      <c r="K28" s="48">
        <f>+MVTRESUME24!W29</f>
        <v>0</v>
      </c>
      <c r="L28" s="165">
        <f>+MVTRESUME24!AM29</f>
        <v>9250</v>
      </c>
      <c r="M28" s="166">
        <f>IF(L28=0,"",VLOOKUP(A28,MVTRESUME24!A29:AQ63,38,0))</f>
        <v>45444</v>
      </c>
      <c r="N28" s="48">
        <v>0</v>
      </c>
      <c r="O28" s="48">
        <v>0</v>
      </c>
      <c r="P28" s="48">
        <v>0</v>
      </c>
      <c r="Q28" s="48">
        <v>0</v>
      </c>
      <c r="R28" s="168"/>
    </row>
    <row r="29" spans="1:18" ht="15.5" x14ac:dyDescent="0.35">
      <c r="A29" s="42" t="s">
        <v>45</v>
      </c>
      <c r="B29" s="49" t="str">
        <f>VLOOKUP(A29,[19]LISTADHERENT!A$5:H$60,3,0)</f>
        <v>PATEGO NJOSSU GUSTAVE</v>
      </c>
      <c r="C29" s="48">
        <f>MVTRESUME24!C30+MVTRESUME24!D30</f>
        <v>743697.66630075849</v>
      </c>
      <c r="D29" s="48">
        <f>+MVTRESUME24!L30</f>
        <v>255000</v>
      </c>
      <c r="E29" s="48">
        <f>+MVTRESUME24!M30</f>
        <v>12000</v>
      </c>
      <c r="F29" s="48">
        <f>+MVTRESUME24!N30</f>
        <v>12000</v>
      </c>
      <c r="G29" s="48">
        <f>+MVTRESUME24!O30</f>
        <v>48000</v>
      </c>
      <c r="H29" s="48">
        <f>+MVTRESUME24!P30</f>
        <v>0</v>
      </c>
      <c r="I29" s="48">
        <f>+MVTRESUME24!Q30</f>
        <v>0</v>
      </c>
      <c r="J29" s="48">
        <f>+MVTRESUME24!R30</f>
        <v>0</v>
      </c>
      <c r="K29" s="48">
        <f>+MVTRESUME24!W30</f>
        <v>0</v>
      </c>
      <c r="L29" s="165">
        <f>+MVTRESUME24!AM30</f>
        <v>0</v>
      </c>
      <c r="M29" s="166" t="str">
        <f>IF(L29=0,"",VLOOKUP(A29,MVTRESUME24!A30:AQ64,38,0))</f>
        <v/>
      </c>
      <c r="N29" s="48">
        <v>0</v>
      </c>
      <c r="O29" s="48">
        <v>0</v>
      </c>
      <c r="P29" s="48">
        <v>0</v>
      </c>
      <c r="Q29" s="48">
        <v>0</v>
      </c>
      <c r="R29" s="168"/>
    </row>
    <row r="30" spans="1:18" ht="15.5" x14ac:dyDescent="0.35">
      <c r="A30" s="42" t="s">
        <v>312</v>
      </c>
      <c r="B30" s="49" t="str">
        <f>VLOOKUP(A30,[19]LISTADHERENT!A$5:H$60,3,0)</f>
        <v>SEUMO POLYCARPE</v>
      </c>
      <c r="C30" s="48">
        <f>MVTRESUME24!C31+MVTRESUME24!D31</f>
        <v>245500</v>
      </c>
      <c r="D30" s="48">
        <f>+MVTRESUME24!L31</f>
        <v>685500</v>
      </c>
      <c r="E30" s="48">
        <f>+MVTRESUME24!M31</f>
        <v>12000</v>
      </c>
      <c r="F30" s="48">
        <f>+MVTRESUME24!N31</f>
        <v>12000</v>
      </c>
      <c r="G30" s="48">
        <f>+MVTRESUME24!O31</f>
        <v>48000</v>
      </c>
      <c r="H30" s="48">
        <f>+MVTRESUME24!P31</f>
        <v>0</v>
      </c>
      <c r="I30" s="48">
        <f>+MVTRESUME24!Q31</f>
        <v>0</v>
      </c>
      <c r="J30" s="48">
        <f>+MVTRESUME24!R31</f>
        <v>0</v>
      </c>
      <c r="K30" s="48">
        <f>+MVTRESUME24!W31</f>
        <v>1000000</v>
      </c>
      <c r="L30" s="165">
        <f>+MVTRESUME24!AM31</f>
        <v>0</v>
      </c>
      <c r="M30" s="166" t="str">
        <f>IF(L30=0,"",VLOOKUP(A30,MVTRESUME24!A31:AQ65,38,0))</f>
        <v/>
      </c>
      <c r="N30" s="48">
        <v>0</v>
      </c>
      <c r="O30" s="48">
        <v>0</v>
      </c>
      <c r="P30" s="48">
        <v>0</v>
      </c>
      <c r="Q30" s="48">
        <v>0</v>
      </c>
      <c r="R30" s="168"/>
    </row>
    <row r="31" spans="1:18" ht="15.5" x14ac:dyDescent="0.35">
      <c r="A31" s="42" t="s">
        <v>81</v>
      </c>
      <c r="B31" s="49" t="str">
        <f>VLOOKUP(A31,[19]LISTADHERENT!A$5:H$60,3,0)</f>
        <v>SIME BRICE</v>
      </c>
      <c r="C31" s="48">
        <f>MVTRESUME24!C32+MVTRESUME24!D32</f>
        <v>804364.15055016428</v>
      </c>
      <c r="D31" s="48">
        <f>+MVTRESUME24!L32</f>
        <v>231000</v>
      </c>
      <c r="E31" s="48">
        <f>+MVTRESUME24!M32</f>
        <v>12000</v>
      </c>
      <c r="F31" s="48">
        <f>+MVTRESUME24!N32</f>
        <v>12000</v>
      </c>
      <c r="G31" s="48">
        <f>+MVTRESUME24!O32</f>
        <v>48000</v>
      </c>
      <c r="H31" s="48">
        <f>+MVTRESUME24!P32</f>
        <v>0</v>
      </c>
      <c r="I31" s="48">
        <f>+MVTRESUME24!Q32</f>
        <v>0</v>
      </c>
      <c r="J31" s="48">
        <f>+MVTRESUME24!R32</f>
        <v>0</v>
      </c>
      <c r="K31" s="48">
        <f>+MVTRESUME24!W32</f>
        <v>1000000</v>
      </c>
      <c r="L31" s="165">
        <f>+MVTRESUME24!AM32</f>
        <v>90000</v>
      </c>
      <c r="M31" s="166">
        <f>IF(L31=0,"",VLOOKUP(A31,MVTRESUME24!A32:AQ66,38,0))</f>
        <v>0</v>
      </c>
      <c r="N31" s="48">
        <v>0</v>
      </c>
      <c r="O31" s="48">
        <v>0</v>
      </c>
      <c r="P31" s="48">
        <v>0</v>
      </c>
      <c r="Q31" s="48">
        <v>0</v>
      </c>
      <c r="R31" s="168"/>
    </row>
    <row r="32" spans="1:18" ht="15.5" x14ac:dyDescent="0.35">
      <c r="A32" s="42" t="s">
        <v>49</v>
      </c>
      <c r="B32" s="49" t="str">
        <f>VLOOKUP(A32,[19]LISTADHERENT!A$5:H$60,3,0)</f>
        <v>SIMO PIERRE</v>
      </c>
      <c r="C32" s="48">
        <f>MVTRESUME24!C33+MVTRESUME24!D33</f>
        <v>700686.61218299973</v>
      </c>
      <c r="D32" s="48">
        <f>+MVTRESUME24!L33</f>
        <v>228000</v>
      </c>
      <c r="E32" s="48">
        <f>+MVTRESUME24!M33</f>
        <v>12000</v>
      </c>
      <c r="F32" s="48">
        <f>+MVTRESUME24!N33</f>
        <v>12000</v>
      </c>
      <c r="G32" s="48">
        <f>+MVTRESUME24!O33</f>
        <v>48000</v>
      </c>
      <c r="H32" s="48">
        <f>+MVTRESUME24!P33</f>
        <v>0</v>
      </c>
      <c r="I32" s="48">
        <f>+MVTRESUME24!Q33</f>
        <v>0</v>
      </c>
      <c r="J32" s="48">
        <f>+MVTRESUME24!R33</f>
        <v>0</v>
      </c>
      <c r="K32" s="48">
        <f>+MVTRESUME24!W33</f>
        <v>1000000</v>
      </c>
      <c r="L32" s="165">
        <f>+MVTRESUME24!AM33</f>
        <v>105000</v>
      </c>
      <c r="M32" s="166">
        <f>IF(L32=0,"",VLOOKUP(A32,MVTRESUME24!A33:AQ67,38,0))</f>
        <v>45627</v>
      </c>
      <c r="N32" s="48">
        <v>0</v>
      </c>
      <c r="O32" s="48">
        <v>0</v>
      </c>
      <c r="P32" s="48">
        <v>0</v>
      </c>
      <c r="Q32" s="48">
        <v>100000</v>
      </c>
      <c r="R32" s="168"/>
    </row>
    <row r="33" spans="1:18" ht="15.5" x14ac:dyDescent="0.35">
      <c r="A33" s="42" t="s">
        <v>51</v>
      </c>
      <c r="B33" s="49" t="str">
        <f>VLOOKUP(A33,[19]LISTADHERENT!A$5:H$60,3,0)</f>
        <v>TCHOUAMOU MATHIEU</v>
      </c>
      <c r="C33" s="48">
        <f>MVTRESUME24!C34+MVTRESUME24!D34</f>
        <v>700975.80620651692</v>
      </c>
      <c r="D33" s="48">
        <f>+MVTRESUME24!L34</f>
        <v>1228000</v>
      </c>
      <c r="E33" s="48">
        <f>+MVTRESUME24!M34</f>
        <v>12000</v>
      </c>
      <c r="F33" s="48">
        <f>+MVTRESUME24!N34</f>
        <v>12000</v>
      </c>
      <c r="G33" s="48">
        <f>+MVTRESUME24!O34</f>
        <v>48000</v>
      </c>
      <c r="H33" s="48">
        <f>+MVTRESUME24!P34</f>
        <v>0</v>
      </c>
      <c r="I33" s="48">
        <f>+MVTRESUME24!Q34</f>
        <v>0</v>
      </c>
      <c r="J33" s="48">
        <f>+MVTRESUME24!R34</f>
        <v>0</v>
      </c>
      <c r="K33" s="48">
        <f>+MVTRESUME24!W34</f>
        <v>1000000</v>
      </c>
      <c r="L33" s="165">
        <f>+MVTRESUME24!AM34</f>
        <v>60000</v>
      </c>
      <c r="M33" s="166">
        <f>IF(L33=0,"",VLOOKUP(A33,MVTRESUME24!A34:AQ68,38,0))</f>
        <v>0</v>
      </c>
      <c r="N33" s="48">
        <v>0</v>
      </c>
      <c r="O33" s="48">
        <v>0</v>
      </c>
      <c r="P33" s="48">
        <v>0</v>
      </c>
      <c r="Q33" s="48">
        <v>0</v>
      </c>
      <c r="R33" s="168"/>
    </row>
    <row r="34" spans="1:18" ht="15.5" x14ac:dyDescent="0.35">
      <c r="A34" s="42" t="s">
        <v>327</v>
      </c>
      <c r="B34" s="49" t="str">
        <f>VLOOKUP(A34,[19]LISTADHERENT!A$5:H$60,3,0)</f>
        <v>TCHOUATEU AUGUSTIN</v>
      </c>
      <c r="C34" s="48">
        <f>MVTRESUME24!C35+MVTRESUME24!D35</f>
        <v>0</v>
      </c>
      <c r="D34" s="48">
        <f>+MVTRESUME24!L35</f>
        <v>972000</v>
      </c>
      <c r="E34" s="48">
        <f>+MVTRESUME24!M35</f>
        <v>12000</v>
      </c>
      <c r="F34" s="48">
        <f>+MVTRESUME24!N35</f>
        <v>12000</v>
      </c>
      <c r="G34" s="48">
        <f>+MVTRESUME24!O35</f>
        <v>48000</v>
      </c>
      <c r="H34" s="48">
        <f>+MVTRESUME24!P35</f>
        <v>0</v>
      </c>
      <c r="I34" s="48">
        <f>+MVTRESUME24!Q35</f>
        <v>25000</v>
      </c>
      <c r="J34" s="48">
        <f>+MVTRESUME24!R35</f>
        <v>120000</v>
      </c>
      <c r="K34" s="48">
        <f>+MVTRESUME24!W35</f>
        <v>1000000</v>
      </c>
      <c r="L34" s="165">
        <f>+MVTRESUME24!AM35</f>
        <v>0</v>
      </c>
      <c r="M34" s="166" t="str">
        <f>IF(L34=0,"",VLOOKUP(A34,MVTRESUME24!A35:AQ69,38,0))</f>
        <v/>
      </c>
      <c r="N34" s="48">
        <v>0</v>
      </c>
      <c r="O34" s="48">
        <v>0</v>
      </c>
      <c r="P34" s="48">
        <v>0</v>
      </c>
      <c r="Q34" s="48">
        <v>0</v>
      </c>
      <c r="R34" s="168"/>
    </row>
    <row r="35" spans="1:18" ht="15.5" x14ac:dyDescent="0.35">
      <c r="A35" s="42" t="s">
        <v>53</v>
      </c>
      <c r="B35" s="49" t="str">
        <f>VLOOKUP(A35,[19]LISTADHERENT!A$5:H$60,3,0)</f>
        <v>TCHOUTOU NANA CLAUDE</v>
      </c>
      <c r="C35" s="48">
        <f>MVTRESUME24!C36+MVTRESUME24!D36</f>
        <v>103000</v>
      </c>
      <c r="D35" s="48">
        <f>+MVTRESUME24!L36</f>
        <v>528750</v>
      </c>
      <c r="E35" s="48">
        <f>+MVTRESUME24!M36</f>
        <v>12000</v>
      </c>
      <c r="F35" s="48">
        <f>+MVTRESUME24!N36</f>
        <v>12000</v>
      </c>
      <c r="G35" s="48">
        <f>+MVTRESUME24!O36</f>
        <v>48000</v>
      </c>
      <c r="H35" s="48">
        <f>+MVTRESUME24!P36</f>
        <v>3000</v>
      </c>
      <c r="I35" s="48">
        <f>+MVTRESUME24!Q36</f>
        <v>0</v>
      </c>
      <c r="J35" s="48">
        <f>+MVTRESUME24!R36</f>
        <v>0</v>
      </c>
      <c r="K35" s="48">
        <f>+MVTRESUME24!W36</f>
        <v>0</v>
      </c>
      <c r="L35" s="165">
        <f>+MVTRESUME24!AM36</f>
        <v>0</v>
      </c>
      <c r="M35" s="166" t="str">
        <f>IF(L35=0,"",VLOOKUP(A35,MVTRESUME24!A36:AQ70,38,0))</f>
        <v/>
      </c>
      <c r="N35" s="48">
        <v>0</v>
      </c>
      <c r="O35" s="48">
        <v>0</v>
      </c>
      <c r="P35" s="48">
        <v>0</v>
      </c>
      <c r="Q35" s="48">
        <v>0</v>
      </c>
      <c r="R35" s="168"/>
    </row>
    <row r="36" spans="1:18" ht="15.5" x14ac:dyDescent="0.35">
      <c r="A36" s="42" t="s">
        <v>313</v>
      </c>
      <c r="B36" s="49" t="str">
        <f>VLOOKUP(A36,[19]LISTADHERENT!A$5:H$60,3,0)</f>
        <v>YANTCHOU GERVAIS</v>
      </c>
      <c r="C36" s="48">
        <f>MVTRESUME24!C37+MVTRESUME24!D37</f>
        <v>1396048</v>
      </c>
      <c r="D36" s="48">
        <f>+MVTRESUME24!L37</f>
        <v>338000</v>
      </c>
      <c r="E36" s="48">
        <f>+MVTRESUME24!M37</f>
        <v>12000</v>
      </c>
      <c r="F36" s="48">
        <f>+MVTRESUME24!N37</f>
        <v>12000</v>
      </c>
      <c r="G36" s="48">
        <f>+MVTRESUME24!O37</f>
        <v>48000</v>
      </c>
      <c r="H36" s="48">
        <f>+MVTRESUME24!P37</f>
        <v>0</v>
      </c>
      <c r="I36" s="48">
        <f>+MVTRESUME24!Q37</f>
        <v>0</v>
      </c>
      <c r="J36" s="48">
        <f>+MVTRESUME24!R37</f>
        <v>0</v>
      </c>
      <c r="K36" s="48">
        <f>+MVTRESUME24!W37</f>
        <v>1102500</v>
      </c>
      <c r="L36" s="165">
        <f>+MVTRESUME24!AM37</f>
        <v>84000</v>
      </c>
      <c r="M36" s="166">
        <f>IF(L36=0,"",VLOOKUP(A36,MVTRESUME24!A37:AQ71,38,0))</f>
        <v>0</v>
      </c>
      <c r="N36" s="48">
        <v>0</v>
      </c>
      <c r="O36" s="48">
        <v>0</v>
      </c>
      <c r="P36" s="48">
        <v>0</v>
      </c>
      <c r="Q36" s="48">
        <v>0</v>
      </c>
      <c r="R36" s="168"/>
    </row>
    <row r="37" spans="1:18" ht="15.5" x14ac:dyDescent="0.35">
      <c r="A37" s="42" t="s">
        <v>55</v>
      </c>
      <c r="B37" s="49" t="str">
        <f>VLOOKUP(A37,[19]LISTADHERENT!A$5:H$60,3,0)</f>
        <v>YEPMOU JEAN JACQUES</v>
      </c>
      <c r="C37" s="48">
        <f>MVTRESUME24!C38+MVTRESUME24!D38</f>
        <v>1703326.8477058813</v>
      </c>
      <c r="D37" s="48">
        <f>+MVTRESUME24!L38</f>
        <v>228000</v>
      </c>
      <c r="E37" s="48">
        <f>+MVTRESUME24!M38</f>
        <v>12000</v>
      </c>
      <c r="F37" s="48">
        <f>+MVTRESUME24!N38</f>
        <v>12000</v>
      </c>
      <c r="G37" s="48">
        <f>+MVTRESUME24!O38</f>
        <v>48000</v>
      </c>
      <c r="H37" s="48">
        <f>+MVTRESUME24!P38</f>
        <v>3000</v>
      </c>
      <c r="I37" s="48">
        <f>+MVTRESUME24!Q38</f>
        <v>0</v>
      </c>
      <c r="J37" s="48">
        <f>+MVTRESUME24!R38</f>
        <v>0</v>
      </c>
      <c r="K37" s="48">
        <f>+MVTRESUME24!W38</f>
        <v>0</v>
      </c>
      <c r="L37" s="165">
        <f>+MVTRESUME24!AM38</f>
        <v>0</v>
      </c>
      <c r="M37" s="166" t="str">
        <f>IF(L37=0,"",VLOOKUP(A37,MVTRESUME24!A38:AQ72,38,0))</f>
        <v/>
      </c>
      <c r="N37" s="48">
        <v>0</v>
      </c>
      <c r="O37" s="48">
        <v>0</v>
      </c>
      <c r="P37" s="48">
        <v>0</v>
      </c>
      <c r="Q37" s="48">
        <v>0</v>
      </c>
      <c r="R37" s="168"/>
    </row>
    <row r="38" spans="1:18" ht="15.5" x14ac:dyDescent="0.35">
      <c r="A38" s="42" t="s">
        <v>328</v>
      </c>
      <c r="B38" s="49" t="str">
        <f>VLOOKUP(A38,[19]LISTADHERENT!A$5:H$60,3,0)</f>
        <v>YIALA ALAIN OSCAR</v>
      </c>
      <c r="C38" s="48">
        <f>MVTRESUME24!C39+MVTRESUME24!D39</f>
        <v>0</v>
      </c>
      <c r="D38" s="48">
        <f>+MVTRESUME24!L39</f>
        <v>928000</v>
      </c>
      <c r="E38" s="48">
        <f>+MVTRESUME24!M39</f>
        <v>12000</v>
      </c>
      <c r="F38" s="48">
        <f>+MVTRESUME24!N39</f>
        <v>12000</v>
      </c>
      <c r="G38" s="48">
        <f>+MVTRESUME24!O39</f>
        <v>48000</v>
      </c>
      <c r="H38" s="48">
        <f>+MVTRESUME24!P39</f>
        <v>18000</v>
      </c>
      <c r="I38" s="48">
        <f>+MVTRESUME24!Q39</f>
        <v>25000</v>
      </c>
      <c r="J38" s="48">
        <f>+MVTRESUME24!R39</f>
        <v>120000</v>
      </c>
      <c r="K38" s="48">
        <f>+MVTRESUME24!W39</f>
        <v>0</v>
      </c>
      <c r="L38" s="165">
        <f>+MVTRESUME24!AM39</f>
        <v>0</v>
      </c>
      <c r="M38" s="166" t="str">
        <f>IF(L38=0,"",VLOOKUP(A38,MVTRESUME24!A39:AQ73,38,0))</f>
        <v/>
      </c>
      <c r="N38" s="48">
        <v>0</v>
      </c>
      <c r="O38" s="48">
        <v>0</v>
      </c>
      <c r="P38" s="48">
        <v>0</v>
      </c>
      <c r="Q38" s="48">
        <v>0</v>
      </c>
      <c r="R38" s="168"/>
    </row>
    <row r="39" spans="1:18" ht="15.5" x14ac:dyDescent="0.35">
      <c r="A39" s="42" t="s">
        <v>56</v>
      </c>
      <c r="B39" s="49" t="str">
        <f>VLOOKUP(A39,[19]LISTADHERENT!A$5:H$60,3,0)</f>
        <v>YOUMBI EMMANUEL</v>
      </c>
      <c r="C39" s="48">
        <f>MVTRESUME24!C40+MVTRESUME24!D40</f>
        <v>1857834.9698456018</v>
      </c>
      <c r="D39" s="48">
        <f>+MVTRESUME24!L40</f>
        <v>228000</v>
      </c>
      <c r="E39" s="48">
        <f>+MVTRESUME24!M40</f>
        <v>12000</v>
      </c>
      <c r="F39" s="48">
        <f>+MVTRESUME24!N40</f>
        <v>12000</v>
      </c>
      <c r="G39" s="48">
        <f>+MVTRESUME24!O40</f>
        <v>48000</v>
      </c>
      <c r="H39" s="48">
        <f>+MVTRESUME24!P40</f>
        <v>0</v>
      </c>
      <c r="I39" s="48">
        <f>+MVTRESUME24!Q40</f>
        <v>0</v>
      </c>
      <c r="J39" s="48">
        <f>+MVTRESUME24!R40</f>
        <v>0</v>
      </c>
      <c r="K39" s="48">
        <f>+MVTRESUME24!W40</f>
        <v>500000</v>
      </c>
      <c r="L39" s="165">
        <f>+MVTRESUME24!AM40</f>
        <v>0</v>
      </c>
      <c r="M39" s="166" t="str">
        <f>IF(L39=0,"",VLOOKUP(A39,MVTRESUME24!A40:AQ74,38,0))</f>
        <v/>
      </c>
      <c r="N39" s="48">
        <v>0</v>
      </c>
      <c r="O39" s="48">
        <v>0</v>
      </c>
      <c r="P39" s="48">
        <v>0</v>
      </c>
      <c r="Q39" s="48">
        <v>100000</v>
      </c>
      <c r="R39" s="168"/>
    </row>
    <row r="40" spans="1:18" ht="17.5" x14ac:dyDescent="0.35">
      <c r="A40" s="42"/>
      <c r="B40" s="49"/>
      <c r="C40" s="49"/>
      <c r="D40" s="163"/>
      <c r="E40" s="18"/>
      <c r="F40" s="18"/>
      <c r="G40" s="18"/>
      <c r="H40" s="18"/>
      <c r="I40" s="18"/>
      <c r="J40" s="18"/>
      <c r="K40" s="162"/>
      <c r="L40" s="52"/>
      <c r="M40" s="52"/>
      <c r="N40" s="50"/>
      <c r="O40" s="50"/>
      <c r="P40" s="50"/>
      <c r="Q40" s="50"/>
      <c r="R40" s="51"/>
    </row>
    <row r="41" spans="1:18" ht="18" thickBot="1" x14ac:dyDescent="0.4">
      <c r="A41" s="53" t="s">
        <v>57</v>
      </c>
      <c r="B41" s="68"/>
      <c r="C41" s="73">
        <f t="shared" ref="C41:R41" si="0">SUM(C6:C40)</f>
        <v>26948398.07312192</v>
      </c>
      <c r="D41" s="73">
        <f t="shared" si="0"/>
        <v>11823850</v>
      </c>
      <c r="E41" s="73">
        <f t="shared" si="0"/>
        <v>384000</v>
      </c>
      <c r="F41" s="73">
        <f t="shared" si="0"/>
        <v>384000</v>
      </c>
      <c r="G41" s="73">
        <f t="shared" si="0"/>
        <v>1536000</v>
      </c>
      <c r="H41" s="73">
        <f t="shared" si="0"/>
        <v>87000</v>
      </c>
      <c r="I41" s="73">
        <f t="shared" si="0"/>
        <v>75000</v>
      </c>
      <c r="J41" s="73">
        <f t="shared" si="0"/>
        <v>240000</v>
      </c>
      <c r="K41" s="73">
        <f t="shared" si="0"/>
        <v>18432500</v>
      </c>
      <c r="L41" s="73">
        <f>SUM(L6:L40)</f>
        <v>1982150</v>
      </c>
      <c r="M41" s="73"/>
      <c r="N41" s="73">
        <f t="shared" si="0"/>
        <v>301000</v>
      </c>
      <c r="O41" s="73">
        <f t="shared" si="0"/>
        <v>909500</v>
      </c>
      <c r="P41" s="73">
        <f t="shared" si="0"/>
        <v>200000</v>
      </c>
      <c r="Q41" s="73">
        <f t="shared" si="0"/>
        <v>700000</v>
      </c>
      <c r="R41" s="164">
        <f t="shared" si="0"/>
        <v>9326618</v>
      </c>
    </row>
    <row r="42" spans="1:18" ht="15" thickTop="1" x14ac:dyDescent="0.35"/>
  </sheetData>
  <autoFilter ref="A5:J39" xr:uid="{00000000-0009-0000-0000-000012000000}">
    <sortState ref="A4:D47">
      <sortCondition ref="B4:B47"/>
    </sortState>
  </autoFilter>
  <mergeCells count="1">
    <mergeCell ref="A3:R3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Z50"/>
  <sheetViews>
    <sheetView zoomScaleNormal="100" zoomScaleSheetLayoutView="106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U27" sqref="U27:U28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" customWidth="1"/>
    <col min="6" max="6" width="16.81640625" bestFit="1" customWidth="1"/>
    <col min="7" max="7" width="15.26953125" customWidth="1"/>
    <col min="8" max="8" width="15" bestFit="1" customWidth="1"/>
    <col min="9" max="10" width="15.26953125" customWidth="1"/>
    <col min="11" max="11" width="16.81640625" bestFit="1" customWidth="1"/>
    <col min="12" max="15" width="16.81640625" customWidth="1"/>
    <col min="16" max="20" width="20.7265625" customWidth="1"/>
    <col min="21" max="21" width="17.54296875" style="110" bestFit="1" customWidth="1"/>
    <col min="22" max="22" width="16.54296875" customWidth="1"/>
    <col min="23" max="23" width="12.453125" bestFit="1" customWidth="1"/>
    <col min="24" max="24" width="15" bestFit="1" customWidth="1"/>
  </cols>
  <sheetData>
    <row r="1" spans="1:26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3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6.5" thickBot="1" x14ac:dyDescent="0.65">
      <c r="A4" s="195" t="s">
        <v>315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</row>
    <row r="5" spans="1:26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35">
      <c r="A6" s="1" t="s">
        <v>16</v>
      </c>
      <c r="B6" s="1" t="str">
        <f>VLOOKUP($A6,[15]LISTADHERENT!A$5:H$60,3,0)</f>
        <v>ASELBY</v>
      </c>
      <c r="C6" s="6">
        <v>584177.00555049011</v>
      </c>
      <c r="D6" s="6">
        <v>0</v>
      </c>
      <c r="E6" s="6">
        <v>0</v>
      </c>
      <c r="F6" s="6">
        <v>584177.00555049011</v>
      </c>
      <c r="G6" s="6">
        <v>100621.45354347058</v>
      </c>
      <c r="H6" s="6">
        <v>0</v>
      </c>
      <c r="I6" s="43"/>
      <c r="J6" s="43"/>
      <c r="K6" s="43">
        <v>100621.45354347058</v>
      </c>
      <c r="L6" s="43"/>
      <c r="M6" s="43"/>
      <c r="N6" s="43"/>
      <c r="O6" s="43">
        <v>0</v>
      </c>
      <c r="P6" s="43"/>
      <c r="Q6" s="43"/>
      <c r="R6" s="43">
        <v>0</v>
      </c>
      <c r="S6" s="43"/>
      <c r="T6" s="43"/>
      <c r="U6" s="43">
        <f>VLOOKUP($A6,'[17]EPARGNE 2023'!$A$5:$BF$47,4,0)</f>
        <v>816543.52134848095</v>
      </c>
      <c r="V6" s="44">
        <v>0</v>
      </c>
      <c r="W6" s="43">
        <v>0</v>
      </c>
      <c r="X6" s="11">
        <v>670000</v>
      </c>
      <c r="Y6" s="2" t="s">
        <v>1</v>
      </c>
      <c r="Z6" s="2"/>
    </row>
    <row r="7" spans="1:26" x14ac:dyDescent="0.35">
      <c r="A7" s="1" t="s">
        <v>17</v>
      </c>
      <c r="B7" s="1" t="s">
        <v>101</v>
      </c>
      <c r="C7" s="6"/>
      <c r="D7" s="6"/>
      <c r="E7" s="6"/>
      <c r="F7" s="6"/>
      <c r="G7" s="6"/>
      <c r="H7" s="6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>
        <f>VLOOKUP($A7,'[17]EPARGNE 2023'!$A$5:$BF$47,4,0)</f>
        <v>0</v>
      </c>
      <c r="V7" s="44">
        <v>600000</v>
      </c>
      <c r="W7" s="43"/>
      <c r="X7" s="11"/>
      <c r="Y7" s="2" t="s">
        <v>101</v>
      </c>
      <c r="Z7" s="2"/>
    </row>
    <row r="8" spans="1:26" x14ac:dyDescent="0.35">
      <c r="A8" s="1" t="s">
        <v>19</v>
      </c>
      <c r="B8" s="1" t="s">
        <v>102</v>
      </c>
      <c r="C8" s="6">
        <v>570000</v>
      </c>
      <c r="D8" s="6">
        <v>-258.93850559103885</v>
      </c>
      <c r="E8" s="6">
        <v>0</v>
      </c>
      <c r="F8" s="6">
        <v>570000</v>
      </c>
      <c r="G8" s="6">
        <v>101033.24644490756</v>
      </c>
      <c r="H8" s="6">
        <v>36000</v>
      </c>
      <c r="I8" s="43"/>
      <c r="J8" s="43"/>
      <c r="K8" s="43">
        <v>136774.30793931652</v>
      </c>
      <c r="L8" s="43"/>
      <c r="M8" s="43">
        <v>20000</v>
      </c>
      <c r="N8" s="43">
        <v>30000</v>
      </c>
      <c r="O8" s="43">
        <v>50000</v>
      </c>
      <c r="P8" s="43">
        <v>86774.307939316524</v>
      </c>
      <c r="Q8" s="43">
        <v>70000</v>
      </c>
      <c r="R8" s="43">
        <v>0</v>
      </c>
      <c r="S8" s="43">
        <v>86774.307939316524</v>
      </c>
      <c r="T8" s="43">
        <v>40000</v>
      </c>
      <c r="U8" s="43">
        <f>VLOOKUP($A8,'[17]EPARGNE 2023'!$A$5:$BF$47,4,0)</f>
        <v>7023.6611389458412</v>
      </c>
      <c r="V8" s="44">
        <v>600000</v>
      </c>
      <c r="W8" s="43">
        <v>0</v>
      </c>
      <c r="X8" s="11"/>
      <c r="Y8" s="2" t="s">
        <v>102</v>
      </c>
      <c r="Z8" s="2"/>
    </row>
    <row r="9" spans="1:26" x14ac:dyDescent="0.35">
      <c r="A9" s="1" t="s">
        <v>23</v>
      </c>
      <c r="B9" s="1" t="s">
        <v>93</v>
      </c>
      <c r="C9" s="6">
        <v>570000</v>
      </c>
      <c r="D9" s="6">
        <v>1714.0012148400419</v>
      </c>
      <c r="E9" s="6">
        <v>0</v>
      </c>
      <c r="F9" s="6">
        <v>570000</v>
      </c>
      <c r="G9" s="6">
        <v>112808.07385996425</v>
      </c>
      <c r="H9" s="6">
        <v>133500</v>
      </c>
      <c r="I9" s="43"/>
      <c r="J9" s="43"/>
      <c r="K9" s="43">
        <v>248022.07507480431</v>
      </c>
      <c r="L9" s="43"/>
      <c r="M9" s="43">
        <v>20000</v>
      </c>
      <c r="N9" s="43">
        <v>30000</v>
      </c>
      <c r="O9" s="43">
        <v>50000</v>
      </c>
      <c r="P9" s="43">
        <v>198022.07507480431</v>
      </c>
      <c r="Q9" s="43">
        <v>0</v>
      </c>
      <c r="R9" s="43">
        <v>1000000</v>
      </c>
      <c r="S9" s="43">
        <v>-801977.92492519575</v>
      </c>
      <c r="T9" s="43">
        <v>50000</v>
      </c>
      <c r="U9" s="43">
        <f>VLOOKUP($A9,'[17]EPARGNE 2023'!$A$5:$BF$47,4,0)</f>
        <v>4809.8069585817866</v>
      </c>
      <c r="V9" s="44">
        <v>600000</v>
      </c>
      <c r="W9" s="43">
        <v>0</v>
      </c>
      <c r="X9" s="11"/>
      <c r="Y9" s="2" t="s">
        <v>93</v>
      </c>
      <c r="Z9" s="2"/>
    </row>
    <row r="10" spans="1:26" x14ac:dyDescent="0.35">
      <c r="A10" s="1" t="s">
        <v>154</v>
      </c>
      <c r="B10" s="1" t="s">
        <v>179</v>
      </c>
      <c r="C10" s="6">
        <v>570000</v>
      </c>
      <c r="D10" s="6">
        <v>359</v>
      </c>
      <c r="E10" s="6">
        <v>0</v>
      </c>
      <c r="F10" s="6">
        <v>570000</v>
      </c>
      <c r="G10" s="6">
        <v>101199.66843219555</v>
      </c>
      <c r="H10" s="6">
        <v>37000</v>
      </c>
      <c r="I10" s="43"/>
      <c r="J10" s="43"/>
      <c r="K10" s="43">
        <v>138558.66843219555</v>
      </c>
      <c r="L10" s="43"/>
      <c r="M10" s="43">
        <v>20000</v>
      </c>
      <c r="N10" s="43">
        <v>30000</v>
      </c>
      <c r="O10" s="43">
        <v>50000</v>
      </c>
      <c r="P10" s="43">
        <v>88558.668432195554</v>
      </c>
      <c r="Q10" s="43">
        <v>113000</v>
      </c>
      <c r="R10" s="43">
        <v>0</v>
      </c>
      <c r="S10" s="43">
        <v>88558.668432195554</v>
      </c>
      <c r="T10" s="43">
        <v>0</v>
      </c>
      <c r="U10" s="43">
        <f>VLOOKUP($A10,'[17]EPARGNE 2023'!$A$5:$BF$47,4,0)</f>
        <v>48710.412466726033</v>
      </c>
      <c r="V10" s="44">
        <v>600000</v>
      </c>
      <c r="W10" s="43">
        <v>0</v>
      </c>
      <c r="X10" s="11"/>
      <c r="Y10" s="2" t="s">
        <v>179</v>
      </c>
      <c r="Z10" s="2"/>
    </row>
    <row r="11" spans="1:26" x14ac:dyDescent="0.35">
      <c r="A11" s="1" t="s">
        <v>24</v>
      </c>
      <c r="B11" s="1" t="s">
        <v>104</v>
      </c>
      <c r="C11" s="6">
        <v>570000</v>
      </c>
      <c r="D11" s="6">
        <v>110412.64212220861</v>
      </c>
      <c r="E11" s="6">
        <v>0</v>
      </c>
      <c r="F11" s="6">
        <v>570000</v>
      </c>
      <c r="G11" s="6">
        <v>120957.07512329261</v>
      </c>
      <c r="H11" s="6">
        <v>41000</v>
      </c>
      <c r="I11" s="43"/>
      <c r="J11" s="43"/>
      <c r="K11" s="43">
        <v>272369.71724550123</v>
      </c>
      <c r="L11" s="43"/>
      <c r="M11" s="43">
        <v>20000</v>
      </c>
      <c r="N11" s="43">
        <v>30000</v>
      </c>
      <c r="O11" s="43">
        <v>50000</v>
      </c>
      <c r="P11" s="43">
        <v>222369.71724550123</v>
      </c>
      <c r="Q11" s="43">
        <v>70000</v>
      </c>
      <c r="R11" s="43">
        <v>1000000</v>
      </c>
      <c r="S11" s="43">
        <v>-777630.28275449877</v>
      </c>
      <c r="T11" s="43">
        <v>20000</v>
      </c>
      <c r="U11" s="43">
        <f>VLOOKUP($A11,'[17]EPARGNE 2023'!$A$5:$BF$47,4,0)</f>
        <v>4750.0783119258704</v>
      </c>
      <c r="V11" s="44">
        <v>600000</v>
      </c>
      <c r="W11" s="43">
        <v>0</v>
      </c>
      <c r="X11" s="11"/>
      <c r="Y11" s="2" t="s">
        <v>104</v>
      </c>
      <c r="Z11" s="2"/>
    </row>
    <row r="12" spans="1:26" x14ac:dyDescent="0.35">
      <c r="A12" s="1" t="s">
        <v>25</v>
      </c>
      <c r="B12" s="1" t="s">
        <v>89</v>
      </c>
      <c r="C12" s="6">
        <v>570000</v>
      </c>
      <c r="D12" s="6">
        <v>18508.84987508686</v>
      </c>
      <c r="E12" s="6">
        <v>0</v>
      </c>
      <c r="F12" s="6">
        <v>570000</v>
      </c>
      <c r="G12" s="6">
        <v>104359.28960396376</v>
      </c>
      <c r="H12" s="6">
        <v>39000</v>
      </c>
      <c r="I12" s="43"/>
      <c r="J12" s="43"/>
      <c r="K12" s="43">
        <v>161868.13947905062</v>
      </c>
      <c r="L12" s="43"/>
      <c r="M12" s="43">
        <v>20000</v>
      </c>
      <c r="N12" s="43">
        <v>30000</v>
      </c>
      <c r="O12" s="43">
        <v>50000</v>
      </c>
      <c r="P12" s="43">
        <v>111868.13947905062</v>
      </c>
      <c r="Q12" s="43">
        <v>70000</v>
      </c>
      <c r="R12" s="43">
        <v>0</v>
      </c>
      <c r="S12" s="43">
        <v>111868.13947905062</v>
      </c>
      <c r="T12" s="43">
        <v>60000</v>
      </c>
      <c r="U12" s="43">
        <f>VLOOKUP($A12,'[17]EPARGNE 2023'!$A$5:$BF$47,4,0)</f>
        <v>10718.850200936431</v>
      </c>
      <c r="V12" s="44">
        <v>600000</v>
      </c>
      <c r="W12" s="43">
        <v>0</v>
      </c>
      <c r="X12" s="11"/>
      <c r="Y12" s="2" t="s">
        <v>89</v>
      </c>
      <c r="Z12" s="2"/>
    </row>
    <row r="13" spans="1:26" x14ac:dyDescent="0.35">
      <c r="A13" s="1" t="s">
        <v>79</v>
      </c>
      <c r="B13" s="1" t="s">
        <v>70</v>
      </c>
      <c r="C13" s="6">
        <v>570000</v>
      </c>
      <c r="D13" s="6">
        <v>6527.0543220352411</v>
      </c>
      <c r="E13" s="6">
        <v>0</v>
      </c>
      <c r="F13" s="6">
        <v>570000</v>
      </c>
      <c r="G13" s="6">
        <v>107032.61386127467</v>
      </c>
      <c r="H13" s="6">
        <v>96000</v>
      </c>
      <c r="I13" s="43"/>
      <c r="J13" s="43"/>
      <c r="K13" s="43">
        <v>209559.6681833099</v>
      </c>
      <c r="L13" s="43"/>
      <c r="M13" s="43">
        <v>20000</v>
      </c>
      <c r="N13" s="43">
        <v>30000</v>
      </c>
      <c r="O13" s="43">
        <v>50000</v>
      </c>
      <c r="P13" s="43">
        <v>159559.6681833099</v>
      </c>
      <c r="Q13" s="43">
        <v>90000</v>
      </c>
      <c r="R13" s="43">
        <v>1000000</v>
      </c>
      <c r="S13" s="43">
        <v>-840440.33181669004</v>
      </c>
      <c r="T13" s="43">
        <v>115000</v>
      </c>
      <c r="U13" s="43">
        <f>VLOOKUP($A13,'[17]EPARGNE 2023'!$A$5:$BF$47,4,0)</f>
        <v>584.0460014406126</v>
      </c>
      <c r="V13" s="44">
        <v>600000</v>
      </c>
      <c r="W13" s="43">
        <v>0</v>
      </c>
      <c r="X13" s="11"/>
      <c r="Y13" s="2" t="s">
        <v>70</v>
      </c>
      <c r="Z13" s="2"/>
    </row>
    <row r="14" spans="1:26" x14ac:dyDescent="0.35">
      <c r="A14" s="1" t="s">
        <v>26</v>
      </c>
      <c r="B14" s="1" t="s">
        <v>105</v>
      </c>
      <c r="C14" s="6">
        <v>570000</v>
      </c>
      <c r="D14" s="6">
        <v>253289.50601995771</v>
      </c>
      <c r="E14" s="6">
        <v>0</v>
      </c>
      <c r="F14" s="6">
        <v>570000</v>
      </c>
      <c r="G14" s="6">
        <v>148674.9398531277</v>
      </c>
      <c r="H14" s="6">
        <v>91000</v>
      </c>
      <c r="I14" s="43"/>
      <c r="J14" s="43"/>
      <c r="K14" s="43">
        <v>492964.44587308541</v>
      </c>
      <c r="L14" s="43"/>
      <c r="M14" s="43">
        <v>20000</v>
      </c>
      <c r="N14" s="43">
        <v>30000</v>
      </c>
      <c r="O14" s="43">
        <v>50000</v>
      </c>
      <c r="P14" s="43">
        <v>442964.44587308541</v>
      </c>
      <c r="Q14" s="43">
        <v>70000</v>
      </c>
      <c r="R14" s="43">
        <v>0</v>
      </c>
      <c r="S14" s="43">
        <v>442964.44587308541</v>
      </c>
      <c r="T14" s="43">
        <v>0</v>
      </c>
      <c r="U14" s="43">
        <f>VLOOKUP($A14,'[17]EPARGNE 2023'!$A$5:$BF$47,4,0)</f>
        <v>458343.17855274049</v>
      </c>
      <c r="V14" s="44">
        <v>600000</v>
      </c>
      <c r="W14" s="43">
        <v>0</v>
      </c>
      <c r="X14" s="11"/>
      <c r="Y14" s="2" t="s">
        <v>105</v>
      </c>
      <c r="Z14" s="2"/>
    </row>
    <row r="15" spans="1:26" ht="14.25" customHeight="1" x14ac:dyDescent="0.35">
      <c r="A15" s="1" t="s">
        <v>28</v>
      </c>
      <c r="B15" s="1" t="s">
        <v>106</v>
      </c>
      <c r="C15" s="6">
        <v>570000</v>
      </c>
      <c r="D15" s="6">
        <v>3435.9669399686391</v>
      </c>
      <c r="E15" s="6">
        <v>0</v>
      </c>
      <c r="F15" s="6">
        <v>570000</v>
      </c>
      <c r="G15" s="6">
        <v>101669.6747074126</v>
      </c>
      <c r="H15" s="6">
        <v>36000</v>
      </c>
      <c r="I15" s="43"/>
      <c r="J15" s="43"/>
      <c r="K15" s="43">
        <v>141105.64164738124</v>
      </c>
      <c r="L15" s="43"/>
      <c r="M15" s="43">
        <v>20000</v>
      </c>
      <c r="N15" s="43">
        <v>30000</v>
      </c>
      <c r="O15" s="43">
        <v>50000</v>
      </c>
      <c r="P15" s="43">
        <v>91105.641647381242</v>
      </c>
      <c r="Q15" s="43">
        <v>70000</v>
      </c>
      <c r="R15" s="43">
        <v>0</v>
      </c>
      <c r="S15" s="43">
        <v>91105.641647381242</v>
      </c>
      <c r="T15" s="43">
        <v>0</v>
      </c>
      <c r="U15" s="43">
        <f>VLOOKUP($A15,'[17]EPARGNE 2023'!$A$5:$BF$47,4,0)</f>
        <v>51112.01036672492</v>
      </c>
      <c r="V15" s="44">
        <v>600000</v>
      </c>
      <c r="W15" s="43">
        <v>0</v>
      </c>
      <c r="X15" s="11"/>
      <c r="Y15" s="2" t="s">
        <v>106</v>
      </c>
      <c r="Z15" s="2"/>
    </row>
    <row r="16" spans="1:26" x14ac:dyDescent="0.35">
      <c r="A16" s="1" t="s">
        <v>29</v>
      </c>
      <c r="B16" s="1" t="s">
        <v>92</v>
      </c>
      <c r="C16" s="6">
        <v>570000</v>
      </c>
      <c r="D16" s="6">
        <v>17580.420303784544</v>
      </c>
      <c r="E16" s="6">
        <v>500000</v>
      </c>
      <c r="F16" s="6">
        <v>70000</v>
      </c>
      <c r="G16" s="6">
        <v>118799.34917766026</v>
      </c>
      <c r="H16" s="6">
        <v>576000</v>
      </c>
      <c r="I16" s="43"/>
      <c r="J16" s="43"/>
      <c r="K16" s="43">
        <v>712379.76948144473</v>
      </c>
      <c r="L16" s="43"/>
      <c r="M16" s="43">
        <v>20000</v>
      </c>
      <c r="N16" s="43">
        <v>30000</v>
      </c>
      <c r="O16" s="43">
        <v>50000</v>
      </c>
      <c r="P16" s="43">
        <v>662379.76948144473</v>
      </c>
      <c r="Q16" s="43">
        <v>70000</v>
      </c>
      <c r="R16" s="43">
        <v>1000000</v>
      </c>
      <c r="S16" s="43">
        <v>-837620.23051855527</v>
      </c>
      <c r="T16" s="43">
        <v>100000</v>
      </c>
      <c r="U16" s="43">
        <f>VLOOKUP($A16,'[17]EPARGNE 2023'!$A$5:$BF$47,4,0)</f>
        <v>16229.566345777828</v>
      </c>
      <c r="V16" s="44">
        <v>600000</v>
      </c>
      <c r="W16" s="43">
        <v>0</v>
      </c>
      <c r="X16" s="11"/>
      <c r="Y16" s="2" t="s">
        <v>92</v>
      </c>
      <c r="Z16" s="2"/>
    </row>
    <row r="17" spans="1:26" s="14" customFormat="1" ht="13.5" customHeight="1" x14ac:dyDescent="0.35">
      <c r="A17" s="1" t="s">
        <v>33</v>
      </c>
      <c r="B17" s="1" t="s">
        <v>109</v>
      </c>
      <c r="C17" s="6">
        <v>570000</v>
      </c>
      <c r="D17" s="6">
        <v>5406.5483426781138</v>
      </c>
      <c r="E17" s="6">
        <v>0</v>
      </c>
      <c r="F17" s="6">
        <v>570000</v>
      </c>
      <c r="G17" s="6">
        <v>102009.09711394762</v>
      </c>
      <c r="H17" s="6">
        <v>36000</v>
      </c>
      <c r="I17" s="46"/>
      <c r="J17" s="43"/>
      <c r="K17" s="43">
        <v>143415.64545662573</v>
      </c>
      <c r="L17" s="46"/>
      <c r="M17" s="43">
        <v>20000</v>
      </c>
      <c r="N17" s="43">
        <v>30000</v>
      </c>
      <c r="O17" s="43">
        <v>50000</v>
      </c>
      <c r="P17" s="43">
        <v>93415.645456625731</v>
      </c>
      <c r="Q17" s="43">
        <v>70000</v>
      </c>
      <c r="R17" s="43">
        <v>0</v>
      </c>
      <c r="S17" s="43">
        <v>93415.645456625731</v>
      </c>
      <c r="T17" s="43"/>
      <c r="U17" s="43">
        <f>VLOOKUP($A17,'[17]EPARGNE 2023'!$A$5:$BF$47,4,0)</f>
        <v>53292.832106360001</v>
      </c>
      <c r="V17" s="44">
        <v>600000</v>
      </c>
      <c r="W17" s="43">
        <v>0</v>
      </c>
      <c r="X17" s="11"/>
      <c r="Y17" s="11" t="s">
        <v>109</v>
      </c>
      <c r="Z17" s="11"/>
    </row>
    <row r="18" spans="1:26" s="14" customFormat="1" x14ac:dyDescent="0.35">
      <c r="A18" s="1" t="s">
        <v>35</v>
      </c>
      <c r="B18" s="1" t="s">
        <v>91</v>
      </c>
      <c r="C18" s="6">
        <v>570000</v>
      </c>
      <c r="D18" s="6">
        <v>8241.6184045160044</v>
      </c>
      <c r="E18" s="6">
        <v>0</v>
      </c>
      <c r="F18" s="6">
        <v>570000</v>
      </c>
      <c r="G18" s="6">
        <v>102529.39845502379</v>
      </c>
      <c r="H18" s="6">
        <v>36000</v>
      </c>
      <c r="I18" s="46"/>
      <c r="J18" s="43"/>
      <c r="K18" s="43">
        <v>146771.01685953978</v>
      </c>
      <c r="L18" s="46"/>
      <c r="M18" s="43">
        <v>20000</v>
      </c>
      <c r="N18" s="43">
        <v>30000</v>
      </c>
      <c r="O18" s="43">
        <v>50000</v>
      </c>
      <c r="P18" s="43">
        <v>96771.016859539784</v>
      </c>
      <c r="Q18" s="43">
        <v>70000</v>
      </c>
      <c r="R18" s="43">
        <v>1000000</v>
      </c>
      <c r="S18" s="43">
        <v>-903228.98314046022</v>
      </c>
      <c r="T18" s="43">
        <v>50000</v>
      </c>
      <c r="U18" s="43">
        <f>VLOOKUP($A18,'[17]EPARGNE 2023'!$A$5:$BF$47,4,0)</f>
        <v>6459.0432257176144</v>
      </c>
      <c r="V18" s="44">
        <v>600000</v>
      </c>
      <c r="W18" s="43">
        <v>0</v>
      </c>
      <c r="X18" s="11"/>
      <c r="Y18" s="11" t="s">
        <v>91</v>
      </c>
      <c r="Z18" s="11"/>
    </row>
    <row r="19" spans="1:26" x14ac:dyDescent="0.35">
      <c r="A19" s="1" t="s">
        <v>36</v>
      </c>
      <c r="B19" s="1" t="s">
        <v>110</v>
      </c>
      <c r="C19" s="6">
        <v>570000</v>
      </c>
      <c r="D19" s="6">
        <v>393.95927050459431</v>
      </c>
      <c r="E19" s="6">
        <v>0</v>
      </c>
      <c r="F19" s="6">
        <v>570000</v>
      </c>
      <c r="G19" s="6">
        <v>101145.70469407149</v>
      </c>
      <c r="H19" s="6">
        <v>36000</v>
      </c>
      <c r="I19" s="43"/>
      <c r="J19" s="43"/>
      <c r="K19" s="43">
        <v>137539.66396457609</v>
      </c>
      <c r="L19" s="43"/>
      <c r="M19" s="43">
        <v>20000</v>
      </c>
      <c r="N19" s="43">
        <v>30000</v>
      </c>
      <c r="O19" s="43">
        <v>50000</v>
      </c>
      <c r="P19" s="43">
        <v>17539.663964576088</v>
      </c>
      <c r="Q19" s="43">
        <v>0</v>
      </c>
      <c r="R19" s="43">
        <v>1000000</v>
      </c>
      <c r="S19" s="43">
        <v>-996848.50995100092</v>
      </c>
      <c r="T19" s="43">
        <v>47000</v>
      </c>
      <c r="U19" s="43">
        <f>VLOOKUP($A19,'[17]EPARGNE 2023'!$A$5:$BF$47,4,0)</f>
        <v>746.1759009861853</v>
      </c>
      <c r="V19" s="44">
        <v>600000</v>
      </c>
      <c r="W19" s="43">
        <v>14388.173915576999</v>
      </c>
      <c r="X19" s="11">
        <v>1070000</v>
      </c>
      <c r="Y19" s="2" t="s">
        <v>110</v>
      </c>
      <c r="Z19" s="2"/>
    </row>
    <row r="20" spans="1:26" x14ac:dyDescent="0.35">
      <c r="A20" s="1" t="s">
        <v>75</v>
      </c>
      <c r="B20" s="1" t="s">
        <v>76</v>
      </c>
      <c r="C20" s="6">
        <v>570000</v>
      </c>
      <c r="D20" s="6">
        <v>112.46348617674084</v>
      </c>
      <c r="E20" s="6">
        <v>0</v>
      </c>
      <c r="F20" s="6">
        <v>570000</v>
      </c>
      <c r="G20" s="6">
        <v>101097.2185080075</v>
      </c>
      <c r="H20" s="6">
        <v>36000</v>
      </c>
      <c r="I20" s="43"/>
      <c r="J20" s="43"/>
      <c r="K20" s="43">
        <v>137209.68199418424</v>
      </c>
      <c r="L20" s="43"/>
      <c r="M20" s="43">
        <v>20000</v>
      </c>
      <c r="N20" s="43">
        <v>30000</v>
      </c>
      <c r="O20" s="43">
        <v>50000</v>
      </c>
      <c r="P20" s="43">
        <v>87209.68199418424</v>
      </c>
      <c r="Q20" s="43">
        <v>70000</v>
      </c>
      <c r="R20" s="43">
        <v>1000000</v>
      </c>
      <c r="S20" s="43">
        <v>-912790.31800581573</v>
      </c>
      <c r="T20" s="43"/>
      <c r="U20" s="43">
        <f>VLOOKUP($A20,'[17]EPARGNE 2023'!$A$5:$BF$47,4,0)</f>
        <v>47746</v>
      </c>
      <c r="V20" s="44">
        <v>600000</v>
      </c>
      <c r="W20" s="43">
        <v>0</v>
      </c>
      <c r="X20" s="11"/>
      <c r="Y20" s="2" t="s">
        <v>76</v>
      </c>
      <c r="Z20" s="2"/>
    </row>
    <row r="21" spans="1:26" x14ac:dyDescent="0.35">
      <c r="A21" s="1" t="s">
        <v>50</v>
      </c>
      <c r="B21" s="1" t="s">
        <v>97</v>
      </c>
      <c r="C21" s="6">
        <v>570000</v>
      </c>
      <c r="D21" s="6">
        <v>30757.615134780004</v>
      </c>
      <c r="E21" s="6">
        <v>0</v>
      </c>
      <c r="F21" s="6">
        <v>570000</v>
      </c>
      <c r="G21" s="6">
        <v>106375.68663264174</v>
      </c>
      <c r="H21" s="6">
        <v>36000</v>
      </c>
      <c r="I21" s="43"/>
      <c r="J21" s="43"/>
      <c r="K21" s="43">
        <v>173133.30176742174</v>
      </c>
      <c r="L21" s="43"/>
      <c r="M21" s="43">
        <v>20000</v>
      </c>
      <c r="N21" s="43">
        <v>30000</v>
      </c>
      <c r="O21" s="43">
        <v>50000</v>
      </c>
      <c r="P21" s="43">
        <v>123133.30176742174</v>
      </c>
      <c r="Q21" s="43">
        <v>70000</v>
      </c>
      <c r="R21" s="43">
        <v>500000</v>
      </c>
      <c r="S21" s="43">
        <v>-376866.69823257823</v>
      </c>
      <c r="T21" s="43"/>
      <c r="U21" s="43">
        <f>VLOOKUP($A21,'[17]EPARGNE 2023'!$A$5:$BF$47,4,0)</f>
        <v>51342.559108640766</v>
      </c>
      <c r="V21" s="44">
        <v>600000</v>
      </c>
      <c r="W21" s="43">
        <v>0</v>
      </c>
      <c r="X21" s="11"/>
      <c r="Y21" s="2" t="s">
        <v>97</v>
      </c>
      <c r="Z21" s="2"/>
    </row>
    <row r="22" spans="1:26" x14ac:dyDescent="0.35">
      <c r="A22" s="1" t="s">
        <v>37</v>
      </c>
      <c r="B22" s="1" t="s">
        <v>111</v>
      </c>
      <c r="C22" s="6">
        <v>570000</v>
      </c>
      <c r="D22" s="6">
        <v>84601.912290623644</v>
      </c>
      <c r="E22" s="6">
        <v>0</v>
      </c>
      <c r="F22" s="6">
        <v>570000</v>
      </c>
      <c r="G22" s="6">
        <v>115650.08701706305</v>
      </c>
      <c r="H22" s="6">
        <v>36000</v>
      </c>
      <c r="I22" s="43"/>
      <c r="J22" s="43"/>
      <c r="K22" s="43">
        <v>236251.9993076867</v>
      </c>
      <c r="L22" s="43"/>
      <c r="M22" s="43">
        <v>20000</v>
      </c>
      <c r="N22" s="43">
        <v>30000</v>
      </c>
      <c r="O22" s="43">
        <v>50000</v>
      </c>
      <c r="P22" s="43">
        <v>186251.9993076867</v>
      </c>
      <c r="Q22" s="43">
        <v>70000</v>
      </c>
      <c r="R22" s="43">
        <v>1000000</v>
      </c>
      <c r="S22" s="43">
        <v>-813748.0006923133</v>
      </c>
      <c r="T22" s="43"/>
      <c r="U22" s="43">
        <f>VLOOKUP($A22,'[17]EPARGNE 2023'!$A$5:$BF$47,4,0)</f>
        <v>140918.4930248888</v>
      </c>
      <c r="V22" s="44">
        <v>600000</v>
      </c>
      <c r="W22" s="43">
        <v>0</v>
      </c>
      <c r="X22" s="11"/>
      <c r="Y22" s="2" t="s">
        <v>111</v>
      </c>
      <c r="Z22" s="2"/>
    </row>
    <row r="23" spans="1:26" x14ac:dyDescent="0.35">
      <c r="A23" s="1" t="s">
        <v>38</v>
      </c>
      <c r="B23" s="1" t="s">
        <v>98</v>
      </c>
      <c r="C23" s="6">
        <v>570000</v>
      </c>
      <c r="D23" s="6">
        <v>101446.16753987665</v>
      </c>
      <c r="E23" s="6">
        <v>0</v>
      </c>
      <c r="F23" s="6">
        <v>570000</v>
      </c>
      <c r="G23" s="6">
        <v>135575.41062087758</v>
      </c>
      <c r="H23" s="6">
        <v>256000</v>
      </c>
      <c r="I23" s="43"/>
      <c r="J23" s="43"/>
      <c r="K23" s="43">
        <v>493021.57816075423</v>
      </c>
      <c r="L23" s="43"/>
      <c r="M23" s="43">
        <v>20000</v>
      </c>
      <c r="N23" s="43">
        <v>30000</v>
      </c>
      <c r="O23" s="43">
        <v>50000</v>
      </c>
      <c r="P23" s="43">
        <v>443021.57816075423</v>
      </c>
      <c r="Q23" s="43">
        <v>70000</v>
      </c>
      <c r="R23" s="43">
        <v>570000</v>
      </c>
      <c r="S23" s="43">
        <v>-126978.42183924577</v>
      </c>
      <c r="T23" s="43">
        <v>100000</v>
      </c>
      <c r="U23" s="43">
        <f>VLOOKUP($A23,'[17]EPARGNE 2023'!$A$5:$BF$47,4,0)</f>
        <v>283210.4580118584</v>
      </c>
      <c r="V23" s="44">
        <v>600000</v>
      </c>
      <c r="W23" s="43">
        <v>0</v>
      </c>
      <c r="X23" s="11"/>
      <c r="Y23" s="2" t="s">
        <v>98</v>
      </c>
      <c r="Z23" s="2"/>
    </row>
    <row r="24" spans="1:26" x14ac:dyDescent="0.35">
      <c r="A24" s="1" t="s">
        <v>39</v>
      </c>
      <c r="B24" s="1" t="s">
        <v>113</v>
      </c>
      <c r="C24" s="6">
        <v>570000</v>
      </c>
      <c r="D24" s="6">
        <v>2927.3714496080356</v>
      </c>
      <c r="E24" s="6">
        <v>0</v>
      </c>
      <c r="F24" s="6">
        <v>570000</v>
      </c>
      <c r="G24" s="6">
        <v>112073.41472061852</v>
      </c>
      <c r="H24" s="6">
        <v>173000</v>
      </c>
      <c r="I24" s="43"/>
      <c r="J24" s="43"/>
      <c r="K24" s="43">
        <v>288000.78617022652</v>
      </c>
      <c r="L24" s="43"/>
      <c r="M24" s="43">
        <v>20000</v>
      </c>
      <c r="N24" s="43">
        <v>30000</v>
      </c>
      <c r="O24" s="43">
        <v>50000</v>
      </c>
      <c r="P24" s="43">
        <v>238000.78617022652</v>
      </c>
      <c r="Q24" s="43">
        <v>90000</v>
      </c>
      <c r="R24" s="43">
        <v>1000000</v>
      </c>
      <c r="S24" s="43">
        <v>-761999.21382977348</v>
      </c>
      <c r="T24" s="43">
        <v>150000</v>
      </c>
      <c r="U24" s="43">
        <f>VLOOKUP($A24,'[17]EPARGNE 2023'!$A$5:$BF$47,4,0)</f>
        <v>39787.038443138823</v>
      </c>
      <c r="V24" s="44">
        <v>600000</v>
      </c>
      <c r="W24" s="43">
        <v>0</v>
      </c>
      <c r="X24" s="11"/>
      <c r="Y24" s="2" t="s">
        <v>113</v>
      </c>
      <c r="Z24" s="2"/>
    </row>
    <row r="25" spans="1:26" x14ac:dyDescent="0.35">
      <c r="A25" s="1" t="s">
        <v>41</v>
      </c>
      <c r="B25" s="1" t="s">
        <v>96</v>
      </c>
      <c r="C25" s="6">
        <v>570000</v>
      </c>
      <c r="D25" s="6">
        <v>3871.4174531366152</v>
      </c>
      <c r="E25" s="6">
        <v>0</v>
      </c>
      <c r="F25" s="6">
        <v>570000</v>
      </c>
      <c r="G25" s="6">
        <v>105375.57226410179</v>
      </c>
      <c r="H25" s="6">
        <v>98000</v>
      </c>
      <c r="I25" s="43"/>
      <c r="J25" s="43"/>
      <c r="K25" s="43">
        <v>207246.98971723841</v>
      </c>
      <c r="L25" s="43"/>
      <c r="M25" s="43">
        <v>20000</v>
      </c>
      <c r="N25" s="43">
        <v>30000</v>
      </c>
      <c r="O25" s="43">
        <v>50000</v>
      </c>
      <c r="P25" s="43">
        <v>157246.98971723841</v>
      </c>
      <c r="Q25" s="43">
        <v>140000</v>
      </c>
      <c r="R25" s="43">
        <v>1000000</v>
      </c>
      <c r="S25" s="43">
        <v>-842753.01028276165</v>
      </c>
      <c r="T25" s="43">
        <v>100000</v>
      </c>
      <c r="U25" s="43">
        <f>VLOOKUP($A25,'[17]EPARGNE 2023'!$A$5:$BF$47,4,0)</f>
        <v>13695.736143450369</v>
      </c>
      <c r="V25" s="44">
        <v>600000</v>
      </c>
      <c r="W25" s="43">
        <v>0</v>
      </c>
      <c r="X25" s="11"/>
      <c r="Y25" s="2" t="s">
        <v>96</v>
      </c>
      <c r="Z25" s="2"/>
    </row>
    <row r="26" spans="1:26" x14ac:dyDescent="0.35">
      <c r="A26" s="1" t="s">
        <v>43</v>
      </c>
      <c r="B26" s="1" t="s">
        <v>100</v>
      </c>
      <c r="C26" s="6">
        <v>570000</v>
      </c>
      <c r="D26" s="6">
        <v>11084.67996724385</v>
      </c>
      <c r="E26" s="6">
        <v>0</v>
      </c>
      <c r="F26" s="6">
        <v>570000</v>
      </c>
      <c r="G26" s="6">
        <v>102987.12577999645</v>
      </c>
      <c r="H26" s="6">
        <v>36000</v>
      </c>
      <c r="I26" s="43"/>
      <c r="J26" s="43"/>
      <c r="K26" s="43">
        <v>150071.80574724032</v>
      </c>
      <c r="L26" s="43"/>
      <c r="M26" s="43">
        <v>20000</v>
      </c>
      <c r="N26" s="43">
        <v>30000</v>
      </c>
      <c r="O26" s="43">
        <v>50000</v>
      </c>
      <c r="P26" s="43">
        <v>100071.80574724032</v>
      </c>
      <c r="Q26" s="43">
        <v>73000</v>
      </c>
      <c r="R26" s="43">
        <v>1000000</v>
      </c>
      <c r="S26" s="43">
        <v>-899928.19425275968</v>
      </c>
      <c r="T26" s="43">
        <v>59000</v>
      </c>
      <c r="U26" s="43">
        <f>VLOOKUP($A26,'[17]EPARGNE 2023'!$A$5:$BF$47,4,0)</f>
        <v>575.28052728832699</v>
      </c>
      <c r="V26" s="44">
        <v>600000</v>
      </c>
      <c r="W26" s="43">
        <v>0</v>
      </c>
      <c r="X26" s="11"/>
      <c r="Y26" s="2" t="s">
        <v>100</v>
      </c>
      <c r="Z26" s="2"/>
    </row>
    <row r="27" spans="1:26" x14ac:dyDescent="0.35">
      <c r="A27" s="1" t="s">
        <v>44</v>
      </c>
      <c r="B27" s="1" t="s">
        <v>87</v>
      </c>
      <c r="C27" s="6">
        <v>570000</v>
      </c>
      <c r="D27" s="6">
        <v>12062.781121595937</v>
      </c>
      <c r="E27" s="6">
        <v>0</v>
      </c>
      <c r="F27" s="6">
        <v>570000</v>
      </c>
      <c r="G27" s="6">
        <v>136133.00730978616</v>
      </c>
      <c r="H27" s="6">
        <v>439000</v>
      </c>
      <c r="I27" s="43"/>
      <c r="J27" s="43"/>
      <c r="K27" s="43">
        <v>587195.78843138204</v>
      </c>
      <c r="L27" s="43"/>
      <c r="M27" s="43">
        <v>20000</v>
      </c>
      <c r="N27" s="43">
        <v>30000</v>
      </c>
      <c r="O27" s="43">
        <v>50000</v>
      </c>
      <c r="P27" s="43">
        <v>537195.78843138204</v>
      </c>
      <c r="Q27" s="43">
        <v>70000</v>
      </c>
      <c r="R27" s="43">
        <v>0</v>
      </c>
      <c r="S27" s="43">
        <v>537195.78843138204</v>
      </c>
      <c r="T27" s="43">
        <v>70000</v>
      </c>
      <c r="U27" s="43"/>
      <c r="V27" s="44">
        <v>600000</v>
      </c>
      <c r="W27" s="43">
        <v>0</v>
      </c>
      <c r="X27" s="11"/>
      <c r="Y27" s="2"/>
      <c r="Z27" s="2"/>
    </row>
    <row r="28" spans="1:26" x14ac:dyDescent="0.35">
      <c r="A28" s="1"/>
      <c r="B28" s="1"/>
      <c r="C28" s="6"/>
      <c r="D28" s="6"/>
      <c r="E28" s="6"/>
      <c r="F28" s="6"/>
      <c r="G28" s="6"/>
      <c r="H28" s="6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4"/>
      <c r="W28" s="43"/>
      <c r="X28" s="11"/>
      <c r="Y28" s="2" t="s">
        <v>316</v>
      </c>
      <c r="Z28" s="2"/>
    </row>
    <row r="29" spans="1:26" s="14" customFormat="1" x14ac:dyDescent="0.35">
      <c r="A29" s="1" t="s">
        <v>45</v>
      </c>
      <c r="B29" s="1" t="s">
        <v>116</v>
      </c>
      <c r="C29" s="6">
        <v>570000</v>
      </c>
      <c r="D29" s="6">
        <v>21819.131591268466</v>
      </c>
      <c r="E29" s="6">
        <v>0</v>
      </c>
      <c r="F29" s="6">
        <v>570000</v>
      </c>
      <c r="G29" s="6">
        <v>104836.07929089954</v>
      </c>
      <c r="H29" s="6">
        <v>36000</v>
      </c>
      <c r="I29" s="46"/>
      <c r="J29" s="46"/>
      <c r="K29" s="43">
        <v>162655.210882168</v>
      </c>
      <c r="L29" s="46"/>
      <c r="M29" s="43">
        <v>20000</v>
      </c>
      <c r="N29" s="43">
        <v>30000</v>
      </c>
      <c r="O29" s="43">
        <v>50000</v>
      </c>
      <c r="P29" s="43">
        <v>112655.210882168</v>
      </c>
      <c r="Q29" s="43">
        <v>70000</v>
      </c>
      <c r="R29" s="43">
        <v>0</v>
      </c>
      <c r="S29" s="43">
        <v>112655.210882168</v>
      </c>
      <c r="T29" s="43">
        <v>50000</v>
      </c>
      <c r="U29" s="43">
        <f>VLOOKUP($A29,'[17]EPARGNE 2023'!$A$5:$BF$47,4,0)</f>
        <v>21451.962695348077</v>
      </c>
      <c r="V29" s="44">
        <v>600000</v>
      </c>
      <c r="W29" s="43">
        <v>0</v>
      </c>
      <c r="X29" s="11"/>
      <c r="Y29" s="11" t="s">
        <v>116</v>
      </c>
      <c r="Z29" s="11"/>
    </row>
    <row r="30" spans="1:26" s="14" customFormat="1" x14ac:dyDescent="0.35">
      <c r="A30" s="1"/>
      <c r="B30" s="1"/>
      <c r="C30" s="6"/>
      <c r="D30" s="6"/>
      <c r="E30" s="6"/>
      <c r="F30" s="6"/>
      <c r="G30" s="6"/>
      <c r="H30" s="6"/>
      <c r="I30" s="46"/>
      <c r="J30" s="46"/>
      <c r="K30" s="43"/>
      <c r="L30" s="46"/>
      <c r="M30" s="43"/>
      <c r="N30" s="43"/>
      <c r="O30" s="43"/>
      <c r="P30" s="43"/>
      <c r="Q30" s="43"/>
      <c r="R30" s="43"/>
      <c r="S30" s="43"/>
      <c r="T30" s="43"/>
      <c r="U30" s="43"/>
      <c r="V30" s="44"/>
      <c r="W30" s="43"/>
      <c r="X30" s="11"/>
      <c r="Y30" s="11" t="s">
        <v>317</v>
      </c>
      <c r="Z30" s="11"/>
    </row>
    <row r="31" spans="1:26" ht="14.25" customHeight="1" x14ac:dyDescent="0.35">
      <c r="A31" s="1" t="s">
        <v>81</v>
      </c>
      <c r="B31" s="1" t="s">
        <v>118</v>
      </c>
      <c r="C31" s="6">
        <v>570000</v>
      </c>
      <c r="D31" s="6">
        <v>277025.72796184535</v>
      </c>
      <c r="E31" s="6">
        <v>0</v>
      </c>
      <c r="F31" s="6">
        <v>570000</v>
      </c>
      <c r="G31" s="6">
        <v>148542.9147221345</v>
      </c>
      <c r="H31" s="6">
        <v>33000</v>
      </c>
      <c r="I31" s="43"/>
      <c r="J31" s="43"/>
      <c r="K31" s="43">
        <v>458568.64268397982</v>
      </c>
      <c r="L31" s="43"/>
      <c r="M31" s="43">
        <v>20000</v>
      </c>
      <c r="N31" s="43">
        <v>30000</v>
      </c>
      <c r="O31" s="43">
        <v>50000</v>
      </c>
      <c r="P31" s="43">
        <v>408568.64268397982</v>
      </c>
      <c r="Q31" s="43">
        <v>170000</v>
      </c>
      <c r="R31" s="43">
        <v>0</v>
      </c>
      <c r="S31" s="43">
        <v>308568.64268397982</v>
      </c>
      <c r="T31" s="43">
        <v>50000</v>
      </c>
      <c r="U31" s="43">
        <f>VLOOKUP($A31,'[17]EPARGNE 2023'!$A$5:$BF$47,4,0)</f>
        <v>200752.48017057346</v>
      </c>
      <c r="V31" s="44">
        <v>600000</v>
      </c>
      <c r="W31" s="43">
        <v>0</v>
      </c>
      <c r="X31" s="11"/>
      <c r="Y31" s="2" t="s">
        <v>118</v>
      </c>
      <c r="Z31" s="2"/>
    </row>
    <row r="32" spans="1:26" x14ac:dyDescent="0.35">
      <c r="A32" s="1" t="s">
        <v>49</v>
      </c>
      <c r="B32" s="1" t="s">
        <v>121</v>
      </c>
      <c r="C32" s="6">
        <v>570000</v>
      </c>
      <c r="D32" s="6">
        <v>38450.871244281065</v>
      </c>
      <c r="E32" s="6">
        <v>0</v>
      </c>
      <c r="F32" s="6">
        <v>570000</v>
      </c>
      <c r="G32" s="6">
        <v>120400.32467551006</v>
      </c>
      <c r="H32" s="6">
        <v>173000</v>
      </c>
      <c r="I32" s="43"/>
      <c r="J32" s="43"/>
      <c r="K32" s="43">
        <v>331851.19591979112</v>
      </c>
      <c r="L32" s="43"/>
      <c r="M32" s="43">
        <v>20000</v>
      </c>
      <c r="N32" s="43">
        <v>30000</v>
      </c>
      <c r="O32" s="43">
        <v>50000</v>
      </c>
      <c r="P32" s="43">
        <v>281851.19591979112</v>
      </c>
      <c r="Q32" s="43">
        <v>70000</v>
      </c>
      <c r="R32" s="43">
        <v>1000000</v>
      </c>
      <c r="S32" s="43">
        <v>-718148.80408020888</v>
      </c>
      <c r="T32" s="43">
        <v>100000</v>
      </c>
      <c r="U32" s="43">
        <f>VLOOKUP($A32,'[17]EPARGNE 2023'!$A$5:$BF$47,4,0)</f>
        <v>103606.47183067317</v>
      </c>
      <c r="V32" s="44">
        <v>600000</v>
      </c>
      <c r="W32" s="43">
        <v>0</v>
      </c>
      <c r="X32" s="11"/>
      <c r="Y32" s="2" t="s">
        <v>121</v>
      </c>
      <c r="Z32" s="2"/>
    </row>
    <row r="33" spans="1:26" x14ac:dyDescent="0.35">
      <c r="A33" s="1" t="s">
        <v>51</v>
      </c>
      <c r="B33" s="1" t="s">
        <v>122</v>
      </c>
      <c r="C33" s="6">
        <v>570000</v>
      </c>
      <c r="D33" s="6">
        <v>6233.7835378004966</v>
      </c>
      <c r="E33" s="6">
        <v>0</v>
      </c>
      <c r="F33" s="6">
        <v>570000</v>
      </c>
      <c r="G33" s="6">
        <v>102151.58407759845</v>
      </c>
      <c r="H33" s="6">
        <v>36000</v>
      </c>
      <c r="I33" s="43"/>
      <c r="J33" s="43"/>
      <c r="K33" s="43">
        <v>144385.36761539895</v>
      </c>
      <c r="L33" s="43"/>
      <c r="M33" s="43">
        <v>20000</v>
      </c>
      <c r="N33" s="43">
        <v>30000</v>
      </c>
      <c r="O33" s="43">
        <v>50000</v>
      </c>
      <c r="P33" s="43">
        <v>94385.367615398951</v>
      </c>
      <c r="Q33" s="43">
        <v>70000</v>
      </c>
      <c r="R33" s="43">
        <v>1000000</v>
      </c>
      <c r="S33" s="43">
        <v>-905614.63238460105</v>
      </c>
      <c r="T33" s="43">
        <v>40000</v>
      </c>
      <c r="U33" s="43">
        <f>VLOOKUP($A33,'[17]EPARGNE 2023'!$A$5:$BF$47,4,0)</f>
        <v>4207.8699443503283</v>
      </c>
      <c r="V33" s="44">
        <v>600000</v>
      </c>
      <c r="W33" s="43">
        <v>0</v>
      </c>
      <c r="X33" s="11"/>
      <c r="Y33" s="2" t="s">
        <v>122</v>
      </c>
      <c r="Z33" s="2"/>
    </row>
    <row r="34" spans="1:26" x14ac:dyDescent="0.35">
      <c r="A34" s="1"/>
      <c r="B34" s="1"/>
      <c r="C34" s="6"/>
      <c r="D34" s="6"/>
      <c r="E34" s="6"/>
      <c r="F34" s="6"/>
      <c r="G34" s="6"/>
      <c r="H34" s="6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4"/>
      <c r="W34" s="43"/>
      <c r="X34" s="11"/>
      <c r="Y34" s="2" t="s">
        <v>124</v>
      </c>
      <c r="Z34" s="2"/>
    </row>
    <row r="35" spans="1:26" x14ac:dyDescent="0.35">
      <c r="A35" s="1"/>
      <c r="B35" s="1"/>
      <c r="C35" s="6"/>
      <c r="D35" s="6"/>
      <c r="E35" s="6"/>
      <c r="F35" s="6"/>
      <c r="G35" s="6"/>
      <c r="H35" s="6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4"/>
      <c r="W35" s="43"/>
      <c r="X35" s="11"/>
      <c r="Y35" s="2" t="s">
        <v>318</v>
      </c>
      <c r="Z35" s="2"/>
    </row>
    <row r="36" spans="1:26" s="14" customFormat="1" ht="13.5" customHeight="1" x14ac:dyDescent="0.35">
      <c r="A36" s="1" t="s">
        <v>55</v>
      </c>
      <c r="B36" s="1" t="s">
        <v>126</v>
      </c>
      <c r="C36" s="6">
        <v>570000</v>
      </c>
      <c r="D36" s="6">
        <v>811081.29717838136</v>
      </c>
      <c r="E36" s="6">
        <v>0</v>
      </c>
      <c r="F36" s="6">
        <v>570000</v>
      </c>
      <c r="G36" s="6">
        <v>240782.38593028119</v>
      </c>
      <c r="H36" s="6">
        <v>36000</v>
      </c>
      <c r="I36" s="46"/>
      <c r="J36" s="46"/>
      <c r="K36" s="43">
        <v>1087863.6831086625</v>
      </c>
      <c r="L36" s="46"/>
      <c r="M36" s="43">
        <v>20000</v>
      </c>
      <c r="N36" s="43">
        <v>30000</v>
      </c>
      <c r="O36" s="43">
        <v>50000</v>
      </c>
      <c r="P36" s="43">
        <v>1007863.6831086625</v>
      </c>
      <c r="Q36" s="43">
        <v>70000</v>
      </c>
      <c r="R36" s="43">
        <v>0</v>
      </c>
      <c r="S36" s="43">
        <v>1007863.6831086625</v>
      </c>
      <c r="T36" s="43"/>
      <c r="U36" s="43">
        <f>VLOOKUP($A36,'[17]EPARGNE 2023'!$A$5:$BF$47,4,0)</f>
        <v>914734.42229355336</v>
      </c>
      <c r="V36" s="44">
        <v>600000</v>
      </c>
      <c r="W36" s="43">
        <v>0</v>
      </c>
      <c r="X36" s="11"/>
      <c r="Y36" s="14" t="s">
        <v>126</v>
      </c>
    </row>
    <row r="37" spans="1:26" x14ac:dyDescent="0.35">
      <c r="A37" s="1" t="s">
        <v>56</v>
      </c>
      <c r="B37" s="1" t="s">
        <v>127</v>
      </c>
      <c r="C37" s="6">
        <v>570000</v>
      </c>
      <c r="D37" s="6">
        <v>913245.29452405358</v>
      </c>
      <c r="E37" s="6">
        <v>0</v>
      </c>
      <c r="F37" s="6">
        <v>570000</v>
      </c>
      <c r="G37" s="6">
        <v>258379.60358017083</v>
      </c>
      <c r="H37" s="6">
        <v>36000</v>
      </c>
      <c r="I37" s="43"/>
      <c r="J37" s="43"/>
      <c r="K37" s="43">
        <v>1207624.8981042244</v>
      </c>
      <c r="L37" s="43"/>
      <c r="M37" s="43">
        <v>20000</v>
      </c>
      <c r="N37" s="43">
        <v>30000</v>
      </c>
      <c r="O37" s="43">
        <v>50000</v>
      </c>
      <c r="P37" s="43">
        <v>1157624.8981042244</v>
      </c>
      <c r="Q37" s="43">
        <v>70000</v>
      </c>
      <c r="R37" s="43">
        <v>0</v>
      </c>
      <c r="S37" s="43">
        <v>1157624.8981042244</v>
      </c>
      <c r="T37" s="43"/>
      <c r="U37" s="43">
        <f>VLOOKUP($A37,'[17]EPARGNE 2023'!$A$5:$BF$47,4,0)</f>
        <v>1057774.2356918815</v>
      </c>
      <c r="V37" s="44">
        <v>600000</v>
      </c>
      <c r="W37" s="43">
        <v>0</v>
      </c>
      <c r="X37" s="11"/>
      <c r="Y37" t="s">
        <v>127</v>
      </c>
    </row>
    <row r="38" spans="1:26" x14ac:dyDescent="0.35">
      <c r="A38" s="133"/>
      <c r="B38" s="1"/>
      <c r="C38" s="130"/>
      <c r="D38" s="130"/>
      <c r="E38" s="6"/>
      <c r="F38" s="6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43"/>
      <c r="T38" s="130"/>
      <c r="U38" s="130"/>
      <c r="V38" s="134"/>
      <c r="W38" s="43"/>
    </row>
    <row r="39" spans="1:26" ht="18" thickBot="1" x14ac:dyDescent="0.4">
      <c r="A39" s="53" t="s">
        <v>57</v>
      </c>
      <c r="B39" s="68"/>
      <c r="C39" s="73">
        <v>15404177.005550491</v>
      </c>
      <c r="D39" s="73">
        <v>2740331.1427906612</v>
      </c>
      <c r="E39" s="73">
        <v>500000</v>
      </c>
      <c r="F39" s="73">
        <v>14904177.005550491</v>
      </c>
      <c r="G39" s="73">
        <v>3313199.9999999995</v>
      </c>
      <c r="H39" s="73">
        <v>2653500</v>
      </c>
      <c r="I39" s="73">
        <v>0</v>
      </c>
      <c r="J39" s="73">
        <v>0</v>
      </c>
      <c r="K39" s="73">
        <v>8707031.1427906603</v>
      </c>
      <c r="L39" s="73">
        <v>0</v>
      </c>
      <c r="M39" s="73">
        <v>520000</v>
      </c>
      <c r="N39" s="73">
        <v>780000</v>
      </c>
      <c r="O39" s="73">
        <v>1300000</v>
      </c>
      <c r="P39" s="73">
        <v>7206409.689247191</v>
      </c>
      <c r="Q39" s="73">
        <v>1936000</v>
      </c>
      <c r="R39" s="73">
        <v>14070000</v>
      </c>
      <c r="S39" s="73">
        <v>-7477978.4846683871</v>
      </c>
      <c r="T39" s="73">
        <v>1201000</v>
      </c>
      <c r="U39" s="73">
        <v>4361560</v>
      </c>
      <c r="V39" s="73">
        <v>16200000</v>
      </c>
      <c r="W39" s="73">
        <v>14388.173915576999</v>
      </c>
      <c r="X39" s="73">
        <v>1740000</v>
      </c>
    </row>
    <row r="40" spans="1:26" ht="15" thickTop="1" x14ac:dyDescent="0.35">
      <c r="G40" t="s">
        <v>311</v>
      </c>
    </row>
    <row r="41" spans="1:26" x14ac:dyDescent="0.35">
      <c r="E41" s="6">
        <v>30000</v>
      </c>
      <c r="F41" s="6"/>
      <c r="G41" s="6"/>
      <c r="H41" s="6"/>
      <c r="I41" s="6"/>
      <c r="J41" s="6"/>
      <c r="K41" s="6"/>
      <c r="L41" s="6"/>
    </row>
    <row r="42" spans="1:26" x14ac:dyDescent="0.35">
      <c r="F42" s="6">
        <v>23000</v>
      </c>
      <c r="G42" s="6">
        <v>2000</v>
      </c>
      <c r="H42" s="6">
        <v>25000</v>
      </c>
      <c r="I42" s="6"/>
      <c r="J42" s="6"/>
      <c r="K42" s="6"/>
      <c r="L42" s="6"/>
      <c r="O42" s="2"/>
    </row>
    <row r="43" spans="1:26" x14ac:dyDescent="0.35">
      <c r="E43" t="s">
        <v>308</v>
      </c>
      <c r="F43" s="6">
        <v>500</v>
      </c>
      <c r="G43" s="6">
        <v>500</v>
      </c>
      <c r="H43" s="6">
        <v>1000</v>
      </c>
      <c r="I43" s="6"/>
      <c r="J43" s="6"/>
      <c r="K43" s="6"/>
      <c r="L43" s="6"/>
    </row>
    <row r="44" spans="1:26" x14ac:dyDescent="0.35">
      <c r="A44" s="1" t="s">
        <v>17</v>
      </c>
      <c r="B44" s="1" t="s">
        <v>101</v>
      </c>
      <c r="C44" s="6">
        <v>216000</v>
      </c>
      <c r="E44" t="s">
        <v>309</v>
      </c>
      <c r="F44" s="6">
        <v>1000</v>
      </c>
      <c r="G44" s="6"/>
      <c r="H44" s="6">
        <v>1000</v>
      </c>
      <c r="I44" s="6"/>
      <c r="J44" s="6"/>
      <c r="K44" s="6"/>
      <c r="L44" s="6"/>
    </row>
    <row r="45" spans="1:26" x14ac:dyDescent="0.35">
      <c r="A45" s="1" t="s">
        <v>301</v>
      </c>
      <c r="B45" s="1" t="s">
        <v>319</v>
      </c>
      <c r="C45" s="6">
        <v>80000</v>
      </c>
      <c r="E45" t="s">
        <v>310</v>
      </c>
      <c r="F45" s="6">
        <v>3000</v>
      </c>
      <c r="G45" s="6">
        <v>6000</v>
      </c>
      <c r="H45" s="6">
        <v>9000</v>
      </c>
      <c r="I45" s="6">
        <v>108000</v>
      </c>
      <c r="J45" s="6"/>
      <c r="K45" s="6"/>
      <c r="L45" s="6"/>
    </row>
    <row r="46" spans="1:26" x14ac:dyDescent="0.35">
      <c r="A46" s="1" t="s">
        <v>300</v>
      </c>
      <c r="B46" s="1" t="s">
        <v>320</v>
      </c>
      <c r="C46" s="6">
        <v>480000</v>
      </c>
      <c r="E46" t="s">
        <v>12</v>
      </c>
      <c r="F46" s="6">
        <v>2500</v>
      </c>
      <c r="G46" s="6">
        <v>1500</v>
      </c>
      <c r="H46" s="6">
        <v>4000</v>
      </c>
      <c r="I46" s="6">
        <v>104000</v>
      </c>
      <c r="J46" s="6"/>
      <c r="K46" s="6"/>
      <c r="L46" s="6"/>
    </row>
    <row r="47" spans="1:26" x14ac:dyDescent="0.35">
      <c r="A47" s="1" t="s">
        <v>40</v>
      </c>
      <c r="B47" s="1" t="s">
        <v>114</v>
      </c>
      <c r="C47" s="6">
        <v>257467</v>
      </c>
    </row>
    <row r="48" spans="1:26" x14ac:dyDescent="0.35">
      <c r="A48" s="1" t="s">
        <v>80</v>
      </c>
      <c r="B48" s="1" t="s">
        <v>112</v>
      </c>
      <c r="C48" s="6">
        <v>80000</v>
      </c>
      <c r="F48" s="6">
        <v>30000</v>
      </c>
      <c r="G48" s="6">
        <v>10000</v>
      </c>
      <c r="H48" s="6">
        <v>40000</v>
      </c>
      <c r="I48" s="6"/>
      <c r="J48" s="6"/>
      <c r="K48" s="6"/>
    </row>
    <row r="50" spans="1:21" ht="17.5" x14ac:dyDescent="0.35">
      <c r="A50" s="1" t="s">
        <v>57</v>
      </c>
      <c r="B50" s="1"/>
      <c r="C50" s="9">
        <v>1113467</v>
      </c>
      <c r="L50" s="110"/>
      <c r="M50" s="110"/>
      <c r="N50" s="2"/>
      <c r="O50" s="2"/>
      <c r="P50" s="2"/>
      <c r="Q50" s="2"/>
      <c r="R50" s="2"/>
      <c r="S50" s="2"/>
      <c r="T50" s="2"/>
      <c r="U50"/>
    </row>
  </sheetData>
  <autoFilter ref="A5:U39" xr:uid="{00000000-0009-0000-0000-000013000000}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9"/>
  <sheetViews>
    <sheetView topLeftCell="A13" workbookViewId="0">
      <selection activeCell="E13" sqref="E13"/>
    </sheetView>
  </sheetViews>
  <sheetFormatPr baseColWidth="10" defaultRowHeight="14.5" x14ac:dyDescent="0.35"/>
  <cols>
    <col min="2" max="2" width="40.7265625" customWidth="1"/>
    <col min="3" max="5" width="18.54296875" bestFit="1" customWidth="1"/>
    <col min="6" max="6" width="20.453125" customWidth="1"/>
  </cols>
  <sheetData>
    <row r="1" spans="1:7" x14ac:dyDescent="0.35">
      <c r="B1" s="42" t="s">
        <v>1</v>
      </c>
    </row>
    <row r="2" spans="1:7" x14ac:dyDescent="0.35">
      <c r="B2" s="42" t="s">
        <v>2</v>
      </c>
      <c r="C2" s="42">
        <v>2022</v>
      </c>
    </row>
    <row r="3" spans="1:7" ht="21" x14ac:dyDescent="0.5">
      <c r="B3" s="197" t="s">
        <v>281</v>
      </c>
      <c r="C3" s="198"/>
      <c r="D3" s="198"/>
      <c r="E3" s="198"/>
      <c r="F3" s="198"/>
    </row>
    <row r="5" spans="1:7" ht="15" thickBot="1" x14ac:dyDescent="0.4"/>
    <row r="6" spans="1:7" ht="37.5" thickTop="1" x14ac:dyDescent="0.45">
      <c r="A6" s="105" t="s">
        <v>289</v>
      </c>
      <c r="B6" s="107" t="s">
        <v>275</v>
      </c>
      <c r="C6" s="106" t="s">
        <v>276</v>
      </c>
      <c r="D6" s="107" t="s">
        <v>277</v>
      </c>
      <c r="E6" s="107" t="s">
        <v>278</v>
      </c>
      <c r="F6" s="108" t="s">
        <v>234</v>
      </c>
    </row>
    <row r="7" spans="1:7" ht="18.5" x14ac:dyDescent="0.45">
      <c r="A7" s="118"/>
      <c r="B7" s="119"/>
      <c r="C7" s="120"/>
      <c r="D7" s="119"/>
      <c r="E7" s="119"/>
      <c r="F7" s="121"/>
    </row>
    <row r="8" spans="1:7" x14ac:dyDescent="0.35">
      <c r="A8" s="78">
        <v>1</v>
      </c>
      <c r="B8" s="50" t="s">
        <v>290</v>
      </c>
      <c r="C8" s="124">
        <v>21791466</v>
      </c>
      <c r="D8" s="124"/>
      <c r="E8" s="46">
        <v>500000</v>
      </c>
      <c r="F8" s="44">
        <v>21291466</v>
      </c>
      <c r="G8" s="2"/>
    </row>
    <row r="9" spans="1:7" x14ac:dyDescent="0.35">
      <c r="A9" s="78">
        <v>2</v>
      </c>
      <c r="B9" s="50" t="s">
        <v>10</v>
      </c>
      <c r="C9" s="124">
        <v>2074728</v>
      </c>
      <c r="D9" s="124">
        <v>156000</v>
      </c>
      <c r="E9" s="46">
        <v>234500</v>
      </c>
      <c r="F9" s="44">
        <v>1996228</v>
      </c>
      <c r="G9" s="2"/>
    </row>
    <row r="10" spans="1:7" x14ac:dyDescent="0.35">
      <c r="A10" s="78">
        <v>3</v>
      </c>
      <c r="B10" s="50" t="s">
        <v>58</v>
      </c>
      <c r="C10" s="124">
        <v>1191460</v>
      </c>
      <c r="D10" s="124">
        <v>312000</v>
      </c>
      <c r="E10" s="46">
        <v>0</v>
      </c>
      <c r="F10" s="44">
        <v>1503460</v>
      </c>
      <c r="G10" s="2"/>
    </row>
    <row r="11" spans="1:7" x14ac:dyDescent="0.35">
      <c r="A11" s="78">
        <v>4</v>
      </c>
      <c r="B11" s="50" t="s">
        <v>279</v>
      </c>
      <c r="C11" s="124">
        <v>94762</v>
      </c>
      <c r="D11" s="124">
        <v>520000</v>
      </c>
      <c r="E11" s="46">
        <v>0</v>
      </c>
      <c r="F11" s="44">
        <f>C11+D11</f>
        <v>614762</v>
      </c>
      <c r="G11" s="2"/>
    </row>
    <row r="12" spans="1:7" x14ac:dyDescent="0.35">
      <c r="A12" s="78">
        <v>5</v>
      </c>
      <c r="B12" s="50" t="s">
        <v>71</v>
      </c>
      <c r="C12" s="124">
        <v>680000</v>
      </c>
      <c r="D12" s="124">
        <v>0</v>
      </c>
      <c r="E12" s="46">
        <v>0</v>
      </c>
      <c r="F12" s="44">
        <v>680000</v>
      </c>
      <c r="G12" s="2"/>
    </row>
    <row r="13" spans="1:7" x14ac:dyDescent="0.35">
      <c r="A13" s="78">
        <v>6</v>
      </c>
      <c r="B13" s="50" t="s">
        <v>282</v>
      </c>
      <c r="C13" s="124">
        <v>1122025</v>
      </c>
      <c r="D13" s="124">
        <v>96000</v>
      </c>
      <c r="E13" s="46">
        <v>450000</v>
      </c>
      <c r="F13" s="44">
        <v>768025</v>
      </c>
      <c r="G13" s="2"/>
    </row>
    <row r="14" spans="1:7" x14ac:dyDescent="0.35">
      <c r="A14" s="78">
        <v>7</v>
      </c>
      <c r="B14" s="50" t="s">
        <v>12</v>
      </c>
      <c r="C14" s="124">
        <v>1310525</v>
      </c>
      <c r="D14" s="124">
        <v>780000</v>
      </c>
      <c r="E14" s="46">
        <v>770000</v>
      </c>
      <c r="F14" s="44">
        <v>1320525</v>
      </c>
      <c r="G14" s="2"/>
    </row>
    <row r="15" spans="1:7" x14ac:dyDescent="0.35">
      <c r="A15" s="78">
        <v>8</v>
      </c>
      <c r="B15" s="50" t="s">
        <v>283</v>
      </c>
      <c r="C15" s="124">
        <v>94000</v>
      </c>
      <c r="D15" s="124"/>
      <c r="E15" s="46"/>
      <c r="F15" s="44">
        <v>94000</v>
      </c>
      <c r="G15" s="2"/>
    </row>
    <row r="16" spans="1:7" x14ac:dyDescent="0.35">
      <c r="A16" s="78">
        <v>9</v>
      </c>
      <c r="B16" s="50" t="s">
        <v>295</v>
      </c>
      <c r="C16" s="124"/>
      <c r="D16" s="124"/>
      <c r="E16" s="46"/>
      <c r="F16" s="44">
        <v>0</v>
      </c>
      <c r="G16" s="2"/>
    </row>
    <row r="17" spans="1:8" x14ac:dyDescent="0.35">
      <c r="A17" s="78">
        <v>10</v>
      </c>
      <c r="B17" s="50" t="s">
        <v>242</v>
      </c>
      <c r="C17" s="124">
        <v>527000</v>
      </c>
      <c r="D17" s="124">
        <v>1836000</v>
      </c>
      <c r="E17" s="46">
        <v>1820000</v>
      </c>
      <c r="F17" s="44">
        <v>543000</v>
      </c>
      <c r="G17" s="2"/>
    </row>
    <row r="18" spans="1:8" x14ac:dyDescent="0.35">
      <c r="A18" s="78">
        <v>11</v>
      </c>
      <c r="B18" s="50" t="s">
        <v>284</v>
      </c>
      <c r="C18" s="124">
        <v>164500</v>
      </c>
      <c r="D18" s="124"/>
      <c r="E18" s="46">
        <v>164500</v>
      </c>
      <c r="F18" s="44">
        <v>0</v>
      </c>
      <c r="G18" s="2"/>
    </row>
    <row r="19" spans="1:8" x14ac:dyDescent="0.35">
      <c r="A19" s="78">
        <v>12</v>
      </c>
      <c r="B19" s="50" t="s">
        <v>285</v>
      </c>
      <c r="C19" s="124">
        <v>619900</v>
      </c>
      <c r="D19" s="124"/>
      <c r="E19" s="46">
        <v>619900</v>
      </c>
      <c r="F19" s="44">
        <v>0</v>
      </c>
      <c r="G19" s="2"/>
    </row>
    <row r="20" spans="1:8" x14ac:dyDescent="0.35">
      <c r="A20" s="78">
        <v>13</v>
      </c>
      <c r="B20" s="50" t="s">
        <v>286</v>
      </c>
      <c r="C20" s="124">
        <v>75000</v>
      </c>
      <c r="D20" s="124"/>
      <c r="E20" s="46">
        <v>75000</v>
      </c>
      <c r="F20" s="44">
        <v>0</v>
      </c>
      <c r="G20" s="2"/>
    </row>
    <row r="21" spans="1:8" x14ac:dyDescent="0.35">
      <c r="A21" s="78">
        <v>14</v>
      </c>
      <c r="B21" s="50" t="s">
        <v>287</v>
      </c>
      <c r="C21" s="124">
        <v>54508</v>
      </c>
      <c r="D21" s="124"/>
      <c r="E21" s="46">
        <v>54508</v>
      </c>
      <c r="F21" s="44">
        <v>0</v>
      </c>
      <c r="G21" s="2"/>
    </row>
    <row r="22" spans="1:8" x14ac:dyDescent="0.35">
      <c r="A22" s="78">
        <v>15</v>
      </c>
      <c r="B22" s="50" t="s">
        <v>288</v>
      </c>
      <c r="C22" s="124">
        <v>2858226</v>
      </c>
      <c r="D22" s="124">
        <v>3748107.9999999995</v>
      </c>
      <c r="E22" s="46"/>
      <c r="F22" s="44">
        <v>6606334</v>
      </c>
      <c r="G22" s="2"/>
    </row>
    <row r="23" spans="1:8" x14ac:dyDescent="0.35">
      <c r="A23" s="78"/>
      <c r="B23" s="50" t="s">
        <v>302</v>
      </c>
      <c r="C23" s="43"/>
      <c r="D23" s="124">
        <v>28000</v>
      </c>
      <c r="E23" s="46"/>
      <c r="F23" s="44">
        <v>28000</v>
      </c>
      <c r="G23" s="2"/>
    </row>
    <row r="24" spans="1:8" x14ac:dyDescent="0.35">
      <c r="A24" s="128"/>
      <c r="B24" s="129"/>
      <c r="C24" s="130"/>
      <c r="D24" s="130"/>
      <c r="E24" s="131"/>
      <c r="F24" s="132"/>
      <c r="G24" s="2"/>
    </row>
    <row r="25" spans="1:8" ht="20.5" thickBot="1" x14ac:dyDescent="0.45">
      <c r="A25" s="80"/>
      <c r="B25" s="125" t="s">
        <v>57</v>
      </c>
      <c r="C25" s="126">
        <v>32658100</v>
      </c>
      <c r="D25" s="126">
        <f>SUM(D9:D23)</f>
        <v>7476108</v>
      </c>
      <c r="E25" s="126">
        <v>4688408</v>
      </c>
      <c r="F25" s="126">
        <f>SUM(F8:F23)</f>
        <v>35445800</v>
      </c>
      <c r="G25" s="2"/>
      <c r="H25" s="2">
        <v>479000</v>
      </c>
    </row>
    <row r="26" spans="1:8" ht="15" thickTop="1" x14ac:dyDescent="0.35">
      <c r="A26" s="111"/>
      <c r="B26" s="15"/>
      <c r="C26" s="112"/>
      <c r="D26" s="112"/>
      <c r="E26" s="112"/>
      <c r="F26" s="112"/>
      <c r="G26" s="2"/>
    </row>
    <row r="27" spans="1:8" ht="23.5" x14ac:dyDescent="0.55000000000000004">
      <c r="B27" s="199" t="s">
        <v>291</v>
      </c>
      <c r="C27" s="200"/>
      <c r="D27" s="200"/>
      <c r="E27" s="200"/>
      <c r="F27" s="200"/>
      <c r="G27" s="111"/>
    </row>
    <row r="28" spans="1:8" x14ac:dyDescent="0.35">
      <c r="A28" s="111"/>
      <c r="B28" s="15"/>
      <c r="C28" s="112"/>
      <c r="D28" s="112"/>
      <c r="E28" s="113"/>
      <c r="F28" s="112"/>
      <c r="G28" s="2"/>
    </row>
    <row r="29" spans="1:8" x14ac:dyDescent="0.35">
      <c r="A29" s="111"/>
      <c r="B29" s="15"/>
      <c r="C29" s="112"/>
      <c r="D29" s="112"/>
      <c r="E29" s="113"/>
      <c r="F29" s="112"/>
      <c r="G29" s="2"/>
    </row>
    <row r="30" spans="1:8" ht="15" thickBot="1" x14ac:dyDescent="0.4">
      <c r="A30" s="111"/>
      <c r="B30" s="15"/>
      <c r="C30" s="112">
        <v>2021</v>
      </c>
      <c r="D30" s="112">
        <v>2022</v>
      </c>
      <c r="E30" s="113"/>
      <c r="F30" s="112"/>
      <c r="G30" s="2"/>
    </row>
    <row r="31" spans="1:8" ht="15" thickTop="1" x14ac:dyDescent="0.35">
      <c r="A31" s="85">
        <v>1</v>
      </c>
      <c r="B31" s="86" t="s">
        <v>292</v>
      </c>
      <c r="C31" s="127">
        <v>7304779</v>
      </c>
      <c r="D31" s="139">
        <v>4337431</v>
      </c>
      <c r="E31" s="113"/>
      <c r="F31" s="112"/>
      <c r="G31" s="2"/>
    </row>
    <row r="32" spans="1:8" x14ac:dyDescent="0.35">
      <c r="A32" s="78">
        <v>2</v>
      </c>
      <c r="B32" s="50" t="s">
        <v>293</v>
      </c>
      <c r="C32" s="124">
        <v>630005</v>
      </c>
      <c r="D32" s="140">
        <v>630005</v>
      </c>
      <c r="E32" s="113"/>
      <c r="F32" s="112"/>
      <c r="G32" s="2"/>
      <c r="H32" s="2"/>
    </row>
    <row r="33" spans="1:7" x14ac:dyDescent="0.35">
      <c r="A33" s="78">
        <v>3</v>
      </c>
      <c r="B33" s="50" t="s">
        <v>280</v>
      </c>
      <c r="C33" s="124">
        <v>1423702</v>
      </c>
      <c r="D33" s="140">
        <v>1423702</v>
      </c>
      <c r="E33" s="113"/>
      <c r="F33" s="112"/>
      <c r="G33" s="2"/>
    </row>
    <row r="34" spans="1:7" x14ac:dyDescent="0.35">
      <c r="A34" s="78">
        <v>4</v>
      </c>
      <c r="B34" s="50" t="s">
        <v>294</v>
      </c>
      <c r="C34" s="124">
        <v>744700</v>
      </c>
      <c r="D34" s="140">
        <v>744700</v>
      </c>
      <c r="E34" s="113"/>
      <c r="F34" s="112"/>
      <c r="G34" s="2"/>
    </row>
    <row r="35" spans="1:7" x14ac:dyDescent="0.35">
      <c r="A35" s="78">
        <v>5</v>
      </c>
      <c r="B35" s="50" t="s">
        <v>296</v>
      </c>
      <c r="C35" s="124">
        <v>275000</v>
      </c>
      <c r="D35" s="140">
        <v>0</v>
      </c>
      <c r="E35" s="112"/>
      <c r="F35" s="112"/>
      <c r="G35" s="2"/>
    </row>
    <row r="36" spans="1:7" x14ac:dyDescent="0.35">
      <c r="A36" s="78">
        <v>6</v>
      </c>
      <c r="B36" s="50" t="s">
        <v>297</v>
      </c>
      <c r="C36" s="124">
        <v>154000</v>
      </c>
      <c r="D36" s="140">
        <v>154000</v>
      </c>
      <c r="E36" s="112"/>
      <c r="F36" s="112"/>
      <c r="G36" s="2"/>
    </row>
    <row r="37" spans="1:7" x14ac:dyDescent="0.35">
      <c r="A37" s="78">
        <v>7</v>
      </c>
      <c r="B37" s="50" t="s">
        <v>298</v>
      </c>
      <c r="C37" s="124">
        <v>20515659</v>
      </c>
      <c r="D37" s="140">
        <v>18658500</v>
      </c>
      <c r="E37" s="112"/>
      <c r="F37" s="112"/>
      <c r="G37" s="2"/>
    </row>
    <row r="38" spans="1:7" x14ac:dyDescent="0.35">
      <c r="A38" s="78">
        <v>8</v>
      </c>
      <c r="B38" s="50" t="s">
        <v>299</v>
      </c>
      <c r="C38" s="124">
        <v>1233618</v>
      </c>
      <c r="D38" s="140">
        <v>656618</v>
      </c>
      <c r="E38" s="113"/>
      <c r="F38" s="112"/>
      <c r="G38" s="2"/>
    </row>
    <row r="39" spans="1:7" x14ac:dyDescent="0.35">
      <c r="A39" s="78"/>
      <c r="B39" s="50"/>
      <c r="C39" s="43"/>
      <c r="D39" s="44"/>
      <c r="E39" s="113"/>
      <c r="F39" s="112"/>
      <c r="G39" s="2"/>
    </row>
    <row r="40" spans="1:7" ht="15" thickBot="1" x14ac:dyDescent="0.4">
      <c r="A40" s="80"/>
      <c r="B40" s="68" t="s">
        <v>57</v>
      </c>
      <c r="C40" s="122">
        <v>32281463</v>
      </c>
      <c r="D40" s="123">
        <v>26604956</v>
      </c>
      <c r="E40" s="114"/>
      <c r="F40" s="112"/>
      <c r="G40" s="109"/>
    </row>
    <row r="41" spans="1:7" ht="15" thickTop="1" x14ac:dyDescent="0.35">
      <c r="A41" s="111"/>
      <c r="B41" s="111"/>
      <c r="C41" s="115"/>
      <c r="D41" s="115"/>
      <c r="E41" s="114"/>
      <c r="F41" s="112"/>
      <c r="G41" s="2"/>
    </row>
    <row r="42" spans="1:7" x14ac:dyDescent="0.35">
      <c r="A42" s="111"/>
      <c r="B42" s="111"/>
      <c r="C42" s="112"/>
      <c r="D42" s="112"/>
      <c r="E42" s="113"/>
      <c r="F42" s="112"/>
      <c r="G42" s="2"/>
    </row>
    <row r="43" spans="1:7" x14ac:dyDescent="0.35">
      <c r="A43" s="111"/>
      <c r="B43" s="15"/>
      <c r="C43" s="115"/>
      <c r="D43" s="112"/>
      <c r="E43" s="113"/>
      <c r="F43" s="112"/>
      <c r="G43" s="2"/>
    </row>
    <row r="44" spans="1:7" x14ac:dyDescent="0.35">
      <c r="A44" s="111"/>
      <c r="B44" s="15"/>
      <c r="C44" s="115"/>
      <c r="D44" s="111"/>
      <c r="E44" s="113"/>
      <c r="F44" s="112"/>
      <c r="G44" s="2"/>
    </row>
    <row r="45" spans="1:7" x14ac:dyDescent="0.35">
      <c r="A45" s="111"/>
      <c r="B45" s="15"/>
      <c r="C45" s="115"/>
      <c r="D45" s="112"/>
      <c r="E45" s="114"/>
      <c r="F45" s="112"/>
      <c r="G45" s="2"/>
    </row>
    <row r="46" spans="1:7" x14ac:dyDescent="0.35">
      <c r="A46" s="111"/>
      <c r="B46" s="15"/>
      <c r="C46" s="115"/>
      <c r="D46" s="112"/>
      <c r="E46" s="114"/>
      <c r="F46" s="112"/>
      <c r="G46" s="2"/>
    </row>
    <row r="47" spans="1:7" x14ac:dyDescent="0.35">
      <c r="A47" s="111"/>
      <c r="B47" s="15"/>
      <c r="C47" s="115"/>
      <c r="D47" s="112"/>
      <c r="E47" s="114"/>
      <c r="F47" s="112"/>
      <c r="G47" s="2"/>
    </row>
    <row r="48" spans="1:7" x14ac:dyDescent="0.35">
      <c r="A48" s="111"/>
      <c r="B48" s="15"/>
      <c r="C48" s="115"/>
      <c r="D48" s="112"/>
      <c r="E48" s="114"/>
      <c r="F48" s="112"/>
      <c r="G48" s="2"/>
    </row>
    <row r="49" spans="1:7" x14ac:dyDescent="0.35">
      <c r="A49" s="111"/>
      <c r="B49" s="15"/>
      <c r="C49" s="111"/>
      <c r="D49" s="112"/>
      <c r="E49" s="113"/>
      <c r="F49" s="112"/>
      <c r="G49" s="2"/>
    </row>
    <row r="50" spans="1:7" x14ac:dyDescent="0.35">
      <c r="A50" s="111"/>
      <c r="B50" s="15"/>
      <c r="C50" s="111"/>
      <c r="D50" s="112"/>
      <c r="E50" s="116"/>
      <c r="F50" s="112"/>
      <c r="G50" s="2"/>
    </row>
    <row r="51" spans="1:7" x14ac:dyDescent="0.35">
      <c r="A51" s="111"/>
      <c r="B51" s="15"/>
      <c r="C51" s="112"/>
      <c r="D51" s="112"/>
      <c r="E51" s="116"/>
      <c r="F51" s="112"/>
      <c r="G51" s="2"/>
    </row>
    <row r="52" spans="1:7" x14ac:dyDescent="0.35">
      <c r="A52" s="111"/>
      <c r="B52" s="15"/>
      <c r="C52" s="111"/>
      <c r="D52" s="112"/>
      <c r="E52" s="114"/>
      <c r="F52" s="112"/>
      <c r="G52" s="2"/>
    </row>
    <row r="53" spans="1:7" x14ac:dyDescent="0.35">
      <c r="A53" s="111"/>
      <c r="B53" s="15"/>
      <c r="C53" s="115"/>
      <c r="D53" s="112"/>
      <c r="E53" s="114"/>
      <c r="F53" s="112"/>
      <c r="G53" s="2"/>
    </row>
    <row r="54" spans="1:7" x14ac:dyDescent="0.35">
      <c r="A54" s="111"/>
      <c r="B54" s="15"/>
      <c r="C54" s="115"/>
      <c r="D54" s="112"/>
      <c r="E54" s="113"/>
      <c r="F54" s="112"/>
      <c r="G54" s="2"/>
    </row>
    <row r="55" spans="1:7" x14ac:dyDescent="0.35">
      <c r="A55" s="111"/>
      <c r="B55" s="15"/>
      <c r="C55" s="115"/>
      <c r="D55" s="112"/>
      <c r="E55" s="114"/>
      <c r="F55" s="112"/>
      <c r="G55" s="2"/>
    </row>
    <row r="56" spans="1:7" x14ac:dyDescent="0.35">
      <c r="A56" s="111"/>
      <c r="B56" s="111"/>
      <c r="C56" s="111"/>
      <c r="D56" s="111"/>
      <c r="E56" s="116"/>
      <c r="F56" s="112"/>
    </row>
    <row r="57" spans="1:7" x14ac:dyDescent="0.35">
      <c r="A57" s="111"/>
      <c r="B57" s="111"/>
      <c r="C57" s="111"/>
      <c r="D57" s="111"/>
      <c r="E57" s="116"/>
      <c r="F57" s="111"/>
    </row>
    <row r="58" spans="1:7" ht="17.5" x14ac:dyDescent="0.35">
      <c r="A58" s="111"/>
      <c r="B58" s="15"/>
      <c r="C58" s="117"/>
      <c r="D58" s="117"/>
      <c r="E58" s="117"/>
      <c r="F58" s="117"/>
    </row>
    <row r="59" spans="1:7" x14ac:dyDescent="0.35">
      <c r="A59" s="111"/>
      <c r="B59" s="111"/>
      <c r="C59" s="111"/>
      <c r="D59" s="111"/>
      <c r="E59" s="111"/>
      <c r="F59" s="111"/>
    </row>
    <row r="60" spans="1:7" x14ac:dyDescent="0.35">
      <c r="A60" s="111"/>
      <c r="B60" s="111"/>
      <c r="C60" s="111"/>
      <c r="D60" s="111"/>
      <c r="E60" s="111"/>
      <c r="F60" s="111"/>
    </row>
    <row r="61" spans="1:7" x14ac:dyDescent="0.35">
      <c r="A61" s="111"/>
      <c r="B61" s="111"/>
      <c r="C61" s="111"/>
      <c r="D61" s="111"/>
      <c r="E61" s="111"/>
      <c r="F61" s="111"/>
    </row>
    <row r="62" spans="1:7" x14ac:dyDescent="0.35">
      <c r="A62" s="111"/>
      <c r="B62" s="111"/>
      <c r="C62" s="111"/>
      <c r="D62" s="111"/>
      <c r="E62" s="111"/>
      <c r="F62" s="111"/>
    </row>
    <row r="63" spans="1:7" x14ac:dyDescent="0.35">
      <c r="A63" s="111"/>
      <c r="B63" s="111"/>
      <c r="C63" s="111"/>
      <c r="D63" s="111"/>
      <c r="E63" s="111"/>
      <c r="F63" s="111"/>
    </row>
    <row r="64" spans="1:7" x14ac:dyDescent="0.35">
      <c r="A64" s="111"/>
      <c r="B64" s="111"/>
      <c r="C64" s="111"/>
      <c r="D64" s="111"/>
      <c r="E64" s="111"/>
      <c r="F64" s="111"/>
    </row>
    <row r="65" spans="1:6" x14ac:dyDescent="0.35">
      <c r="A65" s="111"/>
      <c r="B65" s="111"/>
      <c r="C65" s="111"/>
      <c r="D65" s="111"/>
      <c r="E65" s="111"/>
      <c r="F65" s="111"/>
    </row>
    <row r="66" spans="1:6" x14ac:dyDescent="0.35">
      <c r="A66" s="111"/>
      <c r="B66" s="111"/>
      <c r="C66" s="111"/>
      <c r="D66" s="111"/>
      <c r="E66" s="111"/>
      <c r="F66" s="111"/>
    </row>
    <row r="67" spans="1:6" x14ac:dyDescent="0.35">
      <c r="A67" s="111"/>
      <c r="B67" s="111"/>
      <c r="C67" s="111"/>
      <c r="D67" s="111"/>
      <c r="E67" s="111"/>
      <c r="F67" s="111"/>
    </row>
    <row r="68" spans="1:6" x14ac:dyDescent="0.35">
      <c r="A68" s="111"/>
      <c r="B68" s="111"/>
      <c r="C68" s="111"/>
      <c r="D68" s="111"/>
      <c r="E68" s="111"/>
      <c r="F68" s="111"/>
    </row>
    <row r="69" spans="1:6" x14ac:dyDescent="0.35">
      <c r="A69" s="111"/>
      <c r="B69" s="111"/>
      <c r="C69" s="111"/>
      <c r="D69" s="111"/>
      <c r="E69" s="111"/>
      <c r="F69" s="111"/>
    </row>
    <row r="70" spans="1:6" x14ac:dyDescent="0.35">
      <c r="A70" s="111"/>
      <c r="B70" s="111"/>
      <c r="C70" s="111"/>
      <c r="D70" s="111"/>
      <c r="E70" s="111"/>
      <c r="F70" s="111"/>
    </row>
    <row r="71" spans="1:6" x14ac:dyDescent="0.35">
      <c r="A71" s="111"/>
      <c r="B71" s="111"/>
      <c r="C71" s="111"/>
      <c r="D71" s="111"/>
      <c r="E71" s="111"/>
      <c r="F71" s="111"/>
    </row>
    <row r="72" spans="1:6" x14ac:dyDescent="0.35">
      <c r="A72" s="111"/>
      <c r="B72" s="111"/>
      <c r="C72" s="111"/>
      <c r="D72" s="111"/>
      <c r="E72" s="111"/>
      <c r="F72" s="111"/>
    </row>
    <row r="73" spans="1:6" x14ac:dyDescent="0.35">
      <c r="A73" s="111"/>
      <c r="B73" s="111"/>
      <c r="C73" s="111"/>
      <c r="D73" s="111"/>
      <c r="E73" s="111"/>
      <c r="F73" s="111"/>
    </row>
    <row r="74" spans="1:6" x14ac:dyDescent="0.35">
      <c r="A74" s="111"/>
      <c r="B74" s="111"/>
      <c r="C74" s="111"/>
      <c r="D74" s="111"/>
      <c r="E74" s="111"/>
      <c r="F74" s="111"/>
    </row>
    <row r="75" spans="1:6" x14ac:dyDescent="0.35">
      <c r="A75" s="111"/>
      <c r="B75" s="111"/>
      <c r="C75" s="111"/>
      <c r="D75" s="111"/>
      <c r="E75" s="111"/>
      <c r="F75" s="111"/>
    </row>
    <row r="76" spans="1:6" x14ac:dyDescent="0.35">
      <c r="A76" s="111"/>
      <c r="B76" s="111"/>
      <c r="C76" s="111"/>
      <c r="D76" s="111"/>
      <c r="E76" s="111"/>
      <c r="F76" s="111"/>
    </row>
    <row r="77" spans="1:6" x14ac:dyDescent="0.35">
      <c r="A77" s="111"/>
      <c r="B77" s="111"/>
      <c r="C77" s="111"/>
      <c r="D77" s="111"/>
      <c r="E77" s="111"/>
      <c r="F77" s="111"/>
    </row>
    <row r="78" spans="1:6" x14ac:dyDescent="0.35">
      <c r="A78" s="111"/>
      <c r="B78" s="111"/>
      <c r="C78" s="111"/>
      <c r="D78" s="111"/>
      <c r="E78" s="111"/>
      <c r="F78" s="111"/>
    </row>
    <row r="79" spans="1:6" x14ac:dyDescent="0.35">
      <c r="A79" s="111"/>
      <c r="B79" s="111"/>
      <c r="C79" s="111"/>
      <c r="D79" s="111"/>
      <c r="E79" s="111"/>
      <c r="F79" s="111"/>
    </row>
    <row r="80" spans="1:6" x14ac:dyDescent="0.35">
      <c r="A80" s="111"/>
      <c r="B80" s="111"/>
      <c r="C80" s="111"/>
      <c r="D80" s="111"/>
      <c r="E80" s="111"/>
      <c r="F80" s="111"/>
    </row>
    <row r="81" spans="1:6" x14ac:dyDescent="0.35">
      <c r="A81" s="111"/>
      <c r="B81" s="111"/>
      <c r="C81" s="111"/>
      <c r="D81" s="111"/>
      <c r="E81" s="111"/>
      <c r="F81" s="111"/>
    </row>
    <row r="82" spans="1:6" x14ac:dyDescent="0.35">
      <c r="A82" s="111"/>
      <c r="B82" s="111"/>
      <c r="C82" s="111"/>
      <c r="D82" s="111"/>
      <c r="E82" s="111"/>
      <c r="F82" s="111"/>
    </row>
    <row r="83" spans="1:6" x14ac:dyDescent="0.35">
      <c r="A83" s="111"/>
      <c r="B83" s="111"/>
      <c r="C83" s="111"/>
      <c r="D83" s="111"/>
      <c r="E83" s="111"/>
      <c r="F83" s="111"/>
    </row>
    <row r="84" spans="1:6" x14ac:dyDescent="0.35">
      <c r="A84" s="111"/>
      <c r="B84" s="111"/>
      <c r="C84" s="111"/>
      <c r="D84" s="111"/>
      <c r="E84" s="111"/>
      <c r="F84" s="111"/>
    </row>
    <row r="85" spans="1:6" x14ac:dyDescent="0.35">
      <c r="A85" s="111"/>
      <c r="B85" s="111"/>
      <c r="C85" s="111"/>
      <c r="D85" s="111"/>
      <c r="E85" s="111"/>
      <c r="F85" s="111"/>
    </row>
    <row r="86" spans="1:6" x14ac:dyDescent="0.35">
      <c r="A86" s="111"/>
      <c r="B86" s="111"/>
      <c r="C86" s="111"/>
      <c r="D86" s="111"/>
      <c r="E86" s="111"/>
      <c r="F86" s="111"/>
    </row>
    <row r="87" spans="1:6" x14ac:dyDescent="0.35">
      <c r="A87" s="111"/>
      <c r="B87" s="111"/>
      <c r="C87" s="111"/>
      <c r="D87" s="111"/>
      <c r="E87" s="111"/>
      <c r="F87" s="111"/>
    </row>
    <row r="88" spans="1:6" x14ac:dyDescent="0.35">
      <c r="A88" s="111"/>
      <c r="B88" s="111"/>
      <c r="C88" s="111"/>
      <c r="D88" s="111"/>
      <c r="E88" s="111"/>
      <c r="F88" s="111"/>
    </row>
    <row r="89" spans="1:6" x14ac:dyDescent="0.35">
      <c r="A89" s="111"/>
      <c r="B89" s="111"/>
      <c r="C89" s="111"/>
      <c r="D89" s="111"/>
      <c r="E89" s="111"/>
      <c r="F89" s="111"/>
    </row>
    <row r="90" spans="1:6" x14ac:dyDescent="0.35">
      <c r="A90" s="111"/>
      <c r="B90" s="111"/>
      <c r="C90" s="111"/>
      <c r="D90" s="111"/>
      <c r="E90" s="111"/>
      <c r="F90" s="111"/>
    </row>
    <row r="91" spans="1:6" x14ac:dyDescent="0.35">
      <c r="A91" s="111"/>
      <c r="B91" s="111"/>
      <c r="C91" s="111"/>
      <c r="D91" s="111"/>
      <c r="E91" s="111"/>
      <c r="F91" s="111"/>
    </row>
    <row r="92" spans="1:6" x14ac:dyDescent="0.35">
      <c r="A92" s="111"/>
      <c r="B92" s="111"/>
      <c r="C92" s="111"/>
      <c r="D92" s="111"/>
      <c r="E92" s="111"/>
      <c r="F92" s="111"/>
    </row>
    <row r="93" spans="1:6" x14ac:dyDescent="0.35">
      <c r="A93" s="111"/>
      <c r="B93" s="111"/>
      <c r="C93" s="111"/>
      <c r="D93" s="111"/>
      <c r="E93" s="111"/>
      <c r="F93" s="111"/>
    </row>
    <row r="94" spans="1:6" x14ac:dyDescent="0.35">
      <c r="A94" s="111"/>
      <c r="B94" s="111"/>
      <c r="C94" s="111"/>
      <c r="D94" s="111"/>
      <c r="E94" s="111"/>
      <c r="F94" s="111"/>
    </row>
    <row r="95" spans="1:6" x14ac:dyDescent="0.35">
      <c r="A95" s="111"/>
      <c r="B95" s="111"/>
      <c r="C95" s="111"/>
      <c r="D95" s="111"/>
      <c r="E95" s="111"/>
      <c r="F95" s="111"/>
    </row>
    <row r="96" spans="1:6" x14ac:dyDescent="0.35">
      <c r="A96" s="111"/>
      <c r="B96" s="111"/>
      <c r="C96" s="111"/>
      <c r="D96" s="111"/>
      <c r="E96" s="111"/>
      <c r="F96" s="111"/>
    </row>
    <row r="97" spans="1:6" x14ac:dyDescent="0.35">
      <c r="A97" s="111"/>
      <c r="B97" s="111"/>
      <c r="C97" s="111"/>
      <c r="D97" s="111"/>
      <c r="E97" s="111"/>
      <c r="F97" s="111"/>
    </row>
    <row r="98" spans="1:6" x14ac:dyDescent="0.35">
      <c r="A98" s="111"/>
      <c r="B98" s="111"/>
      <c r="C98" s="111"/>
      <c r="D98" s="111"/>
      <c r="E98" s="111"/>
      <c r="F98" s="111"/>
    </row>
    <row r="99" spans="1:6" x14ac:dyDescent="0.35">
      <c r="A99" s="111"/>
      <c r="B99" s="111"/>
      <c r="C99" s="111"/>
      <c r="D99" s="111"/>
      <c r="E99" s="111"/>
      <c r="F99" s="111"/>
    </row>
    <row r="100" spans="1:6" x14ac:dyDescent="0.35">
      <c r="A100" s="111"/>
      <c r="B100" s="111"/>
      <c r="C100" s="111"/>
      <c r="D100" s="111"/>
      <c r="E100" s="111"/>
      <c r="F100" s="111"/>
    </row>
    <row r="101" spans="1:6" x14ac:dyDescent="0.35">
      <c r="A101" s="111"/>
      <c r="B101" s="111"/>
      <c r="C101" s="111"/>
      <c r="D101" s="111"/>
      <c r="E101" s="111"/>
      <c r="F101" s="111"/>
    </row>
    <row r="102" spans="1:6" x14ac:dyDescent="0.35">
      <c r="A102" s="111"/>
      <c r="B102" s="111"/>
      <c r="C102" s="111"/>
      <c r="D102" s="111"/>
      <c r="E102" s="111"/>
      <c r="F102" s="111"/>
    </row>
    <row r="103" spans="1:6" x14ac:dyDescent="0.35">
      <c r="A103" s="111"/>
      <c r="B103" s="111"/>
      <c r="C103" s="111"/>
      <c r="D103" s="111"/>
      <c r="E103" s="111"/>
      <c r="F103" s="111"/>
    </row>
    <row r="104" spans="1:6" x14ac:dyDescent="0.35">
      <c r="A104" s="111"/>
      <c r="B104" s="111"/>
      <c r="C104" s="111"/>
      <c r="D104" s="111"/>
      <c r="E104" s="111"/>
      <c r="F104" s="111"/>
    </row>
    <row r="105" spans="1:6" x14ac:dyDescent="0.35">
      <c r="A105" s="111"/>
      <c r="B105" s="111"/>
      <c r="C105" s="111"/>
      <c r="D105" s="111"/>
      <c r="E105" s="111"/>
      <c r="F105" s="111"/>
    </row>
    <row r="106" spans="1:6" x14ac:dyDescent="0.35">
      <c r="A106" s="111"/>
      <c r="B106" s="111"/>
      <c r="C106" s="111"/>
      <c r="D106" s="111"/>
      <c r="E106" s="111"/>
      <c r="F106" s="111"/>
    </row>
    <row r="107" spans="1:6" x14ac:dyDescent="0.35">
      <c r="A107" s="111"/>
      <c r="B107" s="111"/>
      <c r="C107" s="111"/>
      <c r="D107" s="111"/>
      <c r="E107" s="111"/>
      <c r="F107" s="111"/>
    </row>
    <row r="108" spans="1:6" x14ac:dyDescent="0.35">
      <c r="A108" s="111"/>
      <c r="B108" s="111"/>
      <c r="C108" s="111"/>
      <c r="D108" s="111"/>
      <c r="E108" s="111"/>
      <c r="F108" s="111"/>
    </row>
    <row r="109" spans="1:6" x14ac:dyDescent="0.35">
      <c r="A109" s="111"/>
      <c r="B109" s="111"/>
      <c r="C109" s="111"/>
      <c r="D109" s="111"/>
      <c r="E109" s="111"/>
      <c r="F109" s="111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I6" sqref="I6"/>
    </sheetView>
  </sheetViews>
  <sheetFormatPr baseColWidth="10" defaultColWidth="11" defaultRowHeight="14.5" x14ac:dyDescent="0.35"/>
  <cols>
    <col min="1" max="1" width="12.453125" customWidth="1"/>
    <col min="2" max="2" width="31.81640625" bestFit="1" customWidth="1"/>
    <col min="3" max="3" width="14.1796875" customWidth="1"/>
    <col min="4" max="4" width="27" customWidth="1"/>
    <col min="5" max="5" width="14.453125" customWidth="1"/>
    <col min="6" max="6" width="15" bestFit="1" customWidth="1"/>
    <col min="7" max="7" width="15.26953125" customWidth="1"/>
  </cols>
  <sheetData>
    <row r="1" spans="1:13" x14ac:dyDescent="0.35">
      <c r="A1" s="1" t="s">
        <v>0</v>
      </c>
      <c r="B1" s="1" t="s">
        <v>1</v>
      </c>
      <c r="C1" s="1"/>
      <c r="D1" s="1"/>
      <c r="E1" s="1"/>
      <c r="G1" s="1"/>
    </row>
    <row r="2" spans="1:13" x14ac:dyDescent="0.35">
      <c r="A2" s="1" t="s">
        <v>2</v>
      </c>
      <c r="B2" s="1" t="s">
        <v>153</v>
      </c>
      <c r="C2" s="1"/>
      <c r="D2" s="1"/>
      <c r="E2" s="1"/>
      <c r="G2" s="1"/>
    </row>
    <row r="3" spans="1:13" x14ac:dyDescent="0.35">
      <c r="A3" s="1" t="s">
        <v>3</v>
      </c>
      <c r="B3" s="5"/>
      <c r="C3" s="1"/>
      <c r="D3" s="1"/>
      <c r="E3" s="1"/>
      <c r="G3" s="5"/>
    </row>
    <row r="4" spans="1:13" ht="26.5" thickBot="1" x14ac:dyDescent="0.65">
      <c r="A4" s="201" t="s">
        <v>186</v>
      </c>
      <c r="B4" s="202"/>
      <c r="C4" s="202"/>
      <c r="D4" s="202"/>
      <c r="E4" s="202"/>
      <c r="F4" s="202"/>
      <c r="G4" s="202"/>
      <c r="H4" s="63"/>
      <c r="I4" s="63"/>
      <c r="J4" s="63"/>
      <c r="K4" s="63"/>
      <c r="L4" s="63"/>
      <c r="M4" s="63"/>
    </row>
    <row r="5" spans="1:13" ht="71" thickTop="1" x14ac:dyDescent="0.3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3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3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3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3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3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3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3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3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3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3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3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3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3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3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3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3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3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3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3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3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3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3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3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3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3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3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3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3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3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3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3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3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3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3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3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3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35">
      <c r="A42" s="42"/>
      <c r="B42" s="49"/>
      <c r="C42" s="43"/>
      <c r="D42" s="43"/>
      <c r="E42" s="67"/>
      <c r="F42" s="67"/>
      <c r="G42" s="64"/>
    </row>
    <row r="43" spans="1:11" x14ac:dyDescent="0.35">
      <c r="A43" s="42"/>
      <c r="B43" s="49"/>
      <c r="C43" s="49"/>
      <c r="D43" s="49"/>
      <c r="E43" s="49"/>
      <c r="F43" s="50"/>
      <c r="G43" s="64"/>
    </row>
    <row r="44" spans="1:11" ht="16" thickBot="1" x14ac:dyDescent="0.4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" thickTop="1" x14ac:dyDescent="0.35"/>
    <row r="46" spans="1:11" x14ac:dyDescent="0.35">
      <c r="C46" s="2"/>
      <c r="F46" s="61"/>
    </row>
    <row r="47" spans="1:11" x14ac:dyDescent="0.35">
      <c r="F47" s="61"/>
    </row>
    <row r="48" spans="1:11" x14ac:dyDescent="0.35">
      <c r="F48" s="61"/>
    </row>
    <row r="49" spans="6:6" x14ac:dyDescent="0.35">
      <c r="F49" s="61"/>
    </row>
    <row r="50" spans="6:6" x14ac:dyDescent="0.35">
      <c r="F50" s="61"/>
    </row>
    <row r="51" spans="6:6" x14ac:dyDescent="0.35">
      <c r="F51" s="61"/>
    </row>
    <row r="52" spans="6:6" x14ac:dyDescent="0.35">
      <c r="F52" s="61"/>
    </row>
    <row r="53" spans="6:6" x14ac:dyDescent="0.35">
      <c r="F53" s="61"/>
    </row>
    <row r="54" spans="6:6" x14ac:dyDescent="0.35">
      <c r="F54" s="61"/>
    </row>
    <row r="55" spans="6:6" x14ac:dyDescent="0.35">
      <c r="F55" s="61"/>
    </row>
    <row r="56" spans="6:6" x14ac:dyDescent="0.35">
      <c r="F56" s="61"/>
    </row>
    <row r="57" spans="6:6" x14ac:dyDescent="0.35">
      <c r="F57" s="61"/>
    </row>
    <row r="58" spans="6:6" x14ac:dyDescent="0.35">
      <c r="F58" s="61"/>
    </row>
    <row r="59" spans="6:6" x14ac:dyDescent="0.35">
      <c r="F59" s="61"/>
    </row>
  </sheetData>
  <autoFilter ref="A5:F39" xr:uid="{00000000-0009-0000-0000-000015000000}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D7" sqref="D7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3" width="16.81640625" customWidth="1"/>
    <col min="14" max="17" width="20.7265625" customWidth="1"/>
    <col min="18" max="18" width="17.54296875" style="3" bestFit="1" customWidth="1"/>
    <col min="19" max="19" width="16.54296875" customWidth="1"/>
  </cols>
  <sheetData>
    <row r="1" spans="1:23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3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3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6.5" thickBot="1" x14ac:dyDescent="0.65">
      <c r="A4" s="195" t="s">
        <v>247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</row>
    <row r="5" spans="1:23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3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3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3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3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3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3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3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3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3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3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3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3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3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3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3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3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3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3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3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3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3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3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3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3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3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3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3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3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3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3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3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3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" thickBot="1" x14ac:dyDescent="0.4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" thickTop="1" x14ac:dyDescent="0.35"/>
    <row r="40" spans="1:23" x14ac:dyDescent="0.35">
      <c r="E40" s="2"/>
      <c r="F40" s="2"/>
      <c r="G40" s="2"/>
      <c r="H40" s="2"/>
      <c r="I40" s="2"/>
    </row>
    <row r="41" spans="1:23" x14ac:dyDescent="0.35">
      <c r="M41" s="2"/>
    </row>
  </sheetData>
  <autoFilter ref="A5:R38" xr:uid="{00000000-0009-0000-0000-000016000000}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41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sqref="A1:XFD104857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.26953125" customWidth="1"/>
    <col min="6" max="6" width="15" bestFit="1" customWidth="1"/>
    <col min="7" max="8" width="15.26953125" customWidth="1"/>
    <col min="9" max="9" width="16.81640625" bestFit="1" customWidth="1"/>
    <col min="10" max="13" width="16.81640625" customWidth="1"/>
    <col min="14" max="17" width="20.7265625" customWidth="1"/>
    <col min="18" max="18" width="17.54296875" style="3" bestFit="1" customWidth="1"/>
    <col min="19" max="19" width="16.54296875" customWidth="1"/>
  </cols>
  <sheetData>
    <row r="1" spans="1:23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3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3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6.5" thickBot="1" x14ac:dyDescent="0.65">
      <c r="A4" s="195" t="s">
        <v>247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</row>
    <row r="5" spans="1:23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248</v>
      </c>
      <c r="O5" s="71" t="s">
        <v>242</v>
      </c>
      <c r="P5" s="71" t="s">
        <v>251</v>
      </c>
      <c r="Q5" s="71" t="s">
        <v>175</v>
      </c>
      <c r="R5" s="71" t="s">
        <v>69</v>
      </c>
      <c r="S5" s="72" t="s">
        <v>176</v>
      </c>
    </row>
    <row r="6" spans="1:23" x14ac:dyDescent="0.3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3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3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252</v>
      </c>
      <c r="U8" s="2"/>
      <c r="V8" s="2"/>
      <c r="W8" s="2"/>
    </row>
    <row r="9" spans="1:23" x14ac:dyDescent="0.3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252</v>
      </c>
      <c r="U9" s="2"/>
      <c r="V9" s="2"/>
      <c r="W9" s="2"/>
    </row>
    <row r="10" spans="1:23" x14ac:dyDescent="0.3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252</v>
      </c>
      <c r="U10" s="2"/>
      <c r="V10" s="2"/>
      <c r="W10" s="2"/>
    </row>
    <row r="11" spans="1:23" x14ac:dyDescent="0.3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3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3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3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3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3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3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3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3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253</v>
      </c>
      <c r="U19" s="2"/>
      <c r="V19" s="2"/>
      <c r="W19" s="2"/>
    </row>
    <row r="20" spans="1:23" x14ac:dyDescent="0.3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3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252</v>
      </c>
      <c r="U21" s="2">
        <v>7000</v>
      </c>
      <c r="V21" s="2" t="s">
        <v>22</v>
      </c>
      <c r="W21" s="2"/>
    </row>
    <row r="22" spans="1:23" x14ac:dyDescent="0.3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3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252</v>
      </c>
      <c r="U23" s="2"/>
      <c r="V23" s="2"/>
      <c r="W23" s="2"/>
    </row>
    <row r="24" spans="1:23" x14ac:dyDescent="0.3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3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252</v>
      </c>
      <c r="U25" s="2"/>
      <c r="V25" s="2"/>
      <c r="W25" s="2"/>
    </row>
    <row r="26" spans="1:23" x14ac:dyDescent="0.3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3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3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252</v>
      </c>
      <c r="U28" s="2">
        <v>137000</v>
      </c>
      <c r="V28" s="2" t="s">
        <v>20</v>
      </c>
      <c r="W28" s="2"/>
    </row>
    <row r="29" spans="1:23" s="14" customFormat="1" x14ac:dyDescent="0.3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3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3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3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252</v>
      </c>
      <c r="U32" s="2"/>
      <c r="V32" s="2"/>
      <c r="W32" s="2"/>
    </row>
    <row r="33" spans="1:23" x14ac:dyDescent="0.3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3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3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3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3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" thickBot="1" x14ac:dyDescent="0.4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" thickTop="1" x14ac:dyDescent="0.35"/>
    <row r="40" spans="1:23" x14ac:dyDescent="0.35">
      <c r="E40" s="2"/>
      <c r="F40" s="2"/>
      <c r="G40" s="2"/>
      <c r="H40" s="2"/>
      <c r="I40" s="2"/>
    </row>
    <row r="41" spans="1:23" x14ac:dyDescent="0.35">
      <c r="M41" s="2"/>
    </row>
  </sheetData>
  <autoFilter ref="A5:R38" xr:uid="{00000000-0009-0000-0000-000017000000}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0"/>
  <sheetViews>
    <sheetView workbookViewId="0">
      <pane xSplit="2" ySplit="4" topLeftCell="E5" activePane="bottomRight" state="frozen"/>
      <selection activeCell="C32" sqref="C32"/>
      <selection pane="topRight" activeCell="C32" sqref="C32"/>
      <selection pane="bottomLeft" activeCell="C32" sqref="C32"/>
      <selection pane="bottomRight" sqref="A1:XFD104857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26953125" bestFit="1" customWidth="1"/>
    <col min="4" max="4" width="12.81640625" bestFit="1" customWidth="1"/>
    <col min="5" max="5" width="15.26953125" customWidth="1"/>
    <col min="6" max="6" width="23.54296875" style="2" customWidth="1"/>
    <col min="7" max="7" width="21.81640625" bestFit="1" customWidth="1"/>
    <col min="8" max="8" width="20.7265625" customWidth="1"/>
    <col min="9" max="9" width="15" bestFit="1" customWidth="1"/>
    <col min="10" max="10" width="17.54296875" style="3" bestFit="1" customWidth="1"/>
    <col min="11" max="11" width="15.7265625" style="2" customWidth="1"/>
    <col min="12" max="14" width="12.453125" style="2" customWidth="1"/>
    <col min="15" max="15" width="15" style="2" bestFit="1" customWidth="1"/>
    <col min="16" max="16" width="16.81640625" style="2" bestFit="1" customWidth="1"/>
    <col min="17" max="17" width="15" bestFit="1" customWidth="1"/>
    <col min="18" max="18" width="15" customWidth="1"/>
    <col min="19" max="19" width="18.1796875" customWidth="1"/>
    <col min="20" max="20" width="12.54296875" bestFit="1" customWidth="1"/>
    <col min="21" max="22" width="18.1796875" customWidth="1"/>
    <col min="26" max="26" width="12.453125" bestFit="1" customWidth="1"/>
  </cols>
  <sheetData>
    <row r="1" spans="1:16" x14ac:dyDescent="0.3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3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35">
      <c r="A3" s="1" t="s">
        <v>3</v>
      </c>
      <c r="B3" s="5"/>
      <c r="C3" s="5"/>
      <c r="D3" s="5"/>
      <c r="E3" s="1"/>
      <c r="F3" s="5"/>
      <c r="G3" s="1"/>
      <c r="H3" s="1"/>
    </row>
    <row r="4" spans="1:16" ht="26" x14ac:dyDescent="0.6">
      <c r="B4" s="16"/>
      <c r="C4" s="16"/>
      <c r="D4" s="16"/>
      <c r="E4" s="189" t="s">
        <v>258</v>
      </c>
      <c r="F4" s="189"/>
      <c r="G4" s="189"/>
      <c r="H4" s="189"/>
      <c r="I4" s="189"/>
      <c r="J4" s="57"/>
      <c r="K4" s="57"/>
      <c r="L4" s="57"/>
      <c r="M4"/>
      <c r="N4"/>
      <c r="O4"/>
      <c r="P4"/>
    </row>
    <row r="7" spans="1:16" x14ac:dyDescent="0.35">
      <c r="B7" t="s">
        <v>259</v>
      </c>
      <c r="E7" s="5">
        <v>1480000</v>
      </c>
    </row>
    <row r="9" spans="1:16" x14ac:dyDescent="0.35">
      <c r="B9" t="s">
        <v>260</v>
      </c>
      <c r="E9" s="5">
        <v>18</v>
      </c>
    </row>
    <row r="11" spans="1:16" x14ac:dyDescent="0.35">
      <c r="B11" t="s">
        <v>261</v>
      </c>
      <c r="E11" s="5">
        <v>14</v>
      </c>
    </row>
    <row r="13" spans="1:16" x14ac:dyDescent="0.35">
      <c r="F13" s="10" t="s">
        <v>266</v>
      </c>
      <c r="G13" s="10" t="s">
        <v>267</v>
      </c>
      <c r="H13" s="10" t="s">
        <v>57</v>
      </c>
    </row>
    <row r="14" spans="1:16" x14ac:dyDescent="0.35">
      <c r="F14" s="5"/>
      <c r="G14" s="5"/>
      <c r="H14" s="5"/>
    </row>
    <row r="15" spans="1:16" x14ac:dyDescent="0.35">
      <c r="B15" t="s">
        <v>92</v>
      </c>
      <c r="E15" s="5"/>
      <c r="F15" s="5">
        <v>100000</v>
      </c>
      <c r="H15" s="5">
        <v>100000</v>
      </c>
    </row>
    <row r="16" spans="1:16" x14ac:dyDescent="0.35">
      <c r="B16" t="s">
        <v>87</v>
      </c>
      <c r="E16" s="5"/>
      <c r="F16" s="5">
        <v>100000</v>
      </c>
      <c r="H16" s="5">
        <v>100000</v>
      </c>
    </row>
    <row r="17" spans="2:8" x14ac:dyDescent="0.35">
      <c r="B17" t="s">
        <v>127</v>
      </c>
      <c r="E17" s="5"/>
      <c r="F17" s="5">
        <v>100000</v>
      </c>
      <c r="H17" s="5">
        <v>100000</v>
      </c>
    </row>
    <row r="18" spans="2:8" x14ac:dyDescent="0.35">
      <c r="B18" t="s">
        <v>262</v>
      </c>
      <c r="E18" s="5"/>
      <c r="F18" s="5">
        <v>100000</v>
      </c>
      <c r="G18" s="5">
        <v>11000</v>
      </c>
      <c r="H18" s="5">
        <v>111000</v>
      </c>
    </row>
    <row r="19" spans="2:8" x14ac:dyDescent="0.35">
      <c r="B19" t="s">
        <v>98</v>
      </c>
      <c r="E19" s="5"/>
      <c r="F19" s="5">
        <v>100000</v>
      </c>
      <c r="G19" s="5">
        <v>14000</v>
      </c>
      <c r="H19" s="5">
        <v>114000</v>
      </c>
    </row>
    <row r="20" spans="2:8" x14ac:dyDescent="0.35">
      <c r="B20" t="s">
        <v>89</v>
      </c>
      <c r="E20" s="5"/>
      <c r="F20" s="5">
        <v>100000</v>
      </c>
      <c r="G20" s="5">
        <v>11000</v>
      </c>
      <c r="H20" s="5">
        <v>111000</v>
      </c>
    </row>
    <row r="21" spans="2:8" x14ac:dyDescent="0.35">
      <c r="B21" t="s">
        <v>91</v>
      </c>
      <c r="E21" s="5"/>
      <c r="F21" s="5">
        <v>100000</v>
      </c>
      <c r="H21" s="5">
        <v>100000</v>
      </c>
    </row>
    <row r="22" spans="2:8" x14ac:dyDescent="0.35">
      <c r="B22" t="s">
        <v>97</v>
      </c>
      <c r="E22" s="5"/>
      <c r="F22" s="5">
        <v>100000</v>
      </c>
      <c r="H22" s="5">
        <v>100000</v>
      </c>
    </row>
    <row r="23" spans="2:8" x14ac:dyDescent="0.35">
      <c r="B23" t="s">
        <v>113</v>
      </c>
      <c r="E23" s="5"/>
      <c r="F23" s="5">
        <v>100000</v>
      </c>
      <c r="G23" s="5">
        <v>11000</v>
      </c>
      <c r="H23" s="5">
        <v>111000</v>
      </c>
    </row>
    <row r="24" spans="2:8" x14ac:dyDescent="0.35">
      <c r="B24" t="s">
        <v>263</v>
      </c>
      <c r="E24" s="5"/>
      <c r="F24" s="5">
        <v>200000</v>
      </c>
      <c r="H24" s="5">
        <v>200000</v>
      </c>
    </row>
    <row r="25" spans="2:8" x14ac:dyDescent="0.35">
      <c r="B25" t="s">
        <v>264</v>
      </c>
      <c r="E25" s="5"/>
      <c r="F25" s="5">
        <v>200000</v>
      </c>
      <c r="G25" s="5">
        <v>11000</v>
      </c>
      <c r="H25" s="5">
        <v>211000</v>
      </c>
    </row>
    <row r="26" spans="2:8" x14ac:dyDescent="0.35">
      <c r="B26" t="s">
        <v>265</v>
      </c>
      <c r="E26" s="5"/>
      <c r="F26" s="5">
        <v>100000</v>
      </c>
      <c r="H26" s="5">
        <v>100000</v>
      </c>
    </row>
    <row r="27" spans="2:8" x14ac:dyDescent="0.35">
      <c r="B27" t="s">
        <v>268</v>
      </c>
      <c r="G27" s="5">
        <v>11000</v>
      </c>
      <c r="H27" s="5">
        <v>11000</v>
      </c>
    </row>
    <row r="28" spans="2:8" x14ac:dyDescent="0.35">
      <c r="B28" t="s">
        <v>104</v>
      </c>
      <c r="G28" s="5">
        <v>11000</v>
      </c>
      <c r="H28" s="5">
        <v>11000</v>
      </c>
    </row>
    <row r="30" spans="2:8" x14ac:dyDescent="0.35">
      <c r="B30" t="s">
        <v>57</v>
      </c>
      <c r="F30" s="5">
        <v>1400000</v>
      </c>
      <c r="G30" s="5">
        <v>80000</v>
      </c>
      <c r="H30" s="5"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G40"/>
  <sheetViews>
    <sheetView topLeftCell="A4" workbookViewId="0">
      <selection activeCell="G14" sqref="G14"/>
    </sheetView>
  </sheetViews>
  <sheetFormatPr baseColWidth="10" defaultRowHeight="14.5" x14ac:dyDescent="0.35"/>
  <cols>
    <col min="2" max="2" width="16.1796875" bestFit="1" customWidth="1"/>
    <col min="3" max="3" width="16.1796875" customWidth="1"/>
    <col min="4" max="4" width="17.1796875" bestFit="1" customWidth="1"/>
  </cols>
  <sheetData>
    <row r="2" spans="1:4" x14ac:dyDescent="0.35">
      <c r="B2" t="s">
        <v>158</v>
      </c>
    </row>
    <row r="4" spans="1:4" x14ac:dyDescent="0.35">
      <c r="A4" t="s">
        <v>161</v>
      </c>
      <c r="B4" t="s">
        <v>159</v>
      </c>
      <c r="C4" t="s">
        <v>314</v>
      </c>
      <c r="D4" t="s">
        <v>160</v>
      </c>
    </row>
    <row r="6" spans="1:4" x14ac:dyDescent="0.35">
      <c r="B6" s="6">
        <v>763899.37129714503</v>
      </c>
      <c r="C6" s="6">
        <v>193000</v>
      </c>
      <c r="D6" s="6"/>
    </row>
    <row r="7" spans="1:4" x14ac:dyDescent="0.35">
      <c r="A7" s="62">
        <v>43770</v>
      </c>
      <c r="B7" s="6"/>
      <c r="C7" s="6"/>
      <c r="D7" s="6">
        <v>50000</v>
      </c>
    </row>
    <row r="8" spans="1:4" x14ac:dyDescent="0.35">
      <c r="A8" s="58">
        <v>44031</v>
      </c>
      <c r="B8" s="6"/>
      <c r="C8" s="6"/>
      <c r="D8" s="6">
        <v>75000</v>
      </c>
    </row>
    <row r="9" spans="1:4" x14ac:dyDescent="0.35">
      <c r="A9" s="58">
        <v>44216</v>
      </c>
      <c r="B9" s="6"/>
      <c r="C9" s="6"/>
      <c r="D9" s="6">
        <v>35000</v>
      </c>
    </row>
    <row r="10" spans="1:4" x14ac:dyDescent="0.35">
      <c r="A10" s="58">
        <v>44275</v>
      </c>
      <c r="B10" s="6"/>
      <c r="C10" s="6"/>
      <c r="D10" s="6">
        <v>35000</v>
      </c>
    </row>
    <row r="11" spans="1:4" x14ac:dyDescent="0.35">
      <c r="A11" s="58">
        <v>44304</v>
      </c>
      <c r="B11" s="6"/>
      <c r="C11" s="6"/>
      <c r="D11" s="6">
        <v>35000</v>
      </c>
    </row>
    <row r="12" spans="1:4" x14ac:dyDescent="0.35">
      <c r="A12" s="58">
        <v>44332</v>
      </c>
      <c r="B12" s="6"/>
      <c r="C12" s="6"/>
      <c r="D12" s="6">
        <v>35000</v>
      </c>
    </row>
    <row r="13" spans="1:4" x14ac:dyDescent="0.35">
      <c r="A13" s="58">
        <v>44367</v>
      </c>
      <c r="B13" s="6"/>
      <c r="C13" s="6"/>
      <c r="D13" s="6">
        <v>35000</v>
      </c>
    </row>
    <row r="14" spans="1:4" x14ac:dyDescent="0.35">
      <c r="A14" s="58">
        <v>44397</v>
      </c>
      <c r="B14" s="6"/>
      <c r="C14" s="6"/>
      <c r="D14" s="6">
        <v>35000</v>
      </c>
    </row>
    <row r="15" spans="1:4" x14ac:dyDescent="0.35">
      <c r="A15" s="58"/>
      <c r="B15" s="6"/>
      <c r="C15" s="6"/>
      <c r="D15" s="6"/>
    </row>
    <row r="16" spans="1:4" x14ac:dyDescent="0.35">
      <c r="A16" s="58"/>
      <c r="B16" s="6"/>
      <c r="C16" s="6"/>
      <c r="D16" s="6"/>
    </row>
    <row r="17" spans="1:7" x14ac:dyDescent="0.35">
      <c r="A17" s="58"/>
      <c r="B17" s="6"/>
      <c r="C17" s="6"/>
      <c r="D17" s="6"/>
    </row>
    <row r="18" spans="1:7" x14ac:dyDescent="0.35">
      <c r="A18" s="58"/>
      <c r="B18" s="6"/>
      <c r="C18" s="6"/>
      <c r="D18" s="6"/>
    </row>
    <row r="19" spans="1:7" x14ac:dyDescent="0.35">
      <c r="B19" s="6"/>
      <c r="C19" s="6"/>
      <c r="D19" s="6"/>
    </row>
    <row r="20" spans="1:7" ht="18.5" x14ac:dyDescent="0.45">
      <c r="A20" t="s">
        <v>57</v>
      </c>
      <c r="B20" s="6"/>
      <c r="C20" s="6"/>
      <c r="D20" s="97">
        <v>335000</v>
      </c>
      <c r="E20" s="98">
        <v>428899.37129714503</v>
      </c>
      <c r="G20" t="s">
        <v>249</v>
      </c>
    </row>
    <row r="21" spans="1:7" x14ac:dyDescent="0.35">
      <c r="B21" s="6"/>
      <c r="C21" s="6"/>
      <c r="D21" s="6"/>
    </row>
    <row r="22" spans="1:7" x14ac:dyDescent="0.35">
      <c r="B22" s="6"/>
      <c r="C22" s="6"/>
      <c r="D22" s="6"/>
    </row>
    <row r="23" spans="1:7" x14ac:dyDescent="0.35">
      <c r="B23" s="6"/>
      <c r="C23" s="6"/>
      <c r="D23" s="6"/>
    </row>
    <row r="24" spans="1:7" x14ac:dyDescent="0.35">
      <c r="B24" s="6"/>
      <c r="C24" s="6"/>
      <c r="D24" s="6"/>
    </row>
    <row r="25" spans="1:7" x14ac:dyDescent="0.35">
      <c r="B25" s="6"/>
      <c r="C25" s="6"/>
      <c r="D25" s="6"/>
    </row>
    <row r="26" spans="1:7" x14ac:dyDescent="0.35">
      <c r="B26" s="6"/>
      <c r="C26" s="6"/>
      <c r="D26" s="6"/>
    </row>
    <row r="27" spans="1:7" x14ac:dyDescent="0.35">
      <c r="B27" s="6"/>
      <c r="C27" s="6"/>
      <c r="D27" s="6"/>
    </row>
    <row r="28" spans="1:7" x14ac:dyDescent="0.35">
      <c r="B28" s="6"/>
      <c r="C28" s="6"/>
      <c r="D28" s="6"/>
    </row>
    <row r="29" spans="1:7" x14ac:dyDescent="0.35">
      <c r="B29" s="6"/>
      <c r="C29" s="6"/>
      <c r="D29" s="6"/>
    </row>
    <row r="30" spans="1:7" x14ac:dyDescent="0.35">
      <c r="B30" s="6"/>
      <c r="C30" s="6"/>
      <c r="D30" s="6"/>
    </row>
    <row r="31" spans="1:7" x14ac:dyDescent="0.35">
      <c r="B31" s="6"/>
      <c r="C31" s="6"/>
      <c r="D31" s="6"/>
    </row>
    <row r="32" spans="1:7" x14ac:dyDescent="0.35">
      <c r="B32" s="6"/>
      <c r="C32" s="6"/>
      <c r="D32" s="6"/>
    </row>
    <row r="33" spans="4:4" x14ac:dyDescent="0.35">
      <c r="D33" s="6"/>
    </row>
    <row r="34" spans="4:4" x14ac:dyDescent="0.35">
      <c r="D34" s="6"/>
    </row>
    <row r="35" spans="4:4" x14ac:dyDescent="0.35">
      <c r="D35" s="6"/>
    </row>
    <row r="36" spans="4:4" x14ac:dyDescent="0.35">
      <c r="D36" s="6"/>
    </row>
    <row r="37" spans="4:4" x14ac:dyDescent="0.35">
      <c r="D37" s="6"/>
    </row>
    <row r="38" spans="4:4" x14ac:dyDescent="0.35">
      <c r="D38" s="6"/>
    </row>
    <row r="39" spans="4:4" x14ac:dyDescent="0.35">
      <c r="D39" s="6"/>
    </row>
    <row r="40" spans="4:4" x14ac:dyDescent="0.35">
      <c r="D40" s="6"/>
    </row>
  </sheetData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G47"/>
  <sheetViews>
    <sheetView topLeftCell="A16" workbookViewId="0">
      <selection activeCell="F24" sqref="F24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7" x14ac:dyDescent="0.35">
      <c r="B2" t="s">
        <v>235</v>
      </c>
    </row>
    <row r="3" spans="1:7" x14ac:dyDescent="0.35">
      <c r="G3">
        <v>1328500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B6" s="6">
        <f>1155000+88000+1275500</f>
        <v>2518500</v>
      </c>
      <c r="C6" s="6"/>
    </row>
    <row r="7" spans="1:7" x14ac:dyDescent="0.35">
      <c r="A7" s="58">
        <v>44250</v>
      </c>
      <c r="B7" s="6"/>
      <c r="C7" s="6">
        <v>30000</v>
      </c>
    </row>
    <row r="8" spans="1:7" x14ac:dyDescent="0.35">
      <c r="A8" s="58">
        <v>44273</v>
      </c>
      <c r="B8" s="6"/>
      <c r="C8" s="6">
        <v>30000</v>
      </c>
    </row>
    <row r="9" spans="1:7" x14ac:dyDescent="0.35">
      <c r="A9" s="58">
        <v>44275</v>
      </c>
      <c r="B9" s="6"/>
      <c r="C9" s="6">
        <v>30000</v>
      </c>
    </row>
    <row r="10" spans="1:7" x14ac:dyDescent="0.35">
      <c r="A10" s="58">
        <v>44302</v>
      </c>
      <c r="B10" s="6"/>
      <c r="C10" s="6">
        <v>30000</v>
      </c>
    </row>
    <row r="11" spans="1:7" x14ac:dyDescent="0.35">
      <c r="A11" s="58">
        <v>44333</v>
      </c>
      <c r="B11" s="6"/>
      <c r="C11" s="6">
        <v>30000</v>
      </c>
    </row>
    <row r="12" spans="1:7" x14ac:dyDescent="0.35">
      <c r="A12" s="58">
        <v>44363</v>
      </c>
      <c r="B12" s="6"/>
      <c r="C12" s="6">
        <v>30000</v>
      </c>
    </row>
    <row r="13" spans="1:7" x14ac:dyDescent="0.35">
      <c r="A13" s="58">
        <v>44394</v>
      </c>
      <c r="B13" s="6"/>
      <c r="C13" s="6">
        <v>30000</v>
      </c>
    </row>
    <row r="14" spans="1:7" x14ac:dyDescent="0.35">
      <c r="A14" s="58">
        <v>44423</v>
      </c>
      <c r="B14" s="6"/>
      <c r="C14" s="6">
        <v>30000</v>
      </c>
    </row>
    <row r="15" spans="1:7" x14ac:dyDescent="0.35">
      <c r="A15" s="58">
        <v>44454</v>
      </c>
      <c r="B15" s="6"/>
      <c r="C15" s="6">
        <v>20000</v>
      </c>
    </row>
    <row r="16" spans="1:7" x14ac:dyDescent="0.35">
      <c r="A16" s="58">
        <v>44484</v>
      </c>
      <c r="B16" s="6"/>
      <c r="C16" s="6">
        <v>30000</v>
      </c>
    </row>
    <row r="17" spans="1:4" x14ac:dyDescent="0.35">
      <c r="A17" s="58">
        <v>44519</v>
      </c>
      <c r="B17" s="6"/>
      <c r="C17" s="6">
        <v>30000</v>
      </c>
    </row>
    <row r="18" spans="1:4" x14ac:dyDescent="0.35">
      <c r="A18" s="58">
        <v>44549</v>
      </c>
      <c r="B18" s="6"/>
      <c r="C18" s="6">
        <v>700000</v>
      </c>
    </row>
    <row r="19" spans="1:4" x14ac:dyDescent="0.35">
      <c r="A19" s="58">
        <v>44577</v>
      </c>
      <c r="B19" s="6"/>
      <c r="C19" s="6">
        <v>30000</v>
      </c>
    </row>
    <row r="20" spans="1:4" x14ac:dyDescent="0.35">
      <c r="A20" s="58">
        <v>44609</v>
      </c>
      <c r="B20" s="6"/>
      <c r="C20" s="6">
        <v>30000</v>
      </c>
    </row>
    <row r="21" spans="1:4" x14ac:dyDescent="0.35">
      <c r="A21" s="58">
        <v>44637</v>
      </c>
      <c r="B21" s="6"/>
      <c r="C21" s="6">
        <v>0</v>
      </c>
    </row>
    <row r="22" spans="1:4" x14ac:dyDescent="0.35">
      <c r="A22" s="58">
        <v>44668</v>
      </c>
      <c r="B22" s="6"/>
      <c r="C22" s="6">
        <v>30000</v>
      </c>
    </row>
    <row r="23" spans="1:4" x14ac:dyDescent="0.35">
      <c r="A23" s="58">
        <v>44699</v>
      </c>
      <c r="B23" s="6"/>
      <c r="C23" s="6">
        <v>20000</v>
      </c>
    </row>
    <row r="24" spans="1:4" x14ac:dyDescent="0.35">
      <c r="A24" s="58">
        <v>44731</v>
      </c>
      <c r="B24" s="6"/>
      <c r="C24" s="6">
        <v>20000</v>
      </c>
    </row>
    <row r="25" spans="1:4" x14ac:dyDescent="0.35">
      <c r="A25" s="58">
        <v>44759</v>
      </c>
      <c r="B25" s="6"/>
      <c r="C25" s="6">
        <v>20000</v>
      </c>
    </row>
    <row r="26" spans="1:4" x14ac:dyDescent="0.35">
      <c r="A26" s="58">
        <v>44792</v>
      </c>
      <c r="B26" s="6"/>
      <c r="C26" s="6">
        <v>20000</v>
      </c>
    </row>
    <row r="27" spans="1:4" x14ac:dyDescent="0.35">
      <c r="A27" s="58">
        <v>44824</v>
      </c>
      <c r="B27" s="6"/>
      <c r="C27" s="6">
        <v>20000</v>
      </c>
    </row>
    <row r="28" spans="1:4" x14ac:dyDescent="0.35">
      <c r="A28" s="58">
        <v>44915</v>
      </c>
      <c r="B28" s="6"/>
      <c r="C28" s="6">
        <v>520000</v>
      </c>
    </row>
    <row r="29" spans="1:4" x14ac:dyDescent="0.35">
      <c r="A29" s="58">
        <v>45004</v>
      </c>
      <c r="B29" s="6" t="s">
        <v>68</v>
      </c>
      <c r="C29" s="6">
        <v>536842</v>
      </c>
    </row>
    <row r="30" spans="1:4" x14ac:dyDescent="0.35">
      <c r="A30" s="58"/>
      <c r="B30" s="6"/>
      <c r="C30" s="6">
        <v>251658</v>
      </c>
    </row>
    <row r="31" spans="1:4" ht="21" x14ac:dyDescent="0.5">
      <c r="B31" s="6"/>
      <c r="C31" s="97">
        <f>SUM(C7:C30)</f>
        <v>2518500</v>
      </c>
      <c r="D31" s="100">
        <f>B6-C31</f>
        <v>0</v>
      </c>
    </row>
    <row r="32" spans="1:4" x14ac:dyDescent="0.35">
      <c r="B32" s="6"/>
      <c r="C32" s="6"/>
    </row>
    <row r="33" spans="2:3" x14ac:dyDescent="0.35">
      <c r="B33" s="6"/>
      <c r="C33" s="6"/>
    </row>
    <row r="34" spans="2:3" x14ac:dyDescent="0.35">
      <c r="B34" s="6"/>
      <c r="C34" s="6"/>
    </row>
    <row r="35" spans="2:3" x14ac:dyDescent="0.35">
      <c r="B35" s="6"/>
      <c r="C35" s="6"/>
    </row>
    <row r="36" spans="2:3" x14ac:dyDescent="0.35">
      <c r="B36" s="6"/>
      <c r="C36" s="6"/>
    </row>
    <row r="37" spans="2:3" x14ac:dyDescent="0.35">
      <c r="B37" s="6"/>
      <c r="C37" s="6"/>
    </row>
    <row r="38" spans="2:3" x14ac:dyDescent="0.35">
      <c r="B38" s="6"/>
      <c r="C38" s="6"/>
    </row>
    <row r="39" spans="2:3" x14ac:dyDescent="0.35">
      <c r="B39" s="6"/>
      <c r="C39" s="6"/>
    </row>
    <row r="40" spans="2:3" x14ac:dyDescent="0.35">
      <c r="C40" s="6"/>
    </row>
    <row r="41" spans="2:3" x14ac:dyDescent="0.35">
      <c r="C41" s="6"/>
    </row>
    <row r="42" spans="2:3" x14ac:dyDescent="0.35">
      <c r="C42" s="6"/>
    </row>
    <row r="43" spans="2:3" x14ac:dyDescent="0.35">
      <c r="C43" s="6"/>
    </row>
    <row r="44" spans="2:3" x14ac:dyDescent="0.35">
      <c r="C44" s="6"/>
    </row>
    <row r="45" spans="2:3" x14ac:dyDescent="0.35">
      <c r="C45" s="6"/>
    </row>
    <row r="46" spans="2:3" x14ac:dyDescent="0.35">
      <c r="C46" s="6"/>
    </row>
    <row r="47" spans="2:3" x14ac:dyDescent="0.35">
      <c r="C47" s="6"/>
    </row>
  </sheetData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D34"/>
  <sheetViews>
    <sheetView workbookViewId="0">
      <selection activeCell="E11" sqref="E11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4" x14ac:dyDescent="0.35">
      <c r="B2" t="s">
        <v>236</v>
      </c>
    </row>
    <row r="4" spans="1:4" x14ac:dyDescent="0.35">
      <c r="A4" t="s">
        <v>161</v>
      </c>
      <c r="B4" t="s">
        <v>159</v>
      </c>
      <c r="C4" t="s">
        <v>160</v>
      </c>
    </row>
    <row r="6" spans="1:4" x14ac:dyDescent="0.35">
      <c r="B6" s="6">
        <v>484041.967178263</v>
      </c>
      <c r="C6" s="6"/>
    </row>
    <row r="7" spans="1:4" x14ac:dyDescent="0.35">
      <c r="A7" s="58">
        <v>44278</v>
      </c>
      <c r="B7" s="6"/>
      <c r="C7" s="6">
        <v>484000</v>
      </c>
      <c r="D7" t="s">
        <v>240</v>
      </c>
    </row>
    <row r="8" spans="1:4" x14ac:dyDescent="0.35">
      <c r="A8" s="58"/>
      <c r="B8" s="6"/>
      <c r="C8" s="6"/>
    </row>
    <row r="9" spans="1:4" x14ac:dyDescent="0.35">
      <c r="A9" s="58"/>
      <c r="B9" s="6"/>
      <c r="C9" s="6"/>
    </row>
    <row r="10" spans="1:4" x14ac:dyDescent="0.35">
      <c r="B10" s="6"/>
      <c r="C10" s="6"/>
    </row>
    <row r="11" spans="1:4" x14ac:dyDescent="0.35">
      <c r="B11" s="6"/>
      <c r="C11" s="6"/>
    </row>
    <row r="12" spans="1:4" x14ac:dyDescent="0.35">
      <c r="B12" s="6"/>
      <c r="C12" s="6"/>
    </row>
    <row r="13" spans="1:4" x14ac:dyDescent="0.35">
      <c r="B13" s="6"/>
      <c r="C13" s="6"/>
    </row>
    <row r="14" spans="1:4" x14ac:dyDescent="0.35">
      <c r="B14" s="6"/>
      <c r="C14" s="6"/>
    </row>
    <row r="15" spans="1:4" x14ac:dyDescent="0.35">
      <c r="B15" s="6"/>
      <c r="C15" s="6"/>
    </row>
    <row r="16" spans="1:4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G35"/>
  <sheetViews>
    <sheetView workbookViewId="0">
      <selection activeCell="G13" sqref="G13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233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A6" t="s">
        <v>257</v>
      </c>
      <c r="B6" s="6">
        <v>319855</v>
      </c>
      <c r="C6" s="6"/>
    </row>
    <row r="7" spans="1:7" x14ac:dyDescent="0.35">
      <c r="A7" s="62"/>
      <c r="B7" s="6"/>
      <c r="C7" s="6"/>
      <c r="G7" s="14">
        <v>131750</v>
      </c>
    </row>
    <row r="8" spans="1:7" x14ac:dyDescent="0.35">
      <c r="A8" s="58"/>
      <c r="B8" s="6"/>
      <c r="C8" s="6">
        <v>76050</v>
      </c>
      <c r="G8" s="11">
        <v>54400</v>
      </c>
    </row>
    <row r="9" spans="1:7" x14ac:dyDescent="0.35">
      <c r="A9" s="58"/>
      <c r="B9" s="6"/>
      <c r="C9" s="6"/>
    </row>
    <row r="10" spans="1:7" x14ac:dyDescent="0.35">
      <c r="B10" s="6"/>
      <c r="C10" s="6"/>
    </row>
    <row r="11" spans="1:7" x14ac:dyDescent="0.35">
      <c r="A11" t="s">
        <v>57</v>
      </c>
      <c r="B11" s="6"/>
      <c r="C11" s="6">
        <f>SUM(C8:C10)</f>
        <v>76050</v>
      </c>
    </row>
    <row r="12" spans="1:7" ht="21" x14ac:dyDescent="0.5">
      <c r="B12" s="6"/>
      <c r="C12" s="6"/>
      <c r="D12" s="99">
        <f>B6-C11</f>
        <v>243805</v>
      </c>
      <c r="E12" t="s">
        <v>249</v>
      </c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G35"/>
  <sheetViews>
    <sheetView workbookViewId="0">
      <selection activeCell="F5" sqref="F5:G8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232</v>
      </c>
    </row>
    <row r="4" spans="1:7" x14ac:dyDescent="0.35">
      <c r="A4" t="s">
        <v>161</v>
      </c>
      <c r="B4" t="s">
        <v>159</v>
      </c>
      <c r="C4" t="s">
        <v>160</v>
      </c>
    </row>
    <row r="5" spans="1:7" x14ac:dyDescent="0.35">
      <c r="F5" s="11"/>
      <c r="G5" s="11"/>
    </row>
    <row r="6" spans="1:7" x14ac:dyDescent="0.35">
      <c r="B6" s="6">
        <v>996118</v>
      </c>
      <c r="C6" s="6"/>
    </row>
    <row r="7" spans="1:7" x14ac:dyDescent="0.35">
      <c r="A7" s="62" t="s">
        <v>256</v>
      </c>
      <c r="B7" s="6"/>
      <c r="C7" s="6">
        <v>500000</v>
      </c>
    </row>
    <row r="8" spans="1:7" x14ac:dyDescent="0.35">
      <c r="A8" s="58"/>
      <c r="B8" s="6"/>
      <c r="C8" s="6"/>
      <c r="F8" s="11"/>
    </row>
    <row r="9" spans="1:7" x14ac:dyDescent="0.35">
      <c r="A9" s="58"/>
      <c r="B9" s="6"/>
      <c r="C9" s="6"/>
    </row>
    <row r="10" spans="1:7" x14ac:dyDescent="0.35">
      <c r="B10" s="6"/>
      <c r="C10" s="6"/>
    </row>
    <row r="11" spans="1:7" ht="21" x14ac:dyDescent="0.5">
      <c r="A11" t="s">
        <v>57</v>
      </c>
      <c r="B11" s="6"/>
      <c r="C11" s="6">
        <f>SUM(C7:C10)</f>
        <v>500000</v>
      </c>
      <c r="D11" s="101">
        <f>B6-C11</f>
        <v>496118</v>
      </c>
      <c r="E11" t="s">
        <v>249</v>
      </c>
    </row>
    <row r="12" spans="1:7" x14ac:dyDescent="0.35">
      <c r="B12" s="6"/>
      <c r="C12" s="6"/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E35"/>
  <sheetViews>
    <sheetView workbookViewId="0">
      <selection activeCell="E12" sqref="E12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5" x14ac:dyDescent="0.35">
      <c r="B2" t="s">
        <v>231</v>
      </c>
    </row>
    <row r="4" spans="1:5" x14ac:dyDescent="0.35">
      <c r="A4" t="s">
        <v>161</v>
      </c>
      <c r="B4" t="s">
        <v>159</v>
      </c>
      <c r="C4" t="s">
        <v>160</v>
      </c>
    </row>
    <row r="6" spans="1:5" x14ac:dyDescent="0.35">
      <c r="B6" s="6">
        <v>51453.696796924203</v>
      </c>
      <c r="C6" s="6"/>
    </row>
    <row r="7" spans="1:5" x14ac:dyDescent="0.35">
      <c r="A7" s="62"/>
      <c r="B7" s="6"/>
      <c r="C7" s="6">
        <f>51454+76000</f>
        <v>127454</v>
      </c>
    </row>
    <row r="8" spans="1:5" x14ac:dyDescent="0.35">
      <c r="A8" s="58"/>
      <c r="B8" s="6"/>
      <c r="C8" s="6"/>
    </row>
    <row r="9" spans="1:5" x14ac:dyDescent="0.35">
      <c r="A9" s="58"/>
      <c r="B9" s="6"/>
      <c r="C9" s="6"/>
    </row>
    <row r="10" spans="1:5" x14ac:dyDescent="0.35">
      <c r="B10" s="6"/>
      <c r="C10" s="6"/>
    </row>
    <row r="11" spans="1:5" x14ac:dyDescent="0.35">
      <c r="B11" s="6"/>
      <c r="C11" s="6"/>
    </row>
    <row r="12" spans="1:5" ht="21" x14ac:dyDescent="0.5">
      <c r="A12" t="s">
        <v>57</v>
      </c>
      <c r="B12" s="6"/>
      <c r="C12" s="6">
        <f>SUM(C7:C11)</f>
        <v>127454</v>
      </c>
      <c r="D12" s="151">
        <f>-B6+C12</f>
        <v>76000.303203075804</v>
      </c>
      <c r="E12" t="s">
        <v>326</v>
      </c>
    </row>
    <row r="13" spans="1:5" x14ac:dyDescent="0.35">
      <c r="B13" s="6"/>
      <c r="C13" s="6"/>
    </row>
    <row r="14" spans="1:5" x14ac:dyDescent="0.35">
      <c r="B14" s="6"/>
      <c r="C14" s="6"/>
    </row>
    <row r="15" spans="1:5" x14ac:dyDescent="0.35">
      <c r="B15" s="6"/>
      <c r="C15" s="6"/>
    </row>
    <row r="16" spans="1:5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</sheetData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73"/>
  <sheetViews>
    <sheetView workbookViewId="0">
      <pane xSplit="2" ySplit="5" topLeftCell="G6" activePane="bottomRight" state="frozen"/>
      <selection pane="topRight" activeCell="C1" sqref="C1"/>
      <selection pane="bottomLeft" activeCell="A5" sqref="A5"/>
      <selection pane="bottomRight" activeCell="A17" sqref="A17:XFD17"/>
    </sheetView>
  </sheetViews>
  <sheetFormatPr baseColWidth="10" defaultColWidth="11" defaultRowHeight="14.5" x14ac:dyDescent="0.35"/>
  <cols>
    <col min="1" max="1" width="13.81640625" customWidth="1"/>
    <col min="2" max="3" width="29.54296875" customWidth="1"/>
    <col min="4" max="4" width="15.26953125" customWidth="1"/>
    <col min="5" max="5" width="20.26953125" customWidth="1"/>
    <col min="6" max="6" width="16.81640625" customWidth="1"/>
    <col min="7" max="7" width="15" customWidth="1"/>
    <col min="8" max="8" width="17.54296875" style="3" customWidth="1"/>
    <col min="9" max="9" width="15.7265625" style="2" customWidth="1"/>
    <col min="10" max="10" width="15" style="2" bestFit="1" customWidth="1"/>
    <col min="11" max="12" width="12.453125" style="2" customWidth="1"/>
    <col min="13" max="13" width="13.453125" style="2" bestFit="1" customWidth="1"/>
    <col min="14" max="15" width="17.54296875" style="2" customWidth="1"/>
    <col min="16" max="16" width="14.81640625" customWidth="1"/>
    <col min="17" max="17" width="20.453125" bestFit="1" customWidth="1"/>
    <col min="18" max="18" width="16.54296875" customWidth="1"/>
    <col min="20" max="21" width="16.81640625" bestFit="1" customWidth="1"/>
    <col min="22" max="26" width="16.81640625" customWidth="1"/>
    <col min="27" max="27" width="28.7265625" bestFit="1" customWidth="1"/>
  </cols>
  <sheetData>
    <row r="1" spans="1:36" x14ac:dyDescent="0.35">
      <c r="A1" s="1" t="s">
        <v>0</v>
      </c>
      <c r="B1" s="1" t="s">
        <v>1</v>
      </c>
      <c r="C1" s="1"/>
      <c r="D1" s="1"/>
      <c r="E1" s="1"/>
      <c r="F1" s="1"/>
    </row>
    <row r="2" spans="1:36" x14ac:dyDescent="0.35">
      <c r="A2" s="1" t="s">
        <v>2</v>
      </c>
      <c r="B2" s="1" t="s">
        <v>82</v>
      </c>
      <c r="C2" s="1"/>
      <c r="D2" s="1"/>
      <c r="E2" s="1"/>
      <c r="F2" s="1"/>
      <c r="AA2">
        <f>284000+40000+16008</f>
        <v>340008</v>
      </c>
    </row>
    <row r="3" spans="1:36" x14ac:dyDescent="0.35">
      <c r="A3" s="1" t="s">
        <v>3</v>
      </c>
      <c r="B3" s="5"/>
      <c r="C3" s="5" t="s">
        <v>157</v>
      </c>
      <c r="D3" s="1"/>
      <c r="E3" s="1"/>
      <c r="F3" s="1"/>
    </row>
    <row r="4" spans="1:36" x14ac:dyDescent="0.35">
      <c r="A4" s="1"/>
      <c r="B4" s="5"/>
      <c r="C4" s="5"/>
      <c r="D4" s="1"/>
      <c r="E4" s="1"/>
      <c r="F4" s="1"/>
    </row>
    <row r="5" spans="1:36" ht="42.5" x14ac:dyDescent="0.35">
      <c r="A5" s="1" t="s">
        <v>4</v>
      </c>
      <c r="B5" s="1" t="s">
        <v>5</v>
      </c>
      <c r="C5" s="1" t="s">
        <v>68</v>
      </c>
      <c r="D5" s="4" t="s">
        <v>6</v>
      </c>
      <c r="E5" s="1" t="s">
        <v>69</v>
      </c>
      <c r="F5" s="1" t="s">
        <v>8</v>
      </c>
      <c r="G5" s="1" t="s">
        <v>9</v>
      </c>
      <c r="H5" s="4" t="s">
        <v>10</v>
      </c>
      <c r="I5" s="4" t="s">
        <v>11</v>
      </c>
      <c r="J5" s="4" t="s">
        <v>12</v>
      </c>
      <c r="K5" s="4" t="s">
        <v>72</v>
      </c>
      <c r="L5" s="4" t="s">
        <v>71</v>
      </c>
      <c r="M5" s="4" t="s">
        <v>13</v>
      </c>
      <c r="N5" s="4" t="s">
        <v>61</v>
      </c>
      <c r="O5" s="4" t="s">
        <v>152</v>
      </c>
      <c r="P5" s="4" t="s">
        <v>63</v>
      </c>
      <c r="Q5" s="4" t="s">
        <v>64</v>
      </c>
      <c r="R5" s="4" t="s">
        <v>65</v>
      </c>
      <c r="S5" s="4" t="s">
        <v>14</v>
      </c>
      <c r="T5" s="4" t="s">
        <v>88</v>
      </c>
      <c r="U5" s="4" t="s">
        <v>86</v>
      </c>
      <c r="V5" s="4" t="s">
        <v>135</v>
      </c>
      <c r="W5" s="4" t="s">
        <v>138</v>
      </c>
      <c r="X5" s="4" t="s">
        <v>137</v>
      </c>
      <c r="Y5" s="4" t="s">
        <v>136</v>
      </c>
      <c r="Z5" s="4" t="s">
        <v>69</v>
      </c>
      <c r="AA5" s="4" t="s">
        <v>15</v>
      </c>
      <c r="AC5" s="4" t="s">
        <v>134</v>
      </c>
      <c r="AD5" s="4" t="s">
        <v>9</v>
      </c>
      <c r="AE5" s="4" t="s">
        <v>131</v>
      </c>
      <c r="AF5" s="4" t="s">
        <v>132</v>
      </c>
      <c r="AG5" s="4" t="s">
        <v>139</v>
      </c>
      <c r="AH5" s="4" t="s">
        <v>133</v>
      </c>
      <c r="AI5" s="4" t="s">
        <v>168</v>
      </c>
      <c r="AJ5" s="4" t="s">
        <v>161</v>
      </c>
    </row>
    <row r="6" spans="1:36" ht="15.75" customHeight="1" x14ac:dyDescent="0.35">
      <c r="A6" s="1" t="s">
        <v>16</v>
      </c>
      <c r="B6" s="1" t="s">
        <v>1</v>
      </c>
      <c r="C6" s="5">
        <v>394081.01108374598</v>
      </c>
      <c r="D6" s="5">
        <v>62668.935014227369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62668.935014227369</v>
      </c>
      <c r="V6" s="5">
        <v>0</v>
      </c>
      <c r="W6" s="5"/>
      <c r="X6" s="5"/>
      <c r="Y6" s="5">
        <f>U6-W6</f>
        <v>62668.935014227369</v>
      </c>
      <c r="Z6" s="5">
        <f>Y6-V6</f>
        <v>62668.935014227369</v>
      </c>
    </row>
    <row r="7" spans="1:36" s="14" customFormat="1" x14ac:dyDescent="0.35">
      <c r="A7" s="12" t="s">
        <v>17</v>
      </c>
      <c r="B7" s="12" t="s">
        <v>101</v>
      </c>
      <c r="C7" s="13">
        <v>480000</v>
      </c>
      <c r="D7" s="5">
        <v>0</v>
      </c>
      <c r="E7" s="5">
        <v>0.49369671277236193</v>
      </c>
      <c r="F7" s="13">
        <v>0</v>
      </c>
      <c r="G7" s="5">
        <v>2000</v>
      </c>
      <c r="H7" s="13">
        <v>1000</v>
      </c>
      <c r="I7" s="13">
        <v>2000</v>
      </c>
      <c r="J7" s="13">
        <v>5000</v>
      </c>
      <c r="K7" s="13">
        <v>1000</v>
      </c>
      <c r="L7" s="13">
        <v>0</v>
      </c>
      <c r="M7" s="13">
        <v>0</v>
      </c>
      <c r="N7" s="13">
        <v>500000</v>
      </c>
      <c r="O7" s="5">
        <v>0</v>
      </c>
      <c r="P7" s="5">
        <v>0</v>
      </c>
      <c r="Q7" s="13">
        <v>588000</v>
      </c>
      <c r="R7" s="13">
        <v>88000</v>
      </c>
      <c r="S7" s="13">
        <v>0</v>
      </c>
      <c r="T7" s="13">
        <v>0</v>
      </c>
      <c r="U7" s="13">
        <v>2000.4936967127724</v>
      </c>
      <c r="V7" s="13">
        <v>2000</v>
      </c>
      <c r="W7" s="36"/>
      <c r="X7" s="13"/>
      <c r="Y7" s="5">
        <f t="shared" ref="Y7:Y49" si="0">U7-W7</f>
        <v>2000.4936967127724</v>
      </c>
      <c r="Z7" s="5">
        <f t="shared" ref="Z7:Z49" si="1">Y7-V7</f>
        <v>0.49369671277236193</v>
      </c>
      <c r="AA7" s="35" t="s">
        <v>89</v>
      </c>
      <c r="AB7" s="14" t="s">
        <v>129</v>
      </c>
      <c r="AD7" s="11">
        <v>2000</v>
      </c>
      <c r="AE7" s="11">
        <v>-14000</v>
      </c>
      <c r="AF7" s="11">
        <v>336000</v>
      </c>
      <c r="AG7" s="11"/>
      <c r="AH7" s="7">
        <v>216000.49369671277</v>
      </c>
    </row>
    <row r="8" spans="1:36" x14ac:dyDescent="0.35">
      <c r="A8" s="1" t="s">
        <v>19</v>
      </c>
      <c r="B8" s="1" t="s">
        <v>102</v>
      </c>
      <c r="C8" s="5">
        <v>480000</v>
      </c>
      <c r="D8" s="5">
        <v>79945.737949015122</v>
      </c>
      <c r="E8" s="5">
        <v>1331.2797186755051</v>
      </c>
      <c r="F8" s="5">
        <v>0</v>
      </c>
      <c r="G8" s="5">
        <v>82000</v>
      </c>
      <c r="H8" s="5">
        <v>7000</v>
      </c>
      <c r="I8" s="5">
        <v>14000</v>
      </c>
      <c r="J8" s="5">
        <v>35000</v>
      </c>
      <c r="K8" s="5">
        <v>9000</v>
      </c>
      <c r="L8" s="5">
        <v>0</v>
      </c>
      <c r="M8" s="5">
        <v>0</v>
      </c>
      <c r="N8" s="5">
        <v>1000000</v>
      </c>
      <c r="O8" s="5">
        <v>30000</v>
      </c>
      <c r="P8" s="5">
        <v>0</v>
      </c>
      <c r="Q8" s="5">
        <v>1000000</v>
      </c>
      <c r="R8" s="5">
        <v>0</v>
      </c>
      <c r="S8" s="5">
        <v>0</v>
      </c>
      <c r="T8" s="5">
        <v>0</v>
      </c>
      <c r="U8" s="5">
        <v>163277.01766769064</v>
      </c>
      <c r="V8" s="5">
        <v>130000</v>
      </c>
      <c r="W8" s="36">
        <v>30000</v>
      </c>
      <c r="X8" s="5"/>
      <c r="Y8" s="5">
        <f t="shared" si="0"/>
        <v>133277.01766769064</v>
      </c>
      <c r="Z8" s="5">
        <f t="shared" si="1"/>
        <v>3277.0176676906412</v>
      </c>
      <c r="AA8" s="17"/>
      <c r="AD8" s="11">
        <v>161945.73794901511</v>
      </c>
    </row>
    <row r="9" spans="1:36" s="14" customFormat="1" x14ac:dyDescent="0.35">
      <c r="A9" s="12" t="s">
        <v>21</v>
      </c>
      <c r="B9" s="12" t="s">
        <v>103</v>
      </c>
      <c r="C9" s="13">
        <v>480000</v>
      </c>
      <c r="D9" s="5">
        <v>79896.677076385677</v>
      </c>
      <c r="E9" s="5">
        <v>3703.9516264695849</v>
      </c>
      <c r="F9" s="13">
        <v>0</v>
      </c>
      <c r="G9" s="5">
        <v>54000</v>
      </c>
      <c r="H9" s="13">
        <v>4500</v>
      </c>
      <c r="I9" s="13">
        <v>9000</v>
      </c>
      <c r="J9" s="13">
        <v>22500</v>
      </c>
      <c r="K9" s="13">
        <v>7000</v>
      </c>
      <c r="L9" s="13">
        <v>0</v>
      </c>
      <c r="M9" s="13">
        <v>0</v>
      </c>
      <c r="N9" s="13">
        <v>700000</v>
      </c>
      <c r="O9" s="5">
        <v>84000</v>
      </c>
      <c r="P9" s="5">
        <v>0</v>
      </c>
      <c r="Q9" s="13">
        <v>0</v>
      </c>
      <c r="R9" s="13">
        <v>108500</v>
      </c>
      <c r="S9" s="13">
        <v>0</v>
      </c>
      <c r="T9" s="13">
        <v>808500</v>
      </c>
      <c r="U9" s="13">
        <v>137600.62870285526</v>
      </c>
      <c r="V9" s="13">
        <v>107601</v>
      </c>
      <c r="W9" s="36">
        <v>30000</v>
      </c>
      <c r="X9" s="13"/>
      <c r="Y9" s="5">
        <f t="shared" si="0"/>
        <v>107600.62870285526</v>
      </c>
      <c r="Z9" s="5">
        <f t="shared" si="1"/>
        <v>-0.37129714473849162</v>
      </c>
      <c r="AA9" s="35" t="s">
        <v>94</v>
      </c>
      <c r="AB9" s="14" t="s">
        <v>129</v>
      </c>
      <c r="AC9" s="11">
        <v>108500</v>
      </c>
      <c r="AD9" s="11">
        <v>133896.67707638568</v>
      </c>
      <c r="AE9" s="11">
        <v>-147000</v>
      </c>
      <c r="AF9" s="11">
        <v>-426000</v>
      </c>
      <c r="AG9" s="11"/>
      <c r="AH9" s="7">
        <v>-763899.3712971448</v>
      </c>
      <c r="AI9" s="7">
        <f>50000+75000</f>
        <v>125000</v>
      </c>
      <c r="AJ9" s="60">
        <v>43770</v>
      </c>
    </row>
    <row r="10" spans="1:36" x14ac:dyDescent="0.35">
      <c r="A10" s="1" t="s">
        <v>77</v>
      </c>
      <c r="B10" s="1" t="s">
        <v>78</v>
      </c>
      <c r="C10" s="5">
        <v>0</v>
      </c>
      <c r="D10" s="5">
        <v>1764.4540515245424</v>
      </c>
      <c r="E10" s="5">
        <v>2994.5270055831024</v>
      </c>
      <c r="F10" s="5">
        <v>0</v>
      </c>
      <c r="G10" s="5">
        <v>12000</v>
      </c>
      <c r="H10" s="5">
        <v>1000</v>
      </c>
      <c r="I10" s="5">
        <v>2000</v>
      </c>
      <c r="J10" s="5">
        <v>5000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16758.981057107645</v>
      </c>
      <c r="V10" s="5">
        <v>16759</v>
      </c>
      <c r="W10" s="36"/>
      <c r="X10" s="5"/>
      <c r="Y10" s="5">
        <f t="shared" si="0"/>
        <v>16758.981057107645</v>
      </c>
      <c r="Z10" s="5">
        <f t="shared" si="1"/>
        <v>-1.8942892354971264E-2</v>
      </c>
      <c r="AA10" s="17"/>
      <c r="AD10" s="11">
        <v>13764.454051524543</v>
      </c>
    </row>
    <row r="11" spans="1:36" x14ac:dyDescent="0.35">
      <c r="A11" s="1" t="s">
        <v>23</v>
      </c>
      <c r="B11" s="1" t="s">
        <v>93</v>
      </c>
      <c r="C11" s="5">
        <v>480000</v>
      </c>
      <c r="D11" s="5">
        <v>81380.868527515064</v>
      </c>
      <c r="E11" s="5">
        <v>404.48981912998715</v>
      </c>
      <c r="F11" s="5">
        <v>0</v>
      </c>
      <c r="G11" s="5">
        <v>97500</v>
      </c>
      <c r="H11" s="5">
        <v>7000</v>
      </c>
      <c r="I11" s="5">
        <v>14000</v>
      </c>
      <c r="J11" s="5">
        <v>35000</v>
      </c>
      <c r="K11" s="5">
        <v>6000</v>
      </c>
      <c r="L11" s="5">
        <v>0</v>
      </c>
      <c r="M11" s="5">
        <v>0</v>
      </c>
      <c r="N11" s="5">
        <v>2800000</v>
      </c>
      <c r="O11" s="5">
        <v>218000</v>
      </c>
      <c r="P11" s="5">
        <v>110000</v>
      </c>
      <c r="Q11" s="5">
        <v>1800000</v>
      </c>
      <c r="R11" s="5">
        <v>50000</v>
      </c>
      <c r="S11" s="5">
        <v>0</v>
      </c>
      <c r="T11" s="5">
        <v>1050000</v>
      </c>
      <c r="U11" s="5">
        <v>179285.35834664505</v>
      </c>
      <c r="V11" s="5">
        <v>146000</v>
      </c>
      <c r="W11" s="36">
        <v>30000</v>
      </c>
      <c r="X11" s="5"/>
      <c r="Y11" s="5">
        <f t="shared" si="0"/>
        <v>149285.35834664505</v>
      </c>
      <c r="Z11" s="5">
        <f t="shared" si="1"/>
        <v>3285.3583466450509</v>
      </c>
      <c r="AA11" s="17" t="s">
        <v>90</v>
      </c>
      <c r="AB11" t="s">
        <v>129</v>
      </c>
      <c r="AC11" s="2">
        <v>155000</v>
      </c>
      <c r="AD11" s="11">
        <v>178880.86852751506</v>
      </c>
    </row>
    <row r="12" spans="1:36" x14ac:dyDescent="0.35">
      <c r="A12" s="1" t="s">
        <v>154</v>
      </c>
      <c r="B12" s="1" t="str">
        <f>VLOOKUP(A12,[30]LISTADHERENT!A$5:H$60,3,0)</f>
        <v>DJOMOU TCHANDA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36"/>
      <c r="X12" s="5"/>
      <c r="Y12" s="5"/>
      <c r="Z12" s="5"/>
      <c r="AA12" s="17"/>
      <c r="AD12" s="11"/>
    </row>
    <row r="13" spans="1:36" x14ac:dyDescent="0.35">
      <c r="A13" s="1" t="s">
        <v>24</v>
      </c>
      <c r="B13" s="1" t="s">
        <v>104</v>
      </c>
      <c r="C13" s="5">
        <v>480000</v>
      </c>
      <c r="D13" s="5">
        <v>79798.878874522779</v>
      </c>
      <c r="E13" s="5">
        <v>32.581814608536661</v>
      </c>
      <c r="F13" s="5">
        <v>0</v>
      </c>
      <c r="G13" s="5">
        <v>84000</v>
      </c>
      <c r="H13" s="5">
        <v>7000</v>
      </c>
      <c r="I13" s="5">
        <v>14000</v>
      </c>
      <c r="J13" s="5">
        <v>35000</v>
      </c>
      <c r="K13" s="5">
        <v>7000</v>
      </c>
      <c r="L13" s="5">
        <v>0</v>
      </c>
      <c r="M13" s="5">
        <v>0</v>
      </c>
      <c r="N13" s="5">
        <v>1800000</v>
      </c>
      <c r="O13" s="5">
        <v>160000</v>
      </c>
      <c r="P13" s="5">
        <v>40000</v>
      </c>
      <c r="Q13" s="5">
        <v>1000000</v>
      </c>
      <c r="R13" s="5">
        <v>0</v>
      </c>
      <c r="S13" s="5">
        <v>0</v>
      </c>
      <c r="T13" s="5">
        <v>800000</v>
      </c>
      <c r="U13" s="5">
        <v>163831.46068913132</v>
      </c>
      <c r="V13" s="5">
        <v>35000</v>
      </c>
      <c r="W13" s="36">
        <v>30000</v>
      </c>
      <c r="X13" s="5"/>
      <c r="Y13" s="5">
        <f t="shared" si="0"/>
        <v>133831.46068913132</v>
      </c>
      <c r="Z13" s="5">
        <f t="shared" si="1"/>
        <v>98831.460689131316</v>
      </c>
      <c r="AA13" s="17" t="s">
        <v>91</v>
      </c>
      <c r="AD13" s="11">
        <v>163798.87887452278</v>
      </c>
    </row>
    <row r="14" spans="1:36" x14ac:dyDescent="0.35">
      <c r="A14" s="1" t="s">
        <v>25</v>
      </c>
      <c r="B14" s="1" t="s">
        <v>89</v>
      </c>
      <c r="C14" s="5">
        <v>480000</v>
      </c>
      <c r="D14" s="5">
        <v>79954.051721931959</v>
      </c>
      <c r="E14" s="5">
        <v>8.234061673283577E-2</v>
      </c>
      <c r="F14" s="5">
        <v>0</v>
      </c>
      <c r="G14" s="5">
        <v>93500</v>
      </c>
      <c r="H14" s="5">
        <v>7000</v>
      </c>
      <c r="I14" s="5">
        <v>14000</v>
      </c>
      <c r="J14" s="5">
        <v>35000</v>
      </c>
      <c r="K14" s="5">
        <v>1000</v>
      </c>
      <c r="L14" s="5">
        <v>0</v>
      </c>
      <c r="M14" s="5">
        <v>0</v>
      </c>
      <c r="N14" s="5">
        <v>3000000</v>
      </c>
      <c r="O14" s="5">
        <v>160000</v>
      </c>
      <c r="P14" s="5">
        <v>50000</v>
      </c>
      <c r="Q14" s="5">
        <v>2000000</v>
      </c>
      <c r="R14" s="5">
        <v>0</v>
      </c>
      <c r="S14" s="5">
        <v>0</v>
      </c>
      <c r="T14" s="5">
        <v>1000000</v>
      </c>
      <c r="U14" s="5">
        <v>173454.13406254869</v>
      </c>
      <c r="V14" s="5">
        <v>140000</v>
      </c>
      <c r="W14" s="36">
        <v>30000</v>
      </c>
      <c r="X14" s="5"/>
      <c r="Y14" s="5">
        <f t="shared" si="0"/>
        <v>143454.13406254869</v>
      </c>
      <c r="Z14" s="5">
        <f t="shared" si="1"/>
        <v>3454.1340625486919</v>
      </c>
      <c r="AA14" s="17" t="s">
        <v>92</v>
      </c>
      <c r="AD14" s="11">
        <v>173454.05172193196</v>
      </c>
    </row>
    <row r="15" spans="1:36" x14ac:dyDescent="0.35">
      <c r="A15" s="1" t="s">
        <v>79</v>
      </c>
      <c r="B15" s="1" t="s">
        <v>70</v>
      </c>
      <c r="C15" s="5">
        <v>441596</v>
      </c>
      <c r="D15" s="5">
        <v>73699.144246646392</v>
      </c>
      <c r="E15" s="5">
        <v>0.16900408919900656</v>
      </c>
      <c r="F15" s="5">
        <v>0</v>
      </c>
      <c r="G15" s="5">
        <v>84000</v>
      </c>
      <c r="H15" s="5">
        <v>7000</v>
      </c>
      <c r="I15" s="5">
        <v>14000</v>
      </c>
      <c r="J15" s="5">
        <v>35000</v>
      </c>
      <c r="K15" s="5">
        <v>2000</v>
      </c>
      <c r="L15" s="5">
        <v>0</v>
      </c>
      <c r="M15" s="5">
        <v>0</v>
      </c>
      <c r="N15" s="5">
        <v>2000000</v>
      </c>
      <c r="O15" s="5">
        <v>160000</v>
      </c>
      <c r="P15" s="5">
        <v>50000</v>
      </c>
      <c r="Q15" s="5">
        <v>1000000</v>
      </c>
      <c r="R15" s="5">
        <v>0</v>
      </c>
      <c r="S15" s="5">
        <v>0</v>
      </c>
      <c r="T15" s="5">
        <v>1000000</v>
      </c>
      <c r="U15" s="5">
        <v>157699.31325073558</v>
      </c>
      <c r="V15" s="5">
        <v>86000</v>
      </c>
      <c r="W15" s="36">
        <f>30000+48406</f>
        <v>78406</v>
      </c>
      <c r="X15" s="5"/>
      <c r="Y15" s="5">
        <f t="shared" si="0"/>
        <v>79293.313250735577</v>
      </c>
      <c r="Z15" s="5">
        <f>Y15-V15+6707</f>
        <v>0.31325073557673022</v>
      </c>
      <c r="AA15" s="17"/>
      <c r="AD15" s="11">
        <v>157699.14424664638</v>
      </c>
    </row>
    <row r="16" spans="1:36" x14ac:dyDescent="0.35">
      <c r="A16" s="1" t="s">
        <v>26</v>
      </c>
      <c r="B16" s="1" t="s">
        <v>105</v>
      </c>
      <c r="C16" s="5">
        <v>480000</v>
      </c>
      <c r="D16" s="5">
        <v>97864.943592884913</v>
      </c>
      <c r="E16" s="5">
        <v>113997.13327318276</v>
      </c>
      <c r="F16" s="5">
        <v>0</v>
      </c>
      <c r="G16" s="5">
        <v>84000</v>
      </c>
      <c r="H16" s="5">
        <v>7000</v>
      </c>
      <c r="I16" s="5">
        <v>14000</v>
      </c>
      <c r="J16" s="5">
        <v>35000</v>
      </c>
      <c r="K16" s="5">
        <v>14000</v>
      </c>
      <c r="L16" s="5">
        <v>0</v>
      </c>
      <c r="M16" s="5">
        <v>0</v>
      </c>
      <c r="N16" s="5">
        <v>700000</v>
      </c>
      <c r="O16" s="5">
        <v>108500</v>
      </c>
      <c r="P16" s="5">
        <v>0</v>
      </c>
      <c r="Q16" s="5">
        <v>808500</v>
      </c>
      <c r="R16" s="5">
        <v>108500</v>
      </c>
      <c r="S16" s="5">
        <v>0</v>
      </c>
      <c r="T16" s="5">
        <v>0</v>
      </c>
      <c r="U16" s="5">
        <v>295862.07686606765</v>
      </c>
      <c r="V16" s="5">
        <v>28500</v>
      </c>
      <c r="W16" s="36">
        <v>30000</v>
      </c>
      <c r="X16" s="5"/>
      <c r="Y16" s="5">
        <f t="shared" si="0"/>
        <v>265862.07686606765</v>
      </c>
      <c r="Z16" s="5">
        <f t="shared" si="1"/>
        <v>237362.07686606765</v>
      </c>
      <c r="AA16" s="17"/>
      <c r="AD16" s="11">
        <v>181864.94359288493</v>
      </c>
    </row>
    <row r="17" spans="1:35" x14ac:dyDescent="0.35">
      <c r="A17" s="1" t="s">
        <v>27</v>
      </c>
      <c r="B17" s="1" t="s">
        <v>99</v>
      </c>
      <c r="C17" s="5">
        <v>480000</v>
      </c>
      <c r="D17" s="5">
        <v>80086.550029503749</v>
      </c>
      <c r="E17" s="5">
        <v>2219.5520592769026</v>
      </c>
      <c r="F17" s="5">
        <v>0</v>
      </c>
      <c r="G17" s="5">
        <v>82000</v>
      </c>
      <c r="H17" s="5">
        <v>7000</v>
      </c>
      <c r="I17" s="5">
        <v>14000</v>
      </c>
      <c r="J17" s="5">
        <v>35000</v>
      </c>
      <c r="K17" s="5">
        <v>21000</v>
      </c>
      <c r="L17" s="5">
        <v>0</v>
      </c>
      <c r="M17" s="5">
        <v>0</v>
      </c>
      <c r="N17" s="5">
        <v>2000000</v>
      </c>
      <c r="O17" s="5">
        <v>150000</v>
      </c>
      <c r="P17" s="5">
        <v>30000</v>
      </c>
      <c r="Q17" s="5">
        <v>1000000</v>
      </c>
      <c r="R17" s="5">
        <v>0</v>
      </c>
      <c r="S17" s="5">
        <v>0</v>
      </c>
      <c r="T17" s="5">
        <v>1000000</v>
      </c>
      <c r="U17" s="5">
        <v>164306.10208878067</v>
      </c>
      <c r="V17" s="5">
        <v>130000</v>
      </c>
      <c r="W17" s="36">
        <v>30000</v>
      </c>
      <c r="X17" s="5"/>
      <c r="Y17" s="5">
        <f t="shared" si="0"/>
        <v>134306.10208878067</v>
      </c>
      <c r="Z17" s="5">
        <f t="shared" si="1"/>
        <v>4306.1020887806662</v>
      </c>
      <c r="AA17" s="17" t="s">
        <v>91</v>
      </c>
      <c r="AD17" s="11">
        <v>162086.55002950376</v>
      </c>
    </row>
    <row r="18" spans="1:35" x14ac:dyDescent="0.35">
      <c r="A18" s="1" t="s">
        <v>28</v>
      </c>
      <c r="B18" s="1" t="s">
        <v>106</v>
      </c>
      <c r="C18" s="5">
        <v>480000</v>
      </c>
      <c r="D18" s="5">
        <v>80427.583632271897</v>
      </c>
      <c r="E18" s="5">
        <v>3998.5841971817717</v>
      </c>
      <c r="F18" s="5">
        <v>0</v>
      </c>
      <c r="G18" s="5">
        <v>84000</v>
      </c>
      <c r="H18" s="5">
        <v>7000</v>
      </c>
      <c r="I18" s="5">
        <v>14000</v>
      </c>
      <c r="J18" s="5">
        <v>35000</v>
      </c>
      <c r="K18" s="5">
        <v>1000</v>
      </c>
      <c r="L18" s="5">
        <v>0</v>
      </c>
      <c r="M18" s="5">
        <v>0</v>
      </c>
      <c r="N18" s="5">
        <v>1000000</v>
      </c>
      <c r="O18" s="5">
        <v>120000</v>
      </c>
      <c r="P18" s="5">
        <v>120000</v>
      </c>
      <c r="Q18" s="5">
        <v>0</v>
      </c>
      <c r="R18" s="5">
        <v>0</v>
      </c>
      <c r="S18" s="5">
        <v>0</v>
      </c>
      <c r="T18" s="5">
        <v>1000000</v>
      </c>
      <c r="U18" s="5">
        <v>168426.16782945365</v>
      </c>
      <c r="V18" s="5">
        <v>35000</v>
      </c>
      <c r="W18" s="36">
        <v>30000</v>
      </c>
      <c r="X18" s="5"/>
      <c r="Y18" s="5">
        <f t="shared" si="0"/>
        <v>138426.16782945365</v>
      </c>
      <c r="Z18" s="5">
        <f t="shared" si="1"/>
        <v>103426.16782945365</v>
      </c>
      <c r="AA18" s="17"/>
      <c r="AD18" s="11">
        <v>164427.58363227191</v>
      </c>
    </row>
    <row r="19" spans="1:35" x14ac:dyDescent="0.35">
      <c r="A19" s="1" t="s">
        <v>29</v>
      </c>
      <c r="B19" s="1" t="s">
        <v>92</v>
      </c>
      <c r="C19" s="5">
        <v>480000</v>
      </c>
      <c r="D19" s="5">
        <v>84433.275952127617</v>
      </c>
      <c r="E19" s="5">
        <v>0.44251227390486747</v>
      </c>
      <c r="F19" s="5">
        <v>0</v>
      </c>
      <c r="G19" s="5">
        <v>258500</v>
      </c>
      <c r="H19" s="5">
        <v>7000</v>
      </c>
      <c r="I19" s="5">
        <v>14000</v>
      </c>
      <c r="J19" s="5">
        <v>35000</v>
      </c>
      <c r="K19" s="5">
        <v>2000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342933.71846440155</v>
      </c>
      <c r="V19" s="5">
        <v>250000</v>
      </c>
      <c r="W19" s="36">
        <v>30000</v>
      </c>
      <c r="X19" s="5"/>
      <c r="Y19" s="5">
        <f t="shared" si="0"/>
        <v>312933.71846440155</v>
      </c>
      <c r="Z19" s="5">
        <f t="shared" si="1"/>
        <v>62933.718464401551</v>
      </c>
      <c r="AA19" s="17"/>
      <c r="AD19" s="11">
        <v>342933.27595212765</v>
      </c>
    </row>
    <row r="20" spans="1:35" x14ac:dyDescent="0.35">
      <c r="A20" s="1" t="s">
        <v>31</v>
      </c>
      <c r="B20" s="1" t="s">
        <v>107</v>
      </c>
      <c r="C20" s="5">
        <v>480000</v>
      </c>
      <c r="D20" s="5">
        <v>607034.07913233258</v>
      </c>
      <c r="E20" s="5">
        <v>2903898.728295486</v>
      </c>
      <c r="F20" s="5">
        <v>0</v>
      </c>
      <c r="G20" s="5">
        <v>1296000</v>
      </c>
      <c r="H20" s="5">
        <v>7000</v>
      </c>
      <c r="I20" s="5">
        <v>14000</v>
      </c>
      <c r="J20" s="5">
        <v>35000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4806932.807427818</v>
      </c>
      <c r="V20" s="5">
        <v>0</v>
      </c>
      <c r="W20" s="36">
        <v>30000</v>
      </c>
      <c r="X20" s="5"/>
      <c r="Y20" s="5">
        <f t="shared" si="0"/>
        <v>4776932.807427818</v>
      </c>
      <c r="Z20" s="5">
        <f t="shared" si="1"/>
        <v>4776932.807427818</v>
      </c>
      <c r="AA20" s="17"/>
      <c r="AD20" s="11">
        <v>1903034.0791323325</v>
      </c>
    </row>
    <row r="21" spans="1:35" x14ac:dyDescent="0.35">
      <c r="A21" s="1" t="s">
        <v>34</v>
      </c>
      <c r="B21" s="1" t="s">
        <v>90</v>
      </c>
      <c r="C21" s="5">
        <v>480000</v>
      </c>
      <c r="D21" s="5">
        <v>79661.668675915658</v>
      </c>
      <c r="E21" s="5">
        <v>-0.26072546625800896</v>
      </c>
      <c r="F21" s="5">
        <v>0</v>
      </c>
      <c r="G21" s="5">
        <v>81000</v>
      </c>
      <c r="H21" s="5">
        <v>7000</v>
      </c>
      <c r="I21" s="5">
        <v>14000</v>
      </c>
      <c r="J21" s="5">
        <v>35000</v>
      </c>
      <c r="K21" s="5">
        <v>7000</v>
      </c>
      <c r="L21" s="5">
        <v>0</v>
      </c>
      <c r="M21" s="5">
        <v>0</v>
      </c>
      <c r="N21" s="5">
        <v>1900000</v>
      </c>
      <c r="O21" s="5">
        <v>159000</v>
      </c>
      <c r="P21" s="5">
        <v>60000</v>
      </c>
      <c r="Q21" s="5">
        <v>900000</v>
      </c>
      <c r="R21" s="5">
        <v>139500</v>
      </c>
      <c r="S21" s="5">
        <v>0</v>
      </c>
      <c r="T21" s="5">
        <v>1139500</v>
      </c>
      <c r="U21" s="5">
        <v>160661.40795044939</v>
      </c>
      <c r="V21" s="5">
        <v>0</v>
      </c>
      <c r="W21" s="36">
        <v>30000</v>
      </c>
      <c r="X21" s="5"/>
      <c r="Y21" s="5">
        <f t="shared" si="0"/>
        <v>130661.40795044939</v>
      </c>
      <c r="Z21" s="5">
        <f>Y21-V21-80000</f>
        <v>50661.407950449386</v>
      </c>
      <c r="AA21" s="17" t="s">
        <v>155</v>
      </c>
      <c r="AB21" t="s">
        <v>129</v>
      </c>
      <c r="AC21" s="2">
        <v>139500</v>
      </c>
      <c r="AD21" s="11">
        <v>160661.66867591566</v>
      </c>
      <c r="AH21" s="2">
        <v>139500</v>
      </c>
      <c r="AI21" t="s">
        <v>169</v>
      </c>
    </row>
    <row r="22" spans="1:35" s="14" customFormat="1" x14ac:dyDescent="0.35">
      <c r="A22" s="12" t="s">
        <v>32</v>
      </c>
      <c r="B22" s="12" t="s">
        <v>108</v>
      </c>
      <c r="C22" s="13">
        <v>480000</v>
      </c>
      <c r="D22" s="5">
        <v>78414.920478625208</v>
      </c>
      <c r="E22" s="5">
        <v>643.11234311138105</v>
      </c>
      <c r="F22" s="13">
        <v>0</v>
      </c>
      <c r="G22" s="5">
        <v>30000</v>
      </c>
      <c r="H22" s="13">
        <v>2500</v>
      </c>
      <c r="I22" s="13">
        <v>5000</v>
      </c>
      <c r="J22" s="13">
        <v>12500</v>
      </c>
      <c r="K22" s="13">
        <v>4000</v>
      </c>
      <c r="L22" s="13">
        <v>0</v>
      </c>
      <c r="M22" s="13">
        <v>0</v>
      </c>
      <c r="N22" s="13">
        <v>700000</v>
      </c>
      <c r="O22" s="5">
        <v>77000</v>
      </c>
      <c r="P22" s="5">
        <v>0</v>
      </c>
      <c r="Q22" s="13">
        <v>0</v>
      </c>
      <c r="R22" s="13">
        <v>108500</v>
      </c>
      <c r="S22" s="13">
        <v>0</v>
      </c>
      <c r="T22" s="13">
        <v>808500</v>
      </c>
      <c r="U22" s="13">
        <v>109058.03282173659</v>
      </c>
      <c r="V22" s="13">
        <v>109058</v>
      </c>
      <c r="W22" s="36"/>
      <c r="X22" s="13"/>
      <c r="Y22" s="5">
        <f t="shared" si="0"/>
        <v>109058.03282173659</v>
      </c>
      <c r="Z22" s="5">
        <f t="shared" si="1"/>
        <v>3.2821736589539796E-2</v>
      </c>
      <c r="AA22" s="35" t="s">
        <v>95</v>
      </c>
      <c r="AB22" s="14" t="s">
        <v>129</v>
      </c>
      <c r="AC22" s="11">
        <v>108500</v>
      </c>
      <c r="AD22" s="11">
        <v>108414.92047862521</v>
      </c>
      <c r="AE22" s="11">
        <v>-264600</v>
      </c>
      <c r="AH22" s="7">
        <v>-484041.96717826341</v>
      </c>
      <c r="AI22" s="14">
        <v>484042</v>
      </c>
    </row>
    <row r="23" spans="1:35" x14ac:dyDescent="0.35">
      <c r="A23" s="1" t="s">
        <v>33</v>
      </c>
      <c r="B23" s="1" t="s">
        <v>109</v>
      </c>
      <c r="C23" s="5">
        <v>480000</v>
      </c>
      <c r="D23" s="5">
        <v>80181.060176583385</v>
      </c>
      <c r="E23" s="5">
        <v>2611.7018854503112</v>
      </c>
      <c r="F23" s="5">
        <v>0</v>
      </c>
      <c r="G23" s="5">
        <v>84000</v>
      </c>
      <c r="H23" s="5">
        <v>7000</v>
      </c>
      <c r="I23" s="5">
        <v>14000</v>
      </c>
      <c r="J23" s="5">
        <v>35000</v>
      </c>
      <c r="K23" s="5">
        <v>1000</v>
      </c>
      <c r="L23" s="5">
        <v>0</v>
      </c>
      <c r="M23" s="5">
        <v>0</v>
      </c>
      <c r="N23" s="5">
        <v>1500000</v>
      </c>
      <c r="O23" s="5">
        <v>135000</v>
      </c>
      <c r="P23" s="5">
        <v>25000</v>
      </c>
      <c r="Q23" s="5">
        <v>1000000</v>
      </c>
      <c r="R23" s="5">
        <v>0</v>
      </c>
      <c r="S23" s="5">
        <v>0</v>
      </c>
      <c r="T23" s="5">
        <v>500000</v>
      </c>
      <c r="U23" s="5">
        <v>166792.7620620337</v>
      </c>
      <c r="V23" s="5">
        <v>130000</v>
      </c>
      <c r="W23" s="36">
        <v>30000</v>
      </c>
      <c r="X23" s="5"/>
      <c r="Y23" s="5">
        <f t="shared" si="0"/>
        <v>136792.7620620337</v>
      </c>
      <c r="Z23" s="5">
        <f t="shared" si="1"/>
        <v>6792.7620620336966</v>
      </c>
      <c r="AA23" s="17" t="s">
        <v>96</v>
      </c>
      <c r="AD23" s="11">
        <v>164181.06017658339</v>
      </c>
    </row>
    <row r="24" spans="1:35" x14ac:dyDescent="0.35">
      <c r="A24" s="1" t="s">
        <v>35</v>
      </c>
      <c r="B24" s="1" t="s">
        <v>91</v>
      </c>
      <c r="C24" s="5">
        <v>480000</v>
      </c>
      <c r="D24" s="5">
        <v>79889.68496817023</v>
      </c>
      <c r="E24" s="5">
        <v>605.40582988600363</v>
      </c>
      <c r="F24" s="5">
        <v>0</v>
      </c>
      <c r="G24" s="5">
        <v>84000</v>
      </c>
      <c r="H24" s="5">
        <v>7000</v>
      </c>
      <c r="I24" s="5">
        <v>14000</v>
      </c>
      <c r="J24" s="5">
        <v>35000</v>
      </c>
      <c r="K24" s="5">
        <v>7000</v>
      </c>
      <c r="L24" s="5">
        <v>0</v>
      </c>
      <c r="M24" s="5">
        <v>0</v>
      </c>
      <c r="N24" s="5">
        <v>2000000</v>
      </c>
      <c r="O24" s="5">
        <v>150000</v>
      </c>
      <c r="P24" s="5">
        <v>40000</v>
      </c>
      <c r="Q24" s="5">
        <v>1000000</v>
      </c>
      <c r="R24" s="5">
        <v>0</v>
      </c>
      <c r="S24" s="5">
        <v>0</v>
      </c>
      <c r="T24" s="5">
        <v>1000000</v>
      </c>
      <c r="U24" s="5">
        <v>164495.09079805622</v>
      </c>
      <c r="V24" s="5">
        <v>120000</v>
      </c>
      <c r="W24" s="36">
        <v>30000</v>
      </c>
      <c r="X24" s="5"/>
      <c r="Y24" s="5">
        <f t="shared" si="0"/>
        <v>134495.09079805622</v>
      </c>
      <c r="Z24" s="5">
        <f t="shared" si="1"/>
        <v>14495.090798056219</v>
      </c>
      <c r="AA24" s="17" t="s">
        <v>87</v>
      </c>
      <c r="AD24" s="11">
        <v>163889.68496817024</v>
      </c>
    </row>
    <row r="25" spans="1:35" x14ac:dyDescent="0.35">
      <c r="A25" s="1" t="s">
        <v>36</v>
      </c>
      <c r="B25" s="1" t="s">
        <v>110</v>
      </c>
      <c r="C25" s="5">
        <v>480000</v>
      </c>
      <c r="D25" s="5">
        <v>79644.731049764974</v>
      </c>
      <c r="E25" s="5">
        <v>-0.14820683863945305</v>
      </c>
      <c r="F25" s="5">
        <v>0</v>
      </c>
      <c r="G25" s="5">
        <v>82000</v>
      </c>
      <c r="H25" s="5">
        <v>7000</v>
      </c>
      <c r="I25" s="5">
        <v>14000</v>
      </c>
      <c r="J25" s="5">
        <v>35000</v>
      </c>
      <c r="K25" s="5">
        <v>9000</v>
      </c>
      <c r="L25" s="5">
        <v>0</v>
      </c>
      <c r="M25" s="5">
        <v>0</v>
      </c>
      <c r="N25" s="5">
        <v>260000</v>
      </c>
      <c r="O25" s="5">
        <v>10400</v>
      </c>
      <c r="P25" s="5">
        <v>7800</v>
      </c>
      <c r="Q25" s="5">
        <v>130000</v>
      </c>
      <c r="R25" s="5">
        <v>0</v>
      </c>
      <c r="S25" s="5">
        <v>0</v>
      </c>
      <c r="T25" s="5">
        <v>130000</v>
      </c>
      <c r="U25" s="5">
        <v>161644.58284292632</v>
      </c>
      <c r="V25" s="5">
        <v>128000</v>
      </c>
      <c r="W25" s="36">
        <v>30000</v>
      </c>
      <c r="X25" s="5"/>
      <c r="Y25" s="5">
        <f t="shared" si="0"/>
        <v>131644.58284292632</v>
      </c>
      <c r="Z25" s="5">
        <f t="shared" si="1"/>
        <v>3644.5828429263202</v>
      </c>
      <c r="AA25" s="17" t="s">
        <v>94</v>
      </c>
      <c r="AD25" s="11">
        <v>161644.73104976496</v>
      </c>
    </row>
    <row r="26" spans="1:35" x14ac:dyDescent="0.35">
      <c r="A26" s="1" t="s">
        <v>75</v>
      </c>
      <c r="B26" s="1" t="s">
        <v>76</v>
      </c>
      <c r="C26" s="5">
        <v>30000</v>
      </c>
      <c r="D26" s="5">
        <v>12025.274783900029</v>
      </c>
      <c r="E26" s="5">
        <v>2994.5270055830988</v>
      </c>
      <c r="F26" s="5">
        <v>0</v>
      </c>
      <c r="G26" s="5">
        <v>104000</v>
      </c>
      <c r="H26" s="5">
        <v>7000</v>
      </c>
      <c r="I26" s="5">
        <v>14000</v>
      </c>
      <c r="J26" s="5">
        <v>35000</v>
      </c>
      <c r="K26" s="5">
        <v>0</v>
      </c>
      <c r="L26" s="5">
        <v>0</v>
      </c>
      <c r="M26" s="5">
        <v>0</v>
      </c>
      <c r="N26" s="5">
        <v>900000</v>
      </c>
      <c r="O26" s="5">
        <v>108000</v>
      </c>
      <c r="P26" s="5">
        <v>0</v>
      </c>
      <c r="Q26" s="5">
        <v>900000</v>
      </c>
      <c r="R26" s="5">
        <v>0</v>
      </c>
      <c r="S26" s="5">
        <v>0</v>
      </c>
      <c r="T26" s="5">
        <v>0</v>
      </c>
      <c r="U26" s="5">
        <v>119019.80178948313</v>
      </c>
      <c r="V26" s="5">
        <v>88500</v>
      </c>
      <c r="W26" s="36">
        <v>30000</v>
      </c>
      <c r="X26" s="5"/>
      <c r="Y26" s="5">
        <f t="shared" si="0"/>
        <v>89019.801789483128</v>
      </c>
      <c r="Z26" s="5">
        <f t="shared" si="1"/>
        <v>519.80178948312823</v>
      </c>
      <c r="AA26" s="17" t="s">
        <v>91</v>
      </c>
      <c r="AD26" s="11">
        <v>116025.27478390004</v>
      </c>
    </row>
    <row r="27" spans="1:35" x14ac:dyDescent="0.35">
      <c r="A27" s="1" t="s">
        <v>50</v>
      </c>
      <c r="B27" s="1" t="s">
        <v>97</v>
      </c>
      <c r="C27" s="5">
        <v>450000</v>
      </c>
      <c r="D27" s="5">
        <v>81837.118573991771</v>
      </c>
      <c r="E27" s="5">
        <v>12890.22827698091</v>
      </c>
      <c r="F27" s="5">
        <v>0</v>
      </c>
      <c r="G27" s="5">
        <v>94000</v>
      </c>
      <c r="H27" s="5">
        <v>7000</v>
      </c>
      <c r="I27" s="5">
        <v>14000</v>
      </c>
      <c r="J27" s="5">
        <v>35000</v>
      </c>
      <c r="K27" s="5">
        <v>0</v>
      </c>
      <c r="L27" s="5">
        <v>0</v>
      </c>
      <c r="M27" s="5">
        <v>0</v>
      </c>
      <c r="N27" s="5">
        <v>100000</v>
      </c>
      <c r="O27" s="5">
        <v>5000</v>
      </c>
      <c r="P27" s="5">
        <v>0</v>
      </c>
      <c r="Q27" s="5">
        <v>100000</v>
      </c>
      <c r="R27" s="5">
        <v>0</v>
      </c>
      <c r="S27" s="5">
        <v>0</v>
      </c>
      <c r="T27" s="5">
        <v>0</v>
      </c>
      <c r="U27" s="5">
        <v>188727.34685097268</v>
      </c>
      <c r="V27" s="5">
        <v>95000</v>
      </c>
      <c r="W27" s="36">
        <f>30000+30000</f>
        <v>60000</v>
      </c>
      <c r="X27" s="5"/>
      <c r="Y27" s="5">
        <f t="shared" si="0"/>
        <v>128727.34685097268</v>
      </c>
      <c r="Z27" s="5">
        <f t="shared" si="1"/>
        <v>33727.346850972681</v>
      </c>
      <c r="AA27" s="17" t="s">
        <v>94</v>
      </c>
      <c r="AD27" s="11">
        <v>175837.11857399176</v>
      </c>
    </row>
    <row r="28" spans="1:35" x14ac:dyDescent="0.35">
      <c r="A28" s="1" t="s">
        <v>37</v>
      </c>
      <c r="B28" s="1" t="s">
        <v>111</v>
      </c>
      <c r="C28" s="5">
        <v>480000</v>
      </c>
      <c r="D28" s="5">
        <v>80008.312869354428</v>
      </c>
      <c r="E28" s="5">
        <v>1353.7356825511233</v>
      </c>
      <c r="F28" s="5">
        <v>0</v>
      </c>
      <c r="G28" s="5">
        <v>84000</v>
      </c>
      <c r="H28" s="5">
        <v>7000</v>
      </c>
      <c r="I28" s="5">
        <v>14000</v>
      </c>
      <c r="J28" s="5">
        <v>35000</v>
      </c>
      <c r="K28" s="5">
        <v>5000</v>
      </c>
      <c r="L28" s="5">
        <v>0</v>
      </c>
      <c r="M28" s="5">
        <v>0</v>
      </c>
      <c r="N28" s="5">
        <v>2000000</v>
      </c>
      <c r="O28" s="5">
        <v>230000</v>
      </c>
      <c r="P28" s="5">
        <v>120000</v>
      </c>
      <c r="Q28" s="5">
        <v>1000000</v>
      </c>
      <c r="R28" s="5">
        <v>0</v>
      </c>
      <c r="S28" s="5">
        <v>0</v>
      </c>
      <c r="T28" s="5">
        <v>1000000</v>
      </c>
      <c r="U28" s="5">
        <v>165362.04855190555</v>
      </c>
      <c r="V28" s="5">
        <v>130000</v>
      </c>
      <c r="W28" s="36">
        <v>30000</v>
      </c>
      <c r="X28" s="5"/>
      <c r="Y28" s="5">
        <f t="shared" si="0"/>
        <v>135362.04855190555</v>
      </c>
      <c r="Z28" s="5">
        <f t="shared" si="1"/>
        <v>5362.048551905551</v>
      </c>
      <c r="AA28" s="17"/>
      <c r="AD28" s="11">
        <v>164008.31286935444</v>
      </c>
    </row>
    <row r="29" spans="1:35" x14ac:dyDescent="0.35">
      <c r="A29" s="1" t="s">
        <v>38</v>
      </c>
      <c r="B29" s="1" t="s">
        <v>98</v>
      </c>
      <c r="C29" s="5">
        <v>480000</v>
      </c>
      <c r="D29" s="5">
        <v>91731.680250305682</v>
      </c>
      <c r="E29" s="5">
        <v>57225.614111341449</v>
      </c>
      <c r="F29" s="5">
        <v>0</v>
      </c>
      <c r="G29" s="5">
        <v>151000</v>
      </c>
      <c r="H29" s="5">
        <v>7000</v>
      </c>
      <c r="I29" s="5">
        <v>14000</v>
      </c>
      <c r="J29" s="5">
        <v>35000</v>
      </c>
      <c r="K29" s="5">
        <v>0</v>
      </c>
      <c r="L29" s="5">
        <v>0</v>
      </c>
      <c r="M29" s="5">
        <v>0</v>
      </c>
      <c r="N29" s="5">
        <v>500000</v>
      </c>
      <c r="O29" s="5">
        <v>50000</v>
      </c>
      <c r="P29" s="5">
        <v>0</v>
      </c>
      <c r="Q29" s="5">
        <v>500000</v>
      </c>
      <c r="R29" s="5">
        <v>0</v>
      </c>
      <c r="S29" s="5">
        <v>0</v>
      </c>
      <c r="T29" s="5">
        <v>0</v>
      </c>
      <c r="U29" s="5">
        <v>299957.2943616471</v>
      </c>
      <c r="V29" s="5">
        <v>240000</v>
      </c>
      <c r="W29" s="36">
        <v>30000</v>
      </c>
      <c r="X29" s="5"/>
      <c r="Y29" s="5">
        <f t="shared" si="0"/>
        <v>269957.2943616471</v>
      </c>
      <c r="Z29" s="5">
        <f t="shared" si="1"/>
        <v>29957.294361647102</v>
      </c>
      <c r="AA29" s="17"/>
      <c r="AD29" s="11">
        <v>242731.68025030568</v>
      </c>
    </row>
    <row r="30" spans="1:35" x14ac:dyDescent="0.35">
      <c r="A30" s="1" t="s">
        <v>80</v>
      </c>
      <c r="B30" s="1" t="s">
        <v>112</v>
      </c>
      <c r="C30" s="5">
        <v>0</v>
      </c>
      <c r="D30" s="5">
        <v>2138.4782390296004</v>
      </c>
      <c r="E30" s="5">
        <v>0.16900408919900656</v>
      </c>
      <c r="F30" s="5">
        <v>0</v>
      </c>
      <c r="G30" s="5">
        <v>30000</v>
      </c>
      <c r="H30" s="5">
        <v>2500</v>
      </c>
      <c r="I30" s="5">
        <v>5000</v>
      </c>
      <c r="J30" s="5">
        <v>12500</v>
      </c>
      <c r="K30" s="5">
        <v>2000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32138.647243118801</v>
      </c>
      <c r="V30" s="5">
        <v>2139</v>
      </c>
      <c r="W30" s="36">
        <v>30000</v>
      </c>
      <c r="X30" s="5"/>
      <c r="Y30" s="5">
        <f t="shared" si="0"/>
        <v>2138.6472431188013</v>
      </c>
      <c r="Z30" s="5">
        <f t="shared" si="1"/>
        <v>-0.35275688119872939</v>
      </c>
      <c r="AA30" s="17"/>
      <c r="AD30" s="11">
        <v>32138.478239029602</v>
      </c>
    </row>
    <row r="31" spans="1:35" s="14" customFormat="1" x14ac:dyDescent="0.35">
      <c r="A31" s="12" t="s">
        <v>39</v>
      </c>
      <c r="B31" s="12" t="s">
        <v>113</v>
      </c>
      <c r="C31" s="13">
        <v>480000</v>
      </c>
      <c r="D31" s="5">
        <v>0</v>
      </c>
      <c r="E31" s="5">
        <v>0.28740352351451293</v>
      </c>
      <c r="F31" s="13">
        <v>0</v>
      </c>
      <c r="G31" s="5">
        <v>100000</v>
      </c>
      <c r="H31" s="13">
        <v>7000</v>
      </c>
      <c r="I31" s="13">
        <v>14000</v>
      </c>
      <c r="J31" s="13">
        <v>35000</v>
      </c>
      <c r="K31" s="13">
        <v>6000</v>
      </c>
      <c r="L31" s="13">
        <v>0</v>
      </c>
      <c r="M31" s="13">
        <v>0</v>
      </c>
      <c r="N31" s="13">
        <v>1176000</v>
      </c>
      <c r="O31" s="5">
        <v>0</v>
      </c>
      <c r="P31" s="5">
        <v>0</v>
      </c>
      <c r="Q31" s="13">
        <v>1305360</v>
      </c>
      <c r="R31" s="13">
        <v>129360</v>
      </c>
      <c r="S31" s="13">
        <v>0</v>
      </c>
      <c r="T31" s="13">
        <v>0</v>
      </c>
      <c r="U31" s="13">
        <v>100000.28740352351</v>
      </c>
      <c r="V31" s="13">
        <v>60000</v>
      </c>
      <c r="W31" s="36">
        <v>30000</v>
      </c>
      <c r="X31" s="13"/>
      <c r="Y31" s="5">
        <f t="shared" si="0"/>
        <v>70000.287403523515</v>
      </c>
      <c r="Z31" s="5">
        <f t="shared" si="1"/>
        <v>10000.287403523515</v>
      </c>
      <c r="AA31" s="35"/>
      <c r="AB31" s="14" t="s">
        <v>129</v>
      </c>
      <c r="AD31" s="11">
        <v>100000</v>
      </c>
    </row>
    <row r="32" spans="1:35" s="14" customFormat="1" x14ac:dyDescent="0.35">
      <c r="A32" s="12" t="s">
        <v>40</v>
      </c>
      <c r="B32" s="12" t="s">
        <v>114</v>
      </c>
      <c r="C32" s="13">
        <v>117045</v>
      </c>
      <c r="D32" s="5">
        <v>0</v>
      </c>
      <c r="E32" s="5">
        <v>22.240996590782743</v>
      </c>
      <c r="F32" s="13">
        <v>0</v>
      </c>
      <c r="G32" s="5">
        <v>84000</v>
      </c>
      <c r="H32" s="13">
        <v>7000</v>
      </c>
      <c r="I32" s="13">
        <v>14000</v>
      </c>
      <c r="J32" s="13">
        <v>35000</v>
      </c>
      <c r="K32" s="13">
        <v>3000</v>
      </c>
      <c r="L32" s="13">
        <v>0</v>
      </c>
      <c r="M32" s="13">
        <v>0</v>
      </c>
      <c r="N32" s="13">
        <v>0</v>
      </c>
      <c r="O32" s="5">
        <v>0</v>
      </c>
      <c r="P32" s="5">
        <v>0</v>
      </c>
      <c r="Q32" s="13">
        <v>0</v>
      </c>
      <c r="R32" s="13">
        <v>0</v>
      </c>
      <c r="S32" s="13">
        <v>0</v>
      </c>
      <c r="T32" s="13">
        <v>0</v>
      </c>
      <c r="U32" s="13">
        <v>84022.240996590786</v>
      </c>
      <c r="V32" s="13">
        <v>54022</v>
      </c>
      <c r="W32" s="36">
        <v>30000</v>
      </c>
      <c r="X32" s="13"/>
      <c r="Y32" s="5">
        <f t="shared" si="0"/>
        <v>54022.240996590786</v>
      </c>
      <c r="Z32" s="5">
        <f t="shared" si="1"/>
        <v>0.24099659078638069</v>
      </c>
      <c r="AA32" s="35"/>
      <c r="AD32" s="11">
        <v>84000</v>
      </c>
      <c r="AE32" s="11">
        <v>80000</v>
      </c>
      <c r="AH32" s="7">
        <v>281067.24099659082</v>
      </c>
    </row>
    <row r="33" spans="1:36" x14ac:dyDescent="0.35">
      <c r="A33" s="1" t="s">
        <v>41</v>
      </c>
      <c r="B33" s="1" t="s">
        <v>96</v>
      </c>
      <c r="C33" s="5">
        <v>480000</v>
      </c>
      <c r="D33" s="5">
        <v>91170.310621746714</v>
      </c>
      <c r="E33" s="5">
        <v>72138.254558185639</v>
      </c>
      <c r="F33" s="5">
        <v>0</v>
      </c>
      <c r="G33" s="5">
        <v>82000</v>
      </c>
      <c r="H33" s="5">
        <v>7000</v>
      </c>
      <c r="I33" s="5">
        <v>14000</v>
      </c>
      <c r="J33" s="5">
        <v>35000</v>
      </c>
      <c r="K33" s="5">
        <v>4000</v>
      </c>
      <c r="L33" s="5">
        <v>0</v>
      </c>
      <c r="M33" s="5">
        <v>0</v>
      </c>
      <c r="N33" s="5">
        <v>1150000</v>
      </c>
      <c r="O33" s="5">
        <v>114500</v>
      </c>
      <c r="P33" s="5">
        <v>4500</v>
      </c>
      <c r="Q33" s="5">
        <v>1000000</v>
      </c>
      <c r="R33" s="5">
        <v>0</v>
      </c>
      <c r="S33" s="5">
        <v>0</v>
      </c>
      <c r="T33" s="5">
        <v>150000</v>
      </c>
      <c r="U33" s="5">
        <v>245308.56517993234</v>
      </c>
      <c r="V33" s="5">
        <v>200000</v>
      </c>
      <c r="W33" s="36">
        <v>30000</v>
      </c>
      <c r="X33" s="5"/>
      <c r="Y33" s="5">
        <f t="shared" si="0"/>
        <v>215308.56517993234</v>
      </c>
      <c r="Z33" s="5">
        <f t="shared" si="1"/>
        <v>15308.565179932339</v>
      </c>
      <c r="AA33" s="17" t="s">
        <v>97</v>
      </c>
      <c r="AD33" s="11">
        <v>173170.3106217467</v>
      </c>
    </row>
    <row r="34" spans="1:36" s="14" customFormat="1" x14ac:dyDescent="0.35">
      <c r="A34" s="12" t="s">
        <v>42</v>
      </c>
      <c r="B34" s="12" t="s">
        <v>95</v>
      </c>
      <c r="C34" s="13">
        <v>480000</v>
      </c>
      <c r="D34" s="5">
        <v>78422.245259251824</v>
      </c>
      <c r="E34" s="5">
        <v>689.31860616087215</v>
      </c>
      <c r="F34" s="13">
        <v>0</v>
      </c>
      <c r="G34" s="5">
        <v>30000</v>
      </c>
      <c r="H34" s="13">
        <v>2500</v>
      </c>
      <c r="I34" s="13">
        <v>5000</v>
      </c>
      <c r="J34" s="13">
        <v>12500</v>
      </c>
      <c r="K34" s="13">
        <v>5000</v>
      </c>
      <c r="L34" s="13">
        <v>0</v>
      </c>
      <c r="M34" s="13">
        <v>0</v>
      </c>
      <c r="N34" s="13">
        <v>700000</v>
      </c>
      <c r="O34" s="5">
        <v>84000</v>
      </c>
      <c r="P34" s="5">
        <v>0</v>
      </c>
      <c r="Q34" s="13">
        <v>0</v>
      </c>
      <c r="R34" s="13">
        <v>108500</v>
      </c>
      <c r="S34" s="13">
        <v>0</v>
      </c>
      <c r="T34" s="13">
        <v>808500</v>
      </c>
      <c r="U34" s="13">
        <v>109111.5638654127</v>
      </c>
      <c r="V34" s="13">
        <v>79112</v>
      </c>
      <c r="W34" s="36">
        <v>30000</v>
      </c>
      <c r="X34" s="13"/>
      <c r="Y34" s="5">
        <f t="shared" si="0"/>
        <v>79111.563865412696</v>
      </c>
      <c r="Z34" s="5">
        <f t="shared" si="1"/>
        <v>-0.43613458730396815</v>
      </c>
      <c r="AA34" s="35" t="s">
        <v>94</v>
      </c>
      <c r="AB34" s="14" t="s">
        <v>129</v>
      </c>
      <c r="AC34" s="11">
        <v>108500</v>
      </c>
      <c r="AD34" s="11">
        <v>108422.24525925182</v>
      </c>
      <c r="AE34" s="11">
        <v>-285600</v>
      </c>
      <c r="AF34" s="11">
        <v>-488000</v>
      </c>
      <c r="AG34" s="11"/>
      <c r="AH34" s="7">
        <v>-992988.43613458727</v>
      </c>
    </row>
    <row r="35" spans="1:36" s="8" customFormat="1" x14ac:dyDescent="0.35">
      <c r="A35" s="1" t="s">
        <v>43</v>
      </c>
      <c r="B35" s="1" t="s">
        <v>100</v>
      </c>
      <c r="C35" s="5">
        <v>480000</v>
      </c>
      <c r="D35" s="5">
        <v>80425.990897485564</v>
      </c>
      <c r="E35" s="5">
        <v>36.350487807299942</v>
      </c>
      <c r="F35" s="5">
        <v>0</v>
      </c>
      <c r="G35" s="5">
        <v>144000</v>
      </c>
      <c r="H35" s="5">
        <v>7000</v>
      </c>
      <c r="I35" s="5">
        <v>14000</v>
      </c>
      <c r="J35" s="5">
        <v>35000</v>
      </c>
      <c r="K35" s="5">
        <v>23000</v>
      </c>
      <c r="L35" s="5">
        <v>0</v>
      </c>
      <c r="M35" s="5">
        <v>0</v>
      </c>
      <c r="N35" s="5">
        <v>3000000</v>
      </c>
      <c r="O35" s="5">
        <v>170000</v>
      </c>
      <c r="P35" s="5">
        <v>50000</v>
      </c>
      <c r="Q35" s="5">
        <v>2000000</v>
      </c>
      <c r="R35" s="5">
        <v>0</v>
      </c>
      <c r="S35" s="5">
        <v>0</v>
      </c>
      <c r="T35" s="5">
        <v>1000000</v>
      </c>
      <c r="U35" s="5">
        <v>224462.34138529288</v>
      </c>
      <c r="V35" s="5">
        <v>120000</v>
      </c>
      <c r="W35" s="36">
        <v>30000</v>
      </c>
      <c r="X35" s="5"/>
      <c r="Y35" s="5">
        <f t="shared" si="0"/>
        <v>194462.34138529288</v>
      </c>
      <c r="Z35" s="5">
        <f t="shared" si="1"/>
        <v>74462.341385292879</v>
      </c>
      <c r="AA35" s="17" t="s">
        <v>76</v>
      </c>
      <c r="AD35" s="11">
        <v>224425.99089748558</v>
      </c>
    </row>
    <row r="36" spans="1:36" x14ac:dyDescent="0.35">
      <c r="A36" s="1" t="s">
        <v>30</v>
      </c>
      <c r="B36" s="1" t="s">
        <v>115</v>
      </c>
      <c r="C36" s="5">
        <v>480000</v>
      </c>
      <c r="D36" s="5">
        <v>79900.26982663176</v>
      </c>
      <c r="E36" s="5">
        <v>0.30040658926009201</v>
      </c>
      <c r="F36" s="5">
        <v>0</v>
      </c>
      <c r="G36" s="5">
        <v>86500</v>
      </c>
      <c r="H36" s="5">
        <v>7000</v>
      </c>
      <c r="I36" s="5">
        <v>14000</v>
      </c>
      <c r="J36" s="5">
        <v>35000</v>
      </c>
      <c r="K36" s="5">
        <v>11000</v>
      </c>
      <c r="L36" s="5">
        <v>0</v>
      </c>
      <c r="M36" s="5">
        <v>0</v>
      </c>
      <c r="N36" s="5">
        <v>2000000</v>
      </c>
      <c r="O36" s="5">
        <v>240000</v>
      </c>
      <c r="P36" s="5">
        <v>120000</v>
      </c>
      <c r="Q36" s="5">
        <v>1000000</v>
      </c>
      <c r="R36" s="5">
        <v>0</v>
      </c>
      <c r="S36" s="5">
        <v>0</v>
      </c>
      <c r="T36" s="5">
        <v>1000000</v>
      </c>
      <c r="U36" s="5">
        <v>166400.57023322102</v>
      </c>
      <c r="V36" s="5">
        <v>133000</v>
      </c>
      <c r="W36" s="36">
        <v>30000</v>
      </c>
      <c r="X36" s="5"/>
      <c r="Y36" s="5">
        <f t="shared" si="0"/>
        <v>136400.57023322102</v>
      </c>
      <c r="Z36" s="5">
        <f t="shared" si="1"/>
        <v>3400.5702332210203</v>
      </c>
      <c r="AA36" s="17" t="s">
        <v>87</v>
      </c>
      <c r="AD36" s="11">
        <v>166400.26982663176</v>
      </c>
    </row>
    <row r="37" spans="1:36" x14ac:dyDescent="0.35">
      <c r="A37" s="1" t="s">
        <v>44</v>
      </c>
      <c r="B37" s="1" t="s">
        <v>87</v>
      </c>
      <c r="C37" s="5">
        <v>480000</v>
      </c>
      <c r="D37" s="5">
        <v>80218.625624560562</v>
      </c>
      <c r="E37" s="5">
        <v>109.79976263979916</v>
      </c>
      <c r="F37" s="5">
        <v>0</v>
      </c>
      <c r="G37" s="5">
        <v>94000</v>
      </c>
      <c r="H37" s="5">
        <v>7000</v>
      </c>
      <c r="I37" s="5">
        <v>14000</v>
      </c>
      <c r="J37" s="5">
        <v>35000</v>
      </c>
      <c r="K37" s="5">
        <v>7000</v>
      </c>
      <c r="L37" s="5">
        <v>0</v>
      </c>
      <c r="M37" s="5">
        <v>0</v>
      </c>
      <c r="N37" s="5">
        <v>2000000</v>
      </c>
      <c r="O37" s="5">
        <v>230000</v>
      </c>
      <c r="P37" s="5">
        <v>120000</v>
      </c>
      <c r="Q37" s="5">
        <v>1000000</v>
      </c>
      <c r="R37" s="5">
        <v>0</v>
      </c>
      <c r="S37" s="5">
        <v>0</v>
      </c>
      <c r="T37" s="5">
        <v>1000000</v>
      </c>
      <c r="U37" s="5">
        <v>174328.42538720038</v>
      </c>
      <c r="V37" s="5">
        <v>140000</v>
      </c>
      <c r="W37" s="36">
        <v>30000</v>
      </c>
      <c r="X37" s="5"/>
      <c r="Y37" s="5">
        <f t="shared" si="0"/>
        <v>144328.42538720038</v>
      </c>
      <c r="Z37" s="5">
        <f t="shared" si="1"/>
        <v>4328.4253872003756</v>
      </c>
      <c r="AA37" s="17" t="s">
        <v>98</v>
      </c>
      <c r="AD37" s="11">
        <v>174218.62562456058</v>
      </c>
    </row>
    <row r="38" spans="1:36" x14ac:dyDescent="0.35">
      <c r="A38" s="1" t="s">
        <v>45</v>
      </c>
      <c r="B38" s="1" t="s">
        <v>116</v>
      </c>
      <c r="C38" s="5">
        <v>480000</v>
      </c>
      <c r="D38" s="5">
        <v>82325.064676950074</v>
      </c>
      <c r="E38" s="5">
        <v>15968.295339537319</v>
      </c>
      <c r="F38" s="5">
        <v>0</v>
      </c>
      <c r="G38" s="5">
        <v>84000</v>
      </c>
      <c r="H38" s="5">
        <v>7000</v>
      </c>
      <c r="I38" s="5">
        <v>14000</v>
      </c>
      <c r="J38" s="5">
        <v>35000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182293.36001648739</v>
      </c>
      <c r="V38" s="5">
        <v>3500</v>
      </c>
      <c r="W38" s="36">
        <v>30000</v>
      </c>
      <c r="X38" s="5"/>
      <c r="Y38" s="5">
        <f t="shared" si="0"/>
        <v>152293.36001648739</v>
      </c>
      <c r="Z38" s="5">
        <f t="shared" si="1"/>
        <v>148793.36001648739</v>
      </c>
      <c r="AA38" s="17"/>
      <c r="AD38" s="11">
        <v>166325.06467695007</v>
      </c>
    </row>
    <row r="39" spans="1:36" x14ac:dyDescent="0.35">
      <c r="A39" s="1" t="s">
        <v>46</v>
      </c>
      <c r="B39" s="1" t="s">
        <v>117</v>
      </c>
      <c r="C39" s="5">
        <v>480000</v>
      </c>
      <c r="D39" s="5">
        <v>79309.541006732557</v>
      </c>
      <c r="E39" s="5">
        <v>0.17330693561234511</v>
      </c>
      <c r="F39" s="5">
        <v>0</v>
      </c>
      <c r="G39" s="5">
        <v>54000</v>
      </c>
      <c r="H39" s="5">
        <v>4500</v>
      </c>
      <c r="I39" s="5">
        <v>9000</v>
      </c>
      <c r="J39" s="5">
        <v>22500</v>
      </c>
      <c r="K39" s="5">
        <v>15000</v>
      </c>
      <c r="L39" s="5">
        <v>0</v>
      </c>
      <c r="M39" s="5">
        <v>0</v>
      </c>
      <c r="N39" s="5">
        <v>1000000</v>
      </c>
      <c r="O39" s="5">
        <v>40000</v>
      </c>
      <c r="P39" s="5">
        <v>0</v>
      </c>
      <c r="Q39" s="5">
        <v>1155000</v>
      </c>
      <c r="R39" s="5">
        <v>155000</v>
      </c>
      <c r="S39" s="5">
        <v>0</v>
      </c>
      <c r="T39" s="5">
        <v>0</v>
      </c>
      <c r="U39" s="5">
        <v>133309.71431366817</v>
      </c>
      <c r="V39" s="5">
        <v>103310</v>
      </c>
      <c r="W39" s="36">
        <v>30000</v>
      </c>
      <c r="X39" s="5"/>
      <c r="Y39" s="5">
        <f t="shared" si="0"/>
        <v>103309.71431366817</v>
      </c>
      <c r="Z39" s="5">
        <f t="shared" si="1"/>
        <v>-0.2856863318302203</v>
      </c>
      <c r="AA39" s="17"/>
      <c r="AD39" s="11">
        <v>133309.54100673256</v>
      </c>
    </row>
    <row r="40" spans="1:36" x14ac:dyDescent="0.35">
      <c r="A40" s="1" t="s">
        <v>81</v>
      </c>
      <c r="B40" s="1" t="s">
        <v>118</v>
      </c>
      <c r="C40" s="5">
        <v>0</v>
      </c>
      <c r="D40" s="5">
        <v>3376.913330814542</v>
      </c>
      <c r="E40" s="5">
        <v>0</v>
      </c>
      <c r="F40" s="5">
        <v>0</v>
      </c>
      <c r="G40" s="5">
        <v>104000</v>
      </c>
      <c r="H40" s="5">
        <v>7000</v>
      </c>
      <c r="I40" s="5">
        <v>14000</v>
      </c>
      <c r="J40" s="5">
        <v>35000</v>
      </c>
      <c r="K40" s="5">
        <v>3000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107376.91333081454</v>
      </c>
      <c r="V40" s="5">
        <v>0</v>
      </c>
      <c r="W40" s="36">
        <f>30000+77377</f>
        <v>107377</v>
      </c>
      <c r="X40" s="5"/>
      <c r="Y40" s="5">
        <f t="shared" si="0"/>
        <v>-8.6669185460777953E-2</v>
      </c>
      <c r="Z40" s="5">
        <f t="shared" si="1"/>
        <v>-8.6669185460777953E-2</v>
      </c>
      <c r="AA40" s="17"/>
      <c r="AD40" s="11">
        <v>107376.91333081454</v>
      </c>
    </row>
    <row r="41" spans="1:36" s="14" customFormat="1" x14ac:dyDescent="0.35">
      <c r="A41" s="12" t="s">
        <v>47</v>
      </c>
      <c r="B41" s="12" t="s">
        <v>143</v>
      </c>
      <c r="C41" s="13">
        <v>480000</v>
      </c>
      <c r="D41" s="5">
        <v>80174.992283614876</v>
      </c>
      <c r="E41" s="5">
        <v>2777.4644755606423</v>
      </c>
      <c r="F41" s="13">
        <v>0</v>
      </c>
      <c r="G41" s="5">
        <v>82000</v>
      </c>
      <c r="H41" s="13">
        <v>7000</v>
      </c>
      <c r="I41" s="13">
        <v>14000</v>
      </c>
      <c r="J41" s="13">
        <v>35000</v>
      </c>
      <c r="K41" s="13">
        <v>13000</v>
      </c>
      <c r="L41" s="13">
        <v>0</v>
      </c>
      <c r="M41" s="13">
        <v>0</v>
      </c>
      <c r="N41" s="13">
        <v>1000000</v>
      </c>
      <c r="O41" s="5">
        <v>90000</v>
      </c>
      <c r="P41" s="5">
        <v>0</v>
      </c>
      <c r="Q41" s="13">
        <v>400000</v>
      </c>
      <c r="R41" s="13">
        <v>155000</v>
      </c>
      <c r="S41" s="13">
        <v>0</v>
      </c>
      <c r="T41" s="13">
        <v>755000</v>
      </c>
      <c r="U41" s="13">
        <v>164952.45675917552</v>
      </c>
      <c r="V41" s="13">
        <v>130000</v>
      </c>
      <c r="W41" s="36">
        <v>30000</v>
      </c>
      <c r="X41" s="13"/>
      <c r="Y41" s="5">
        <f t="shared" si="0"/>
        <v>134952.45675917552</v>
      </c>
      <c r="Z41" s="5">
        <f t="shared" si="1"/>
        <v>4952.4567591755185</v>
      </c>
      <c r="AA41" s="35" t="s">
        <v>99</v>
      </c>
      <c r="AB41" s="14" t="s">
        <v>129</v>
      </c>
      <c r="AC41" s="11">
        <v>155000</v>
      </c>
      <c r="AD41" s="11">
        <v>162174.99228361488</v>
      </c>
    </row>
    <row r="42" spans="1:36" x14ac:dyDescent="0.35">
      <c r="A42" s="1" t="s">
        <v>48</v>
      </c>
      <c r="B42" s="1" t="s">
        <v>120</v>
      </c>
      <c r="C42" s="5">
        <v>480000</v>
      </c>
      <c r="D42" s="5">
        <v>79793.71388976372</v>
      </c>
      <c r="E42" s="5">
        <v>0</v>
      </c>
      <c r="F42" s="5">
        <v>0</v>
      </c>
      <c r="G42" s="5">
        <v>84000</v>
      </c>
      <c r="H42" s="5">
        <v>7000</v>
      </c>
      <c r="I42" s="5">
        <v>14000</v>
      </c>
      <c r="J42" s="5">
        <v>35000</v>
      </c>
      <c r="K42" s="5">
        <v>0</v>
      </c>
      <c r="L42" s="5">
        <v>0</v>
      </c>
      <c r="M42" s="5">
        <v>0</v>
      </c>
      <c r="N42" s="5">
        <v>184035</v>
      </c>
      <c r="O42" s="5">
        <v>20243.849999999999</v>
      </c>
      <c r="P42" s="5">
        <v>0</v>
      </c>
      <c r="Q42" s="5">
        <v>184035</v>
      </c>
      <c r="R42" s="5">
        <v>0</v>
      </c>
      <c r="S42" s="5">
        <v>0</v>
      </c>
      <c r="T42" s="5">
        <v>0</v>
      </c>
      <c r="U42" s="5">
        <v>163793.71388976372</v>
      </c>
      <c r="V42" s="5">
        <v>0</v>
      </c>
      <c r="W42" s="36">
        <v>30000</v>
      </c>
      <c r="X42" s="5"/>
      <c r="Y42" s="5">
        <f t="shared" si="0"/>
        <v>133793.71388976372</v>
      </c>
      <c r="Z42" s="5">
        <f t="shared" si="1"/>
        <v>133793.71388976372</v>
      </c>
      <c r="AA42" s="17"/>
      <c r="AD42" s="11">
        <v>163793.71388976372</v>
      </c>
    </row>
    <row r="43" spans="1:36" x14ac:dyDescent="0.35">
      <c r="A43" s="1" t="s">
        <v>49</v>
      </c>
      <c r="B43" s="1" t="s">
        <v>121</v>
      </c>
      <c r="C43" s="5">
        <v>480000</v>
      </c>
      <c r="D43" s="5">
        <v>84611.13302311454</v>
      </c>
      <c r="E43" s="5">
        <v>-0.39887899404857308</v>
      </c>
      <c r="F43" s="5">
        <v>0</v>
      </c>
      <c r="G43" s="5">
        <v>174000</v>
      </c>
      <c r="H43" s="5">
        <v>7000</v>
      </c>
      <c r="I43" s="5">
        <v>14000</v>
      </c>
      <c r="J43" s="5">
        <v>35000</v>
      </c>
      <c r="K43" s="5">
        <v>2000</v>
      </c>
      <c r="L43" s="5">
        <v>0</v>
      </c>
      <c r="M43" s="5">
        <v>0</v>
      </c>
      <c r="N43" s="5">
        <v>1000000</v>
      </c>
      <c r="O43" s="5">
        <v>110000</v>
      </c>
      <c r="P43" s="5">
        <v>60000</v>
      </c>
      <c r="Q43" s="5">
        <v>500000</v>
      </c>
      <c r="R43" s="5">
        <v>0</v>
      </c>
      <c r="S43" s="5">
        <v>0</v>
      </c>
      <c r="T43" s="5">
        <v>500000</v>
      </c>
      <c r="U43" s="5">
        <v>258610.73414412048</v>
      </c>
      <c r="V43" s="5">
        <v>200000</v>
      </c>
      <c r="W43" s="36">
        <v>30000</v>
      </c>
      <c r="X43" s="5"/>
      <c r="Y43" s="5">
        <f t="shared" si="0"/>
        <v>228610.73414412048</v>
      </c>
      <c r="Z43" s="5">
        <f t="shared" si="1"/>
        <v>28610.734144120477</v>
      </c>
      <c r="AA43" s="17"/>
      <c r="AB43" t="s">
        <v>59</v>
      </c>
      <c r="AD43" s="11">
        <v>258611.13302311453</v>
      </c>
    </row>
    <row r="44" spans="1:36" x14ac:dyDescent="0.35">
      <c r="A44" s="1" t="s">
        <v>51</v>
      </c>
      <c r="B44" s="1" t="s">
        <v>122</v>
      </c>
      <c r="C44" s="5">
        <v>480000</v>
      </c>
      <c r="D44" s="5">
        <v>95391.522236883728</v>
      </c>
      <c r="E44" s="5">
        <v>1360.775029899698</v>
      </c>
      <c r="F44" s="5">
        <v>0</v>
      </c>
      <c r="G44" s="5">
        <v>84000</v>
      </c>
      <c r="H44" s="5">
        <v>7000</v>
      </c>
      <c r="I44" s="5">
        <v>14000</v>
      </c>
      <c r="J44" s="5">
        <v>35000</v>
      </c>
      <c r="K44" s="5">
        <v>0</v>
      </c>
      <c r="L44" s="5">
        <v>0</v>
      </c>
      <c r="M44" s="5">
        <v>0</v>
      </c>
      <c r="N44" s="5">
        <v>2000000</v>
      </c>
      <c r="O44" s="5">
        <v>200000</v>
      </c>
      <c r="P44" s="5">
        <v>110000</v>
      </c>
      <c r="Q44" s="5">
        <v>1000000</v>
      </c>
      <c r="R44" s="5">
        <v>0</v>
      </c>
      <c r="S44" s="5">
        <v>0</v>
      </c>
      <c r="T44" s="5">
        <v>1000000</v>
      </c>
      <c r="U44" s="5">
        <v>180752.29726678343</v>
      </c>
      <c r="V44" s="5">
        <v>0</v>
      </c>
      <c r="W44" s="36">
        <v>30000</v>
      </c>
      <c r="X44" s="5"/>
      <c r="Y44" s="5">
        <f t="shared" si="0"/>
        <v>150752.29726678343</v>
      </c>
      <c r="Z44" s="5">
        <f t="shared" si="1"/>
        <v>150752.29726678343</v>
      </c>
      <c r="AA44" s="17" t="s">
        <v>91</v>
      </c>
      <c r="AB44" t="s">
        <v>9</v>
      </c>
      <c r="AD44" s="11">
        <v>179391.52223688373</v>
      </c>
    </row>
    <row r="45" spans="1:36" s="14" customFormat="1" x14ac:dyDescent="0.35">
      <c r="A45" s="12" t="s">
        <v>52</v>
      </c>
      <c r="B45" s="12" t="s">
        <v>123</v>
      </c>
      <c r="C45" s="13">
        <v>480000</v>
      </c>
      <c r="D45" s="5">
        <v>78500.211202080493</v>
      </c>
      <c r="E45" s="5">
        <v>1225.3544029653422</v>
      </c>
      <c r="F45" s="13">
        <v>0</v>
      </c>
      <c r="G45" s="5">
        <v>30000</v>
      </c>
      <c r="H45" s="13">
        <v>2500</v>
      </c>
      <c r="I45" s="13">
        <v>5000</v>
      </c>
      <c r="J45" s="13">
        <v>12500</v>
      </c>
      <c r="K45" s="13">
        <v>4000</v>
      </c>
      <c r="L45" s="13">
        <v>0</v>
      </c>
      <c r="M45" s="13">
        <v>0</v>
      </c>
      <c r="N45" s="13">
        <v>850000</v>
      </c>
      <c r="O45" s="5">
        <v>95000</v>
      </c>
      <c r="P45" s="5">
        <v>0</v>
      </c>
      <c r="Q45" s="13">
        <v>0</v>
      </c>
      <c r="R45" s="13">
        <v>131750</v>
      </c>
      <c r="S45" s="13">
        <v>0</v>
      </c>
      <c r="T45" s="13">
        <v>981750</v>
      </c>
      <c r="U45" s="13">
        <v>109725.56560504583</v>
      </c>
      <c r="V45" s="13">
        <v>109726</v>
      </c>
      <c r="W45" s="36"/>
      <c r="X45" s="13"/>
      <c r="Y45" s="5">
        <f t="shared" si="0"/>
        <v>109725.56560504583</v>
      </c>
      <c r="Z45" s="5">
        <f t="shared" si="1"/>
        <v>-0.43439495416532736</v>
      </c>
      <c r="AA45" s="35" t="s">
        <v>98</v>
      </c>
      <c r="AB45" s="14" t="s">
        <v>129</v>
      </c>
      <c r="AC45" s="14">
        <v>131750</v>
      </c>
      <c r="AD45" s="11">
        <v>108500.21120208049</v>
      </c>
      <c r="AE45" s="11">
        <v>54400</v>
      </c>
      <c r="AH45" s="7">
        <v>-337624.43439495418</v>
      </c>
      <c r="AI45" s="14">
        <v>76650</v>
      </c>
      <c r="AJ45" s="14" t="s">
        <v>171</v>
      </c>
    </row>
    <row r="46" spans="1:36" s="14" customFormat="1" x14ac:dyDescent="0.35">
      <c r="A46" s="12" t="s">
        <v>53</v>
      </c>
      <c r="B46" s="12" t="s">
        <v>124</v>
      </c>
      <c r="C46" s="13">
        <v>30000</v>
      </c>
      <c r="D46" s="5">
        <v>0</v>
      </c>
      <c r="E46" s="5">
        <v>21.303203075842248</v>
      </c>
      <c r="F46" s="13">
        <v>0</v>
      </c>
      <c r="G46" s="5">
        <v>30000</v>
      </c>
      <c r="H46" s="13">
        <v>2500</v>
      </c>
      <c r="I46" s="13">
        <v>5000</v>
      </c>
      <c r="J46" s="13">
        <v>12500</v>
      </c>
      <c r="K46" s="13">
        <v>5500</v>
      </c>
      <c r="L46" s="13">
        <v>0</v>
      </c>
      <c r="M46" s="13">
        <v>0</v>
      </c>
      <c r="N46" s="13">
        <v>0</v>
      </c>
      <c r="O46" s="5">
        <v>0</v>
      </c>
      <c r="P46" s="5">
        <v>0</v>
      </c>
      <c r="Q46" s="13">
        <v>0</v>
      </c>
      <c r="R46" s="13">
        <v>0</v>
      </c>
      <c r="S46" s="13">
        <v>0</v>
      </c>
      <c r="T46" s="13">
        <v>0</v>
      </c>
      <c r="U46" s="13">
        <v>30021.30320307584</v>
      </c>
      <c r="V46" s="13">
        <v>30021</v>
      </c>
      <c r="W46" s="36"/>
      <c r="X46" s="13"/>
      <c r="Y46" s="5">
        <f t="shared" si="0"/>
        <v>30021.30320307584</v>
      </c>
      <c r="Z46" s="5">
        <f t="shared" si="1"/>
        <v>0.30320307584042894</v>
      </c>
      <c r="AA46" s="35"/>
      <c r="AB46" s="14" t="s">
        <v>129</v>
      </c>
      <c r="AD46" s="11">
        <v>30000</v>
      </c>
      <c r="AE46" s="11">
        <v>100000</v>
      </c>
      <c r="AH46" s="7">
        <v>-51453.696796924167</v>
      </c>
    </row>
    <row r="47" spans="1:36" s="14" customFormat="1" x14ac:dyDescent="0.35">
      <c r="A47" s="12" t="s">
        <v>54</v>
      </c>
      <c r="B47" s="12" t="s">
        <v>125</v>
      </c>
      <c r="C47" s="13">
        <v>480000</v>
      </c>
      <c r="D47" s="5">
        <v>77674.987774544497</v>
      </c>
      <c r="E47" s="5">
        <v>0.15040472695545759</v>
      </c>
      <c r="F47" s="13">
        <v>0</v>
      </c>
      <c r="G47" s="5">
        <v>22000</v>
      </c>
      <c r="H47" s="13">
        <v>2000</v>
      </c>
      <c r="I47" s="13">
        <v>4000</v>
      </c>
      <c r="J47" s="13">
        <v>10000</v>
      </c>
      <c r="K47" s="13">
        <v>11000</v>
      </c>
      <c r="L47" s="13">
        <v>0</v>
      </c>
      <c r="M47" s="13">
        <v>0</v>
      </c>
      <c r="N47" s="13">
        <v>2000000</v>
      </c>
      <c r="O47" s="5">
        <v>30000</v>
      </c>
      <c r="P47" s="5">
        <v>0</v>
      </c>
      <c r="Q47" s="13">
        <v>1000000</v>
      </c>
      <c r="R47" s="13">
        <v>155000</v>
      </c>
      <c r="S47" s="13">
        <v>0</v>
      </c>
      <c r="T47" s="13">
        <v>1155000</v>
      </c>
      <c r="U47" s="13">
        <v>99675.138179271453</v>
      </c>
      <c r="V47" s="13">
        <v>69675</v>
      </c>
      <c r="W47" s="36">
        <v>30000</v>
      </c>
      <c r="X47" s="13"/>
      <c r="Y47" s="5">
        <f t="shared" si="0"/>
        <v>69675.138179271453</v>
      </c>
      <c r="Z47" s="5">
        <f t="shared" si="1"/>
        <v>0.13817927145282738</v>
      </c>
      <c r="AA47" s="35" t="s">
        <v>91</v>
      </c>
      <c r="AB47" s="14" t="s">
        <v>129</v>
      </c>
      <c r="AD47" s="11">
        <v>99674.987774544497</v>
      </c>
      <c r="AE47" s="11">
        <v>-7500</v>
      </c>
      <c r="AF47" s="11">
        <v>16000</v>
      </c>
      <c r="AG47" s="11">
        <v>416500</v>
      </c>
      <c r="AH47" s="7">
        <v>-150324.86182072852</v>
      </c>
      <c r="AI47" s="14">
        <v>150325</v>
      </c>
    </row>
    <row r="48" spans="1:36" x14ac:dyDescent="0.35">
      <c r="A48" s="1" t="s">
        <v>55</v>
      </c>
      <c r="B48" s="1" t="s">
        <v>126</v>
      </c>
      <c r="C48" s="5">
        <v>480000</v>
      </c>
      <c r="D48" s="5">
        <v>149658.23869144428</v>
      </c>
      <c r="E48" s="5">
        <v>440720.17653060926</v>
      </c>
      <c r="F48" s="5">
        <v>0</v>
      </c>
      <c r="G48" s="5">
        <v>84000</v>
      </c>
      <c r="H48" s="5">
        <v>7000</v>
      </c>
      <c r="I48" s="5">
        <v>14000</v>
      </c>
      <c r="J48" s="5">
        <v>35000</v>
      </c>
      <c r="K48" s="5">
        <v>17000</v>
      </c>
      <c r="L48" s="5">
        <v>0</v>
      </c>
      <c r="M48" s="5">
        <v>0</v>
      </c>
      <c r="N48" s="5">
        <v>2700000</v>
      </c>
      <c r="O48" s="5">
        <v>151500</v>
      </c>
      <c r="P48" s="5">
        <v>35000</v>
      </c>
      <c r="Q48" s="5">
        <v>2037500</v>
      </c>
      <c r="R48" s="5">
        <v>37500</v>
      </c>
      <c r="S48" s="5">
        <v>0</v>
      </c>
      <c r="T48" s="5">
        <v>700000</v>
      </c>
      <c r="U48" s="5">
        <v>674378.41522205353</v>
      </c>
      <c r="V48" s="5">
        <v>0</v>
      </c>
      <c r="W48" s="36">
        <v>30000</v>
      </c>
      <c r="X48" s="5"/>
      <c r="Y48" s="5">
        <f t="shared" si="0"/>
        <v>644378.41522205353</v>
      </c>
      <c r="Z48" s="5">
        <f t="shared" si="1"/>
        <v>644378.41522205353</v>
      </c>
      <c r="AA48" s="17" t="s">
        <v>100</v>
      </c>
      <c r="AD48" s="11">
        <v>233658.23869144428</v>
      </c>
    </row>
    <row r="49" spans="1:30" x14ac:dyDescent="0.35">
      <c r="A49" s="1" t="s">
        <v>56</v>
      </c>
      <c r="B49" s="1" t="s">
        <v>127</v>
      </c>
      <c r="C49" s="5">
        <v>480000</v>
      </c>
      <c r="D49" s="5">
        <v>317201.9797878497</v>
      </c>
      <c r="E49" s="5">
        <v>1198154.6510912008</v>
      </c>
      <c r="F49" s="5">
        <v>0</v>
      </c>
      <c r="G49" s="5">
        <v>1024000</v>
      </c>
      <c r="H49" s="5">
        <v>7000</v>
      </c>
      <c r="I49" s="5">
        <v>14000</v>
      </c>
      <c r="J49" s="5">
        <v>35000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2539356.6308790506</v>
      </c>
      <c r="V49" s="5">
        <v>0</v>
      </c>
      <c r="W49" s="36">
        <v>30000</v>
      </c>
      <c r="X49" s="5"/>
      <c r="Y49" s="5">
        <f t="shared" si="0"/>
        <v>2509356.6308790506</v>
      </c>
      <c r="Z49" s="5">
        <f t="shared" si="1"/>
        <v>2509356.6308790506</v>
      </c>
      <c r="AA49" s="17"/>
      <c r="AD49" s="11">
        <v>1341201.9797878498</v>
      </c>
    </row>
    <row r="50" spans="1:30" x14ac:dyDescent="0.35">
      <c r="A50" s="1" t="s">
        <v>172</v>
      </c>
      <c r="B50" s="1"/>
      <c r="C50" s="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30" x14ac:dyDescent="0.35">
      <c r="A51" s="1"/>
      <c r="B51" s="1"/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30" x14ac:dyDescent="0.35">
      <c r="A52" s="1"/>
      <c r="B52" s="1"/>
      <c r="C52" s="1"/>
      <c r="D52" s="5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30" ht="17.5" x14ac:dyDescent="0.35">
      <c r="A53" s="1"/>
      <c r="B53" s="1"/>
      <c r="C53" s="1"/>
      <c r="D53" s="5"/>
      <c r="E53" s="9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5"/>
      <c r="S53" s="5"/>
    </row>
    <row r="54" spans="1:30" ht="17.5" x14ac:dyDescent="0.35">
      <c r="A54" s="1" t="s">
        <v>57</v>
      </c>
      <c r="B54" s="1"/>
      <c r="C54" s="9">
        <f>SUM(C6:C53)</f>
        <v>17782722.011083744</v>
      </c>
      <c r="D54" s="9">
        <f>SUM(D6:D53)</f>
        <v>3692643.8500000006</v>
      </c>
      <c r="E54" s="9">
        <f t="shared" ref="E54:Z54" si="2">SUM(E6:E49)</f>
        <v>4844130.5976969898</v>
      </c>
      <c r="F54" s="9">
        <f t="shared" si="2"/>
        <v>0</v>
      </c>
      <c r="G54" s="9">
        <f t="shared" si="2"/>
        <v>5614000</v>
      </c>
      <c r="H54" s="9">
        <f t="shared" si="2"/>
        <v>249500</v>
      </c>
      <c r="I54" s="9">
        <f t="shared" si="2"/>
        <v>499000</v>
      </c>
      <c r="J54" s="9">
        <f t="shared" si="2"/>
        <v>1247500</v>
      </c>
      <c r="K54" s="9">
        <f t="shared" si="2"/>
        <v>235500</v>
      </c>
      <c r="L54" s="9">
        <f t="shared" si="2"/>
        <v>0</v>
      </c>
      <c r="M54" s="9">
        <f t="shared" si="2"/>
        <v>0</v>
      </c>
      <c r="N54" s="9">
        <f t="shared" si="2"/>
        <v>46120035</v>
      </c>
      <c r="O54" s="9">
        <f t="shared" si="2"/>
        <v>3690143.85</v>
      </c>
      <c r="P54" s="9">
        <f t="shared" si="2"/>
        <v>1152300</v>
      </c>
      <c r="Q54" s="9">
        <f t="shared" si="2"/>
        <v>27308395</v>
      </c>
      <c r="R54" s="9">
        <f t="shared" si="2"/>
        <v>1475110</v>
      </c>
      <c r="S54" s="9">
        <f t="shared" si="2"/>
        <v>0</v>
      </c>
      <c r="T54" s="9">
        <f t="shared" si="2"/>
        <v>20286750</v>
      </c>
      <c r="U54" s="9">
        <f t="shared" si="2"/>
        <v>14150774.447696989</v>
      </c>
      <c r="V54" s="9">
        <f t="shared" si="2"/>
        <v>3581923</v>
      </c>
      <c r="W54" s="9">
        <f t="shared" si="2"/>
        <v>1265783</v>
      </c>
      <c r="X54" s="9"/>
      <c r="Y54" s="9">
        <f t="shared" si="2"/>
        <v>12884991.447696989</v>
      </c>
      <c r="Z54" s="9">
        <f t="shared" si="2"/>
        <v>9229775.4476969913</v>
      </c>
    </row>
    <row r="56" spans="1:30" ht="17.5" x14ac:dyDescent="0.35">
      <c r="K56" s="11"/>
      <c r="U56" s="9">
        <f>E54+G54+O54</f>
        <v>14148274.447696989</v>
      </c>
      <c r="V56" s="9"/>
      <c r="W56" s="9"/>
      <c r="X56" s="9"/>
      <c r="Y56" s="9"/>
      <c r="Z56" s="9"/>
    </row>
    <row r="57" spans="1:30" ht="17.5" x14ac:dyDescent="0.35">
      <c r="F57" s="9"/>
    </row>
    <row r="58" spans="1:30" ht="17.5" x14ac:dyDescent="0.35">
      <c r="F58" s="9"/>
      <c r="U58" s="9">
        <f>U56-U54</f>
        <v>-2500</v>
      </c>
      <c r="V58" s="9"/>
      <c r="W58" s="9"/>
      <c r="X58" s="9"/>
      <c r="Y58" s="9"/>
      <c r="Z58" s="9"/>
    </row>
    <row r="59" spans="1:30" ht="17.5" x14ac:dyDescent="0.35">
      <c r="F59" s="9"/>
    </row>
    <row r="60" spans="1:30" ht="17.5" x14ac:dyDescent="0.35">
      <c r="F60" s="9"/>
    </row>
    <row r="61" spans="1:30" ht="17.5" x14ac:dyDescent="0.35">
      <c r="F61" s="9"/>
    </row>
    <row r="62" spans="1:30" ht="17.5" x14ac:dyDescent="0.35">
      <c r="F62" s="9"/>
    </row>
    <row r="63" spans="1:30" ht="17.5" x14ac:dyDescent="0.35">
      <c r="F63" s="9"/>
    </row>
    <row r="64" spans="1:30" ht="17.5" x14ac:dyDescent="0.35">
      <c r="F64" s="9"/>
    </row>
    <row r="65" spans="6:6" ht="17.5" x14ac:dyDescent="0.35">
      <c r="F65" s="9"/>
    </row>
    <row r="66" spans="6:6" ht="17.5" x14ac:dyDescent="0.35">
      <c r="F66" s="9"/>
    </row>
    <row r="67" spans="6:6" ht="17.5" x14ac:dyDescent="0.35">
      <c r="F67" s="9"/>
    </row>
    <row r="69" spans="6:6" ht="17.5" x14ac:dyDescent="0.35">
      <c r="F69" s="9"/>
    </row>
    <row r="70" spans="6:6" ht="17.5" x14ac:dyDescent="0.35">
      <c r="F70" s="9"/>
    </row>
    <row r="71" spans="6:6" ht="17.5" x14ac:dyDescent="0.35">
      <c r="F71" s="9"/>
    </row>
    <row r="72" spans="6:6" ht="17.5" x14ac:dyDescent="0.35">
      <c r="F72" s="9"/>
    </row>
    <row r="73" spans="6:6" ht="17.5" x14ac:dyDescent="0.35">
      <c r="F73" s="9"/>
    </row>
  </sheetData>
  <autoFilter ref="A5:Q49" xr:uid="{00000000-0009-0000-0000-00001F000000}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I45"/>
  <sheetViews>
    <sheetView topLeftCell="A13" workbookViewId="0">
      <selection activeCell="E26" sqref="E26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9" x14ac:dyDescent="0.35">
      <c r="B2" t="s">
        <v>230</v>
      </c>
    </row>
    <row r="4" spans="1:9" x14ac:dyDescent="0.35">
      <c r="A4" t="s">
        <v>161</v>
      </c>
      <c r="B4" t="s">
        <v>159</v>
      </c>
      <c r="C4" t="s">
        <v>160</v>
      </c>
    </row>
    <row r="5" spans="1:9" x14ac:dyDescent="0.35">
      <c r="C5" s="6"/>
      <c r="G5" s="11">
        <v>-7500</v>
      </c>
      <c r="H5" s="11">
        <v>16000</v>
      </c>
      <c r="I5" s="11">
        <v>416500</v>
      </c>
    </row>
    <row r="6" spans="1:9" x14ac:dyDescent="0.35">
      <c r="B6" s="6">
        <f>554500+1155000-42500</f>
        <v>1667000</v>
      </c>
      <c r="C6" s="6"/>
    </row>
    <row r="7" spans="1:9" x14ac:dyDescent="0.35">
      <c r="A7" s="62" t="s">
        <v>229</v>
      </c>
      <c r="B7" s="6"/>
      <c r="C7" s="6">
        <v>30000</v>
      </c>
    </row>
    <row r="8" spans="1:9" x14ac:dyDescent="0.35">
      <c r="A8" s="58" t="s">
        <v>198</v>
      </c>
      <c r="B8" s="6"/>
      <c r="C8" s="6">
        <v>30000</v>
      </c>
    </row>
    <row r="9" spans="1:9" x14ac:dyDescent="0.35">
      <c r="A9" s="58" t="s">
        <v>200</v>
      </c>
      <c r="B9" s="6"/>
      <c r="C9" s="6">
        <v>30000</v>
      </c>
    </row>
    <row r="10" spans="1:9" x14ac:dyDescent="0.35">
      <c r="A10" t="s">
        <v>201</v>
      </c>
      <c r="B10" s="6"/>
      <c r="C10" s="6">
        <v>30000</v>
      </c>
      <c r="G10" s="2"/>
    </row>
    <row r="11" spans="1:9" x14ac:dyDescent="0.35">
      <c r="A11" t="s">
        <v>202</v>
      </c>
      <c r="B11" s="6"/>
      <c r="C11" s="6">
        <v>30000</v>
      </c>
    </row>
    <row r="12" spans="1:9" x14ac:dyDescent="0.35">
      <c r="A12" t="s">
        <v>239</v>
      </c>
      <c r="B12" s="6"/>
      <c r="C12" s="6"/>
    </row>
    <row r="13" spans="1:9" x14ac:dyDescent="0.35">
      <c r="A13" t="s">
        <v>241</v>
      </c>
      <c r="B13" s="6"/>
      <c r="C13" s="6">
        <v>30000</v>
      </c>
    </row>
    <row r="14" spans="1:9" x14ac:dyDescent="0.35">
      <c r="A14" t="s">
        <v>243</v>
      </c>
      <c r="B14" s="6"/>
      <c r="C14" s="6">
        <v>120000</v>
      </c>
      <c r="D14" t="s">
        <v>246</v>
      </c>
    </row>
    <row r="15" spans="1:9" x14ac:dyDescent="0.35">
      <c r="A15" t="s">
        <v>245</v>
      </c>
      <c r="B15" s="6"/>
      <c r="C15" s="6">
        <v>60000</v>
      </c>
    </row>
    <row r="16" spans="1:9" x14ac:dyDescent="0.35">
      <c r="A16" t="s">
        <v>250</v>
      </c>
      <c r="B16" s="6"/>
      <c r="C16" s="6">
        <v>30000</v>
      </c>
    </row>
    <row r="17" spans="1:4" x14ac:dyDescent="0.35">
      <c r="A17" s="62">
        <v>44562</v>
      </c>
      <c r="B17" s="6"/>
      <c r="C17" s="6">
        <v>30000</v>
      </c>
    </row>
    <row r="18" spans="1:4" x14ac:dyDescent="0.35">
      <c r="A18" s="62">
        <v>44593</v>
      </c>
      <c r="B18" s="6"/>
      <c r="C18" s="6">
        <v>30000</v>
      </c>
    </row>
    <row r="19" spans="1:4" x14ac:dyDescent="0.35">
      <c r="A19" s="62">
        <v>44621</v>
      </c>
      <c r="B19" s="6"/>
      <c r="C19" s="6">
        <v>30000</v>
      </c>
    </row>
    <row r="20" spans="1:4" x14ac:dyDescent="0.35">
      <c r="A20" s="62">
        <v>44652</v>
      </c>
      <c r="B20" s="6"/>
      <c r="C20" s="6">
        <v>30000</v>
      </c>
    </row>
    <row r="21" spans="1:4" x14ac:dyDescent="0.35">
      <c r="A21" s="62">
        <v>44682</v>
      </c>
      <c r="B21" s="6"/>
      <c r="C21" s="6">
        <v>30000</v>
      </c>
    </row>
    <row r="22" spans="1:4" x14ac:dyDescent="0.35">
      <c r="A22" s="62">
        <v>44713</v>
      </c>
      <c r="B22" s="6"/>
      <c r="C22" s="6">
        <v>30000</v>
      </c>
    </row>
    <row r="23" spans="1:4" x14ac:dyDescent="0.35">
      <c r="A23" s="62">
        <v>44743</v>
      </c>
      <c r="B23" s="6"/>
      <c r="C23" s="6">
        <v>30000</v>
      </c>
    </row>
    <row r="24" spans="1:4" x14ac:dyDescent="0.35">
      <c r="A24" s="62">
        <v>45004</v>
      </c>
      <c r="B24" s="6" t="s">
        <v>68</v>
      </c>
      <c r="C24" s="6">
        <v>537217</v>
      </c>
    </row>
    <row r="25" spans="1:4" x14ac:dyDescent="0.35">
      <c r="A25" s="62"/>
      <c r="B25" s="6"/>
      <c r="C25" s="6"/>
    </row>
    <row r="27" spans="1:4" x14ac:dyDescent="0.35">
      <c r="B27" s="6"/>
      <c r="C27" s="6"/>
    </row>
    <row r="28" spans="1:4" ht="21" x14ac:dyDescent="0.5">
      <c r="A28" t="s">
        <v>57</v>
      </c>
      <c r="B28" s="6"/>
      <c r="C28" s="103">
        <f>SUM(C7:C27)</f>
        <v>1137217</v>
      </c>
      <c r="D28" s="100">
        <f>+B6-C28</f>
        <v>529783</v>
      </c>
    </row>
    <row r="29" spans="1:4" x14ac:dyDescent="0.35">
      <c r="B29" s="6"/>
      <c r="C29" s="6"/>
    </row>
    <row r="30" spans="1:4" x14ac:dyDescent="0.35">
      <c r="B30" s="6"/>
      <c r="C30" s="6"/>
    </row>
    <row r="31" spans="1:4" x14ac:dyDescent="0.35">
      <c r="B31" s="6"/>
      <c r="C31" s="6"/>
    </row>
    <row r="32" spans="1:4" x14ac:dyDescent="0.35">
      <c r="B32" s="6"/>
      <c r="C32" s="6"/>
    </row>
    <row r="33" spans="2:3" x14ac:dyDescent="0.35">
      <c r="B33" s="6"/>
      <c r="C33" s="6"/>
    </row>
    <row r="34" spans="2:3" x14ac:dyDescent="0.35">
      <c r="B34" s="6"/>
      <c r="C34" s="6"/>
    </row>
    <row r="35" spans="2:3" x14ac:dyDescent="0.35">
      <c r="B35" s="6"/>
      <c r="C35" s="6"/>
    </row>
    <row r="36" spans="2:3" x14ac:dyDescent="0.35">
      <c r="B36" s="6"/>
      <c r="C36" s="6"/>
    </row>
    <row r="37" spans="2:3" x14ac:dyDescent="0.35">
      <c r="B37" s="6"/>
      <c r="C37" s="6"/>
    </row>
    <row r="38" spans="2:3" x14ac:dyDescent="0.35">
      <c r="C38" s="6"/>
    </row>
    <row r="39" spans="2:3" x14ac:dyDescent="0.35">
      <c r="C39" s="6"/>
    </row>
    <row r="40" spans="2:3" x14ac:dyDescent="0.35">
      <c r="C40" s="6"/>
    </row>
    <row r="41" spans="2:3" x14ac:dyDescent="0.35">
      <c r="C41" s="6"/>
    </row>
    <row r="42" spans="2:3" x14ac:dyDescent="0.35">
      <c r="C42" s="6"/>
    </row>
    <row r="43" spans="2:3" x14ac:dyDescent="0.35">
      <c r="C43" s="6"/>
    </row>
    <row r="44" spans="2:3" x14ac:dyDescent="0.35">
      <c r="C44" s="6"/>
    </row>
    <row r="45" spans="2:3" x14ac:dyDescent="0.35">
      <c r="C45" s="6"/>
    </row>
  </sheetData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H37"/>
  <sheetViews>
    <sheetView workbookViewId="0">
      <selection activeCell="C14" sqref="C14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  <col min="4" max="4" width="13.7265625" bestFit="1" customWidth="1"/>
  </cols>
  <sheetData>
    <row r="2" spans="1:8" x14ac:dyDescent="0.35">
      <c r="B2" t="s">
        <v>237</v>
      </c>
    </row>
    <row r="4" spans="1:8" x14ac:dyDescent="0.35">
      <c r="A4" t="s">
        <v>161</v>
      </c>
      <c r="B4" t="s">
        <v>159</v>
      </c>
      <c r="C4" t="s">
        <v>160</v>
      </c>
    </row>
    <row r="6" spans="1:8" x14ac:dyDescent="0.35">
      <c r="A6" t="s">
        <v>160</v>
      </c>
      <c r="B6" s="6">
        <f>1000000+40000+536000-23000+26000-26000</f>
        <v>1553000</v>
      </c>
      <c r="H6" s="2">
        <f>B6-1553000</f>
        <v>0</v>
      </c>
    </row>
    <row r="7" spans="1:8" x14ac:dyDescent="0.35">
      <c r="B7" s="6"/>
      <c r="C7" s="6"/>
    </row>
    <row r="8" spans="1:8" x14ac:dyDescent="0.35">
      <c r="A8" s="62"/>
      <c r="B8" s="6"/>
      <c r="C8" s="6"/>
    </row>
    <row r="9" spans="1:8" x14ac:dyDescent="0.35">
      <c r="A9" s="58"/>
      <c r="B9" s="6"/>
      <c r="C9" s="6"/>
    </row>
    <row r="10" spans="1:8" x14ac:dyDescent="0.35">
      <c r="A10" s="58"/>
      <c r="B10" s="6"/>
      <c r="C10" s="6"/>
    </row>
    <row r="11" spans="1:8" x14ac:dyDescent="0.35">
      <c r="A11" s="58">
        <v>44460</v>
      </c>
      <c r="C11" s="6">
        <v>100000</v>
      </c>
      <c r="D11" t="s">
        <v>244</v>
      </c>
      <c r="G11" s="2"/>
    </row>
    <row r="12" spans="1:8" x14ac:dyDescent="0.35">
      <c r="A12" s="58">
        <v>45123</v>
      </c>
      <c r="C12" s="6">
        <v>1000000</v>
      </c>
      <c r="G12" s="2"/>
    </row>
    <row r="13" spans="1:8" x14ac:dyDescent="0.35">
      <c r="B13" s="6"/>
      <c r="C13" s="6">
        <v>606468</v>
      </c>
      <c r="D13" t="s">
        <v>323</v>
      </c>
    </row>
    <row r="14" spans="1:8" ht="21" x14ac:dyDescent="0.5">
      <c r="A14" t="s">
        <v>57</v>
      </c>
      <c r="B14" s="6"/>
      <c r="C14" s="6">
        <f>SUM(C7:C13)</f>
        <v>1706468</v>
      </c>
      <c r="D14" s="100">
        <f>B6-C14</f>
        <v>-153468</v>
      </c>
    </row>
    <row r="15" spans="1:8" x14ac:dyDescent="0.35">
      <c r="B15" s="6"/>
      <c r="C15" s="6"/>
    </row>
    <row r="16" spans="1:8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B28" s="6"/>
      <c r="C28" s="6"/>
    </row>
    <row r="29" spans="2:3" x14ac:dyDescent="0.35">
      <c r="B29" s="6"/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  <row r="37" spans="3:3" x14ac:dyDescent="0.35">
      <c r="C37" s="6"/>
    </row>
  </sheetData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G36"/>
  <sheetViews>
    <sheetView workbookViewId="0">
      <selection activeCell="D11" sqref="D11"/>
    </sheetView>
  </sheetViews>
  <sheetFormatPr baseColWidth="10" defaultRowHeight="14.5" x14ac:dyDescent="0.35"/>
  <cols>
    <col min="2" max="2" width="16.1796875" bestFit="1" customWidth="1"/>
    <col min="3" max="3" width="17.1796875" bestFit="1" customWidth="1"/>
  </cols>
  <sheetData>
    <row r="2" spans="1:7" x14ac:dyDescent="0.35">
      <c r="B2" t="s">
        <v>238</v>
      </c>
    </row>
    <row r="4" spans="1:7" x14ac:dyDescent="0.35">
      <c r="A4" t="s">
        <v>161</v>
      </c>
      <c r="B4" t="s">
        <v>159</v>
      </c>
      <c r="C4" t="s">
        <v>160</v>
      </c>
    </row>
    <row r="6" spans="1:7" x14ac:dyDescent="0.35">
      <c r="A6" t="s">
        <v>257</v>
      </c>
      <c r="B6" s="6">
        <f>1000000+80000+98500-46000</f>
        <v>1132500</v>
      </c>
      <c r="D6" t="s">
        <v>249</v>
      </c>
    </row>
    <row r="7" spans="1:7" x14ac:dyDescent="0.35">
      <c r="B7" s="6"/>
      <c r="C7" s="6"/>
    </row>
    <row r="8" spans="1:7" x14ac:dyDescent="0.35">
      <c r="A8" s="62"/>
      <c r="B8" s="6" t="s">
        <v>68</v>
      </c>
      <c r="C8" s="6">
        <v>540421</v>
      </c>
    </row>
    <row r="9" spans="1:7" x14ac:dyDescent="0.35">
      <c r="A9" s="58"/>
      <c r="B9" s="6"/>
      <c r="C9" s="6"/>
    </row>
    <row r="10" spans="1:7" x14ac:dyDescent="0.35">
      <c r="A10" s="58"/>
      <c r="B10" s="6"/>
      <c r="C10" s="6">
        <f>B6-C8</f>
        <v>592079</v>
      </c>
    </row>
    <row r="11" spans="1:7" x14ac:dyDescent="0.35">
      <c r="B11" s="6"/>
      <c r="C11" s="6"/>
      <c r="G11" s="2"/>
    </row>
    <row r="12" spans="1:7" x14ac:dyDescent="0.35">
      <c r="B12" s="6"/>
      <c r="C12" s="6"/>
    </row>
    <row r="13" spans="1:7" x14ac:dyDescent="0.35">
      <c r="B13" s="6"/>
      <c r="C13" s="6"/>
    </row>
    <row r="14" spans="1:7" x14ac:dyDescent="0.35">
      <c r="B14" s="6"/>
      <c r="C14" s="6"/>
    </row>
    <row r="15" spans="1:7" x14ac:dyDescent="0.35">
      <c r="B15" s="6"/>
      <c r="C15" s="6"/>
    </row>
    <row r="16" spans="1:7" x14ac:dyDescent="0.35">
      <c r="B16" s="6"/>
      <c r="C16" s="6"/>
    </row>
    <row r="17" spans="2:3" x14ac:dyDescent="0.35">
      <c r="B17" s="6"/>
      <c r="C17" s="6"/>
    </row>
    <row r="18" spans="2:3" x14ac:dyDescent="0.35">
      <c r="B18" s="6"/>
      <c r="C18" s="6"/>
    </row>
    <row r="19" spans="2:3" x14ac:dyDescent="0.35">
      <c r="B19" s="6"/>
      <c r="C19" s="6"/>
    </row>
    <row r="20" spans="2:3" x14ac:dyDescent="0.35">
      <c r="B20" s="6"/>
      <c r="C20" s="6"/>
    </row>
    <row r="21" spans="2:3" x14ac:dyDescent="0.35">
      <c r="B21" s="6"/>
      <c r="C21" s="6"/>
    </row>
    <row r="22" spans="2:3" x14ac:dyDescent="0.35">
      <c r="B22" s="6"/>
      <c r="C22" s="6"/>
    </row>
    <row r="23" spans="2:3" x14ac:dyDescent="0.35">
      <c r="B23" s="6"/>
      <c r="C23" s="6"/>
    </row>
    <row r="24" spans="2:3" x14ac:dyDescent="0.35">
      <c r="B24" s="6"/>
      <c r="C24" s="6"/>
    </row>
    <row r="25" spans="2:3" x14ac:dyDescent="0.35">
      <c r="B25" s="6"/>
      <c r="C25" s="6"/>
    </row>
    <row r="26" spans="2:3" x14ac:dyDescent="0.35">
      <c r="B26" s="6"/>
      <c r="C26" s="6"/>
    </row>
    <row r="27" spans="2:3" x14ac:dyDescent="0.35">
      <c r="B27" s="6"/>
      <c r="C27" s="6"/>
    </row>
    <row r="28" spans="2:3" x14ac:dyDescent="0.35">
      <c r="B28" s="6"/>
      <c r="C28" s="6"/>
    </row>
    <row r="29" spans="2:3" x14ac:dyDescent="0.35">
      <c r="C29" s="6"/>
    </row>
    <row r="30" spans="2:3" x14ac:dyDescent="0.35">
      <c r="C30" s="6"/>
    </row>
    <row r="31" spans="2:3" x14ac:dyDescent="0.35">
      <c r="C31" s="6"/>
    </row>
    <row r="32" spans="2:3" x14ac:dyDescent="0.35">
      <c r="C32" s="6"/>
    </row>
    <row r="33" spans="3:3" x14ac:dyDescent="0.35">
      <c r="C33" s="6"/>
    </row>
    <row r="34" spans="3:3" x14ac:dyDescent="0.35">
      <c r="C34" s="6"/>
    </row>
    <row r="35" spans="3:3" x14ac:dyDescent="0.35">
      <c r="C35" s="6"/>
    </row>
    <row r="36" spans="3:3" x14ac:dyDescent="0.35">
      <c r="C36" s="6"/>
    </row>
  </sheetData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G19"/>
  <sheetViews>
    <sheetView workbookViewId="0">
      <selection activeCell="K9" sqref="K9"/>
    </sheetView>
  </sheetViews>
  <sheetFormatPr baseColWidth="10" defaultRowHeight="14.5" x14ac:dyDescent="0.35"/>
  <cols>
    <col min="3" max="3" width="29.54296875" bestFit="1" customWidth="1"/>
    <col min="4" max="4" width="15.81640625" bestFit="1" customWidth="1"/>
    <col min="5" max="5" width="12.453125" bestFit="1" customWidth="1"/>
    <col min="7" max="7" width="18.81640625" bestFit="1" customWidth="1"/>
  </cols>
  <sheetData>
    <row r="2" spans="1:7" ht="19" thickBot="1" x14ac:dyDescent="0.5">
      <c r="A2" s="84" t="s">
        <v>217</v>
      </c>
    </row>
    <row r="3" spans="1:7" ht="15" thickTop="1" x14ac:dyDescent="0.35">
      <c r="A3" s="85"/>
      <c r="B3" s="86"/>
      <c r="C3" s="86"/>
      <c r="D3" s="86"/>
      <c r="E3" s="86"/>
      <c r="F3" s="86"/>
      <c r="G3" s="87"/>
    </row>
    <row r="4" spans="1:7" x14ac:dyDescent="0.35">
      <c r="A4" s="78"/>
      <c r="B4" s="50" t="s">
        <v>218</v>
      </c>
      <c r="C4" s="50"/>
      <c r="D4" s="50" t="s">
        <v>219</v>
      </c>
      <c r="E4" s="50" t="s">
        <v>220</v>
      </c>
      <c r="F4" s="50"/>
      <c r="G4" s="51" t="s">
        <v>219</v>
      </c>
    </row>
    <row r="5" spans="1:7" x14ac:dyDescent="0.35">
      <c r="A5" s="78"/>
      <c r="B5" s="50"/>
      <c r="C5" s="50" t="s">
        <v>221</v>
      </c>
      <c r="D5" s="67">
        <v>510000</v>
      </c>
      <c r="E5" s="50"/>
      <c r="F5" s="50" t="s">
        <v>222</v>
      </c>
      <c r="G5" s="88">
        <v>1000000</v>
      </c>
    </row>
    <row r="6" spans="1:7" x14ac:dyDescent="0.35">
      <c r="A6" s="78"/>
      <c r="B6" s="50"/>
      <c r="C6" s="50" t="s">
        <v>9</v>
      </c>
      <c r="D6" s="67">
        <v>130661</v>
      </c>
      <c r="E6" s="50"/>
      <c r="F6" s="50" t="s">
        <v>9</v>
      </c>
      <c r="G6" s="88">
        <v>80000</v>
      </c>
    </row>
    <row r="7" spans="1:7" x14ac:dyDescent="0.35">
      <c r="A7" s="78"/>
      <c r="B7" s="50"/>
      <c r="C7" s="50" t="s">
        <v>131</v>
      </c>
      <c r="D7" s="67">
        <v>60000</v>
      </c>
      <c r="E7" s="50"/>
      <c r="F7" s="50" t="s">
        <v>131</v>
      </c>
      <c r="G7" s="88">
        <v>300000</v>
      </c>
    </row>
    <row r="8" spans="1:7" x14ac:dyDescent="0.35">
      <c r="A8" s="78"/>
      <c r="B8" s="50"/>
      <c r="C8" s="50" t="s">
        <v>223</v>
      </c>
      <c r="D8" s="67">
        <v>900000</v>
      </c>
      <c r="E8" s="50"/>
      <c r="F8" s="50" t="s">
        <v>223</v>
      </c>
      <c r="G8" s="88">
        <v>1000000</v>
      </c>
    </row>
    <row r="9" spans="1:7" x14ac:dyDescent="0.35">
      <c r="A9" s="78"/>
      <c r="B9" s="50"/>
      <c r="C9" s="50" t="s">
        <v>224</v>
      </c>
      <c r="D9" s="67">
        <v>15000</v>
      </c>
      <c r="E9" s="50"/>
      <c r="F9" s="50"/>
      <c r="G9" s="51"/>
    </row>
    <row r="10" spans="1:7" x14ac:dyDescent="0.35">
      <c r="A10" s="78"/>
      <c r="B10" s="50"/>
      <c r="C10" s="50" t="s">
        <v>225</v>
      </c>
      <c r="D10" s="67">
        <v>260000</v>
      </c>
      <c r="E10" s="50"/>
      <c r="F10" s="50"/>
      <c r="G10" s="51"/>
    </row>
    <row r="11" spans="1:7" x14ac:dyDescent="0.35">
      <c r="A11" s="78"/>
      <c r="B11" s="50"/>
      <c r="C11" s="50" t="s">
        <v>226</v>
      </c>
      <c r="D11" s="67">
        <v>350000</v>
      </c>
      <c r="E11" s="50"/>
      <c r="F11" s="50"/>
      <c r="G11" s="51"/>
    </row>
    <row r="12" spans="1:7" x14ac:dyDescent="0.35">
      <c r="A12" s="78"/>
      <c r="B12" s="50"/>
      <c r="C12" s="50" t="s">
        <v>227</v>
      </c>
      <c r="D12" s="67">
        <v>100000</v>
      </c>
      <c r="E12" s="50"/>
      <c r="F12" s="50"/>
      <c r="G12" s="51"/>
    </row>
    <row r="13" spans="1:7" x14ac:dyDescent="0.35">
      <c r="A13" s="78"/>
      <c r="B13" s="50"/>
      <c r="C13" s="50"/>
      <c r="D13" s="67"/>
      <c r="E13" s="50"/>
      <c r="F13" s="50"/>
      <c r="G13" s="51"/>
    </row>
    <row r="14" spans="1:7" x14ac:dyDescent="0.35">
      <c r="A14" s="78"/>
      <c r="B14" s="50"/>
      <c r="C14" s="50"/>
      <c r="D14" s="67"/>
      <c r="E14" s="50"/>
      <c r="F14" s="50"/>
      <c r="G14" s="51"/>
    </row>
    <row r="15" spans="1:7" x14ac:dyDescent="0.35">
      <c r="A15" s="78"/>
      <c r="B15" s="50"/>
      <c r="C15" s="50"/>
      <c r="D15" s="67"/>
      <c r="E15" s="50"/>
      <c r="F15" s="50"/>
      <c r="G15" s="51"/>
    </row>
    <row r="16" spans="1:7" ht="21" x14ac:dyDescent="0.5">
      <c r="A16" s="89" t="s">
        <v>57</v>
      </c>
      <c r="B16" s="90"/>
      <c r="C16" s="90"/>
      <c r="D16" s="91">
        <f>SUM(D5:D12)</f>
        <v>2325661</v>
      </c>
      <c r="E16" s="90"/>
      <c r="F16" s="90"/>
      <c r="G16" s="92">
        <f>SUM(G5:G10)</f>
        <v>2380000</v>
      </c>
    </row>
    <row r="17" spans="1:7" x14ac:dyDescent="0.35">
      <c r="A17" s="78"/>
      <c r="B17" s="50"/>
      <c r="C17" s="50"/>
      <c r="D17" s="50"/>
      <c r="E17" s="50"/>
      <c r="F17" s="50"/>
      <c r="G17" s="51"/>
    </row>
    <row r="18" spans="1:7" ht="26.5" thickBot="1" x14ac:dyDescent="0.65">
      <c r="A18" s="80"/>
      <c r="B18" s="96" t="s">
        <v>228</v>
      </c>
      <c r="C18" s="93"/>
      <c r="D18" s="93"/>
      <c r="E18" s="94">
        <f>D16-G16</f>
        <v>-54339</v>
      </c>
      <c r="F18" s="93"/>
      <c r="G18" s="95"/>
    </row>
    <row r="19" spans="1:7" ht="15" thickTop="1" x14ac:dyDescent="0.35"/>
  </sheetData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C21"/>
  <sheetViews>
    <sheetView topLeftCell="A13" workbookViewId="0">
      <selection activeCell="C7" sqref="C7"/>
    </sheetView>
  </sheetViews>
  <sheetFormatPr baseColWidth="10" defaultRowHeight="14.5" x14ac:dyDescent="0.35"/>
  <cols>
    <col min="2" max="2" width="37" customWidth="1"/>
  </cols>
  <sheetData>
    <row r="1" spans="2:3" ht="26" x14ac:dyDescent="0.6">
      <c r="B1" s="59" t="s">
        <v>167</v>
      </c>
    </row>
    <row r="4" spans="2:3" x14ac:dyDescent="0.35">
      <c r="B4" t="s">
        <v>68</v>
      </c>
      <c r="C4" s="5">
        <v>510000</v>
      </c>
    </row>
    <row r="5" spans="2:3" x14ac:dyDescent="0.35">
      <c r="B5" t="s">
        <v>69</v>
      </c>
      <c r="C5" s="5">
        <v>4776932.807427818</v>
      </c>
    </row>
    <row r="6" spans="2:3" x14ac:dyDescent="0.35">
      <c r="B6" t="s">
        <v>9</v>
      </c>
      <c r="C6" s="5">
        <v>66000</v>
      </c>
    </row>
    <row r="7" spans="2:3" x14ac:dyDescent="0.35">
      <c r="B7" t="s">
        <v>162</v>
      </c>
      <c r="C7" s="5">
        <v>200000</v>
      </c>
    </row>
    <row r="8" spans="2:3" x14ac:dyDescent="0.35">
      <c r="B8" t="s">
        <v>149</v>
      </c>
      <c r="C8" s="5">
        <v>180246.0585920836</v>
      </c>
    </row>
    <row r="10" spans="2:3" x14ac:dyDescent="0.35">
      <c r="C10" s="5">
        <f>SUM(C4:C9)</f>
        <v>5733178.8660199018</v>
      </c>
    </row>
    <row r="11" spans="2:3" x14ac:dyDescent="0.35">
      <c r="C11" s="5"/>
    </row>
    <row r="12" spans="2:3" x14ac:dyDescent="0.35">
      <c r="B12" t="s">
        <v>135</v>
      </c>
      <c r="C12" s="5">
        <v>3500000</v>
      </c>
    </row>
    <row r="14" spans="2:3" x14ac:dyDescent="0.35">
      <c r="B14" t="s">
        <v>60</v>
      </c>
      <c r="C14" s="5">
        <f>C10-C12</f>
        <v>2233178.8660199018</v>
      </c>
    </row>
    <row r="16" spans="2:3" x14ac:dyDescent="0.35">
      <c r="B16" t="s">
        <v>163</v>
      </c>
      <c r="C16" s="5">
        <v>20000</v>
      </c>
    </row>
    <row r="17" spans="2:3" x14ac:dyDescent="0.35">
      <c r="B17" t="s">
        <v>164</v>
      </c>
      <c r="C17" s="5">
        <v>8000</v>
      </c>
    </row>
    <row r="19" spans="2:3" x14ac:dyDescent="0.35">
      <c r="B19" t="s">
        <v>165</v>
      </c>
      <c r="C19" s="5">
        <f>SUM(C16:C18)</f>
        <v>28000</v>
      </c>
    </row>
    <row r="21" spans="2:3" x14ac:dyDescent="0.35">
      <c r="B21" t="s">
        <v>166</v>
      </c>
      <c r="C21" s="5">
        <f>C14-C19</f>
        <v>2205178.8660199018</v>
      </c>
    </row>
  </sheetData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E22"/>
  <sheetViews>
    <sheetView workbookViewId="0">
      <selection activeCell="A13" sqref="A13"/>
    </sheetView>
  </sheetViews>
  <sheetFormatPr baseColWidth="10" defaultRowHeight="14.5" x14ac:dyDescent="0.35"/>
  <sheetData>
    <row r="2" spans="1:5" x14ac:dyDescent="0.35">
      <c r="A2" t="s">
        <v>195</v>
      </c>
      <c r="B2" t="s">
        <v>192</v>
      </c>
      <c r="C2" t="s">
        <v>193</v>
      </c>
      <c r="D2" t="s">
        <v>234</v>
      </c>
    </row>
    <row r="3" spans="1:5" x14ac:dyDescent="0.35">
      <c r="A3" t="s">
        <v>208</v>
      </c>
      <c r="B3" s="2"/>
      <c r="C3" s="2"/>
      <c r="D3" s="2">
        <v>216000</v>
      </c>
    </row>
    <row r="4" spans="1:5" x14ac:dyDescent="0.35">
      <c r="A4" t="s">
        <v>199</v>
      </c>
      <c r="B4" s="2">
        <v>200000</v>
      </c>
      <c r="C4" s="2"/>
      <c r="D4" s="2">
        <f>D3+B4-C4</f>
        <v>416000</v>
      </c>
    </row>
    <row r="5" spans="1:5" x14ac:dyDescent="0.35">
      <c r="A5" t="s">
        <v>200</v>
      </c>
      <c r="B5" s="2">
        <v>30000</v>
      </c>
      <c r="C5" s="2"/>
      <c r="D5" s="2">
        <f>D4+B5-C5</f>
        <v>446000</v>
      </c>
    </row>
    <row r="6" spans="1:5" x14ac:dyDescent="0.35">
      <c r="A6" t="s">
        <v>201</v>
      </c>
      <c r="B6" s="2">
        <v>30000</v>
      </c>
      <c r="C6" s="2"/>
      <c r="D6" s="2">
        <f t="shared" ref="D6:D9" si="0">D5+B6-C6</f>
        <v>476000</v>
      </c>
    </row>
    <row r="7" spans="1:5" x14ac:dyDescent="0.35">
      <c r="A7" t="s">
        <v>239</v>
      </c>
      <c r="B7" s="2">
        <v>30000</v>
      </c>
      <c r="C7" s="2"/>
      <c r="D7" s="2">
        <f t="shared" si="0"/>
        <v>506000</v>
      </c>
    </row>
    <row r="8" spans="1:5" x14ac:dyDescent="0.35">
      <c r="A8" t="s">
        <v>241</v>
      </c>
      <c r="B8" s="2">
        <v>30000</v>
      </c>
      <c r="C8" s="2"/>
      <c r="D8" s="2">
        <f t="shared" si="0"/>
        <v>536000</v>
      </c>
      <c r="E8" t="s">
        <v>20</v>
      </c>
    </row>
    <row r="9" spans="1:5" x14ac:dyDescent="0.35">
      <c r="A9" s="62">
        <v>44927</v>
      </c>
      <c r="B9" s="2">
        <v>64000</v>
      </c>
      <c r="C9" s="2"/>
      <c r="D9" s="2">
        <f t="shared" si="0"/>
        <v>600000</v>
      </c>
      <c r="E9" t="s">
        <v>20</v>
      </c>
    </row>
    <row r="10" spans="1:5" x14ac:dyDescent="0.35">
      <c r="B10" s="2"/>
      <c r="C10" s="2"/>
      <c r="D10" s="2"/>
    </row>
    <row r="11" spans="1:5" x14ac:dyDescent="0.35">
      <c r="B11" s="2"/>
      <c r="C11" s="2"/>
      <c r="D11" s="2"/>
    </row>
    <row r="12" spans="1:5" x14ac:dyDescent="0.35">
      <c r="B12" s="2"/>
      <c r="C12" s="2"/>
      <c r="D12" s="2"/>
    </row>
    <row r="13" spans="1:5" x14ac:dyDescent="0.35">
      <c r="B13" s="2"/>
      <c r="C13" s="2"/>
      <c r="D13" s="2"/>
    </row>
    <row r="14" spans="1:5" x14ac:dyDescent="0.35">
      <c r="B14" s="2"/>
      <c r="C14" s="2"/>
      <c r="D14" s="2"/>
    </row>
    <row r="15" spans="1:5" x14ac:dyDescent="0.35">
      <c r="B15" s="2"/>
      <c r="C15" s="2"/>
      <c r="D15" s="2"/>
    </row>
    <row r="16" spans="1:5" x14ac:dyDescent="0.35">
      <c r="B16" s="2"/>
      <c r="C16" s="2"/>
      <c r="D16" s="2"/>
    </row>
    <row r="17" spans="2:4" x14ac:dyDescent="0.35">
      <c r="B17" s="2"/>
      <c r="C17" s="2"/>
      <c r="D17" s="2"/>
    </row>
    <row r="18" spans="2:4" x14ac:dyDescent="0.35">
      <c r="B18" s="2"/>
      <c r="C18" s="2"/>
      <c r="D18" s="2"/>
    </row>
    <row r="19" spans="2:4" x14ac:dyDescent="0.35">
      <c r="B19" s="2"/>
      <c r="C19" s="2"/>
      <c r="D19" s="2"/>
    </row>
    <row r="20" spans="2:4" x14ac:dyDescent="0.35">
      <c r="B20" s="2"/>
      <c r="C20" s="2"/>
      <c r="D20" s="2"/>
    </row>
    <row r="21" spans="2:4" x14ac:dyDescent="0.35">
      <c r="B21" s="2"/>
      <c r="C21" s="2"/>
      <c r="D21" s="2"/>
    </row>
    <row r="22" spans="2:4" x14ac:dyDescent="0.35">
      <c r="B22" s="2"/>
      <c r="C22" s="2"/>
      <c r="D22" s="2"/>
    </row>
  </sheetData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51"/>
  <sheetViews>
    <sheetView topLeftCell="B1" workbookViewId="0">
      <selection activeCell="A9" sqref="A9:XFD9"/>
    </sheetView>
  </sheetViews>
  <sheetFormatPr baseColWidth="10" defaultRowHeight="14.5" x14ac:dyDescent="0.35"/>
  <cols>
    <col min="1" max="1" width="30" bestFit="1" customWidth="1"/>
    <col min="2" max="2" width="13.81640625" bestFit="1" customWidth="1"/>
    <col min="3" max="3" width="19.26953125" bestFit="1" customWidth="1"/>
    <col min="4" max="4" width="30" customWidth="1"/>
    <col min="5" max="5" width="20.81640625" bestFit="1" customWidth="1"/>
    <col min="6" max="6" width="21" bestFit="1" customWidth="1"/>
    <col min="7" max="7" width="27.81640625" bestFit="1" customWidth="1"/>
  </cols>
  <sheetData>
    <row r="1" spans="1:9" x14ac:dyDescent="0.35">
      <c r="A1" s="17" t="s">
        <v>1</v>
      </c>
    </row>
    <row r="2" spans="1:9" x14ac:dyDescent="0.35">
      <c r="A2" s="17" t="s">
        <v>82</v>
      </c>
    </row>
    <row r="3" spans="1:9" ht="31" x14ac:dyDescent="0.7">
      <c r="B3" s="27" t="s">
        <v>128</v>
      </c>
    </row>
    <row r="4" spans="1:9" ht="15" thickBot="1" x14ac:dyDescent="0.4"/>
    <row r="5" spans="1:9" ht="42.5" thickTop="1" x14ac:dyDescent="0.5">
      <c r="A5" s="28" t="s">
        <v>5</v>
      </c>
      <c r="B5" s="29" t="s">
        <v>61</v>
      </c>
      <c r="C5" s="29" t="s">
        <v>63</v>
      </c>
      <c r="D5" s="29" t="s">
        <v>64</v>
      </c>
      <c r="E5" s="29" t="s">
        <v>65</v>
      </c>
      <c r="F5" s="29" t="s">
        <v>88</v>
      </c>
      <c r="G5" s="30" t="s">
        <v>15</v>
      </c>
      <c r="H5" s="33" t="s">
        <v>20</v>
      </c>
      <c r="I5" s="34" t="s">
        <v>59</v>
      </c>
    </row>
    <row r="6" spans="1:9" ht="18.5" x14ac:dyDescent="0.45">
      <c r="A6" s="24" t="s">
        <v>1</v>
      </c>
      <c r="B6" s="26"/>
      <c r="C6" s="26"/>
      <c r="D6" s="26"/>
      <c r="E6" s="26"/>
      <c r="F6" s="26"/>
      <c r="G6" s="25"/>
    </row>
    <row r="7" spans="1:9" ht="18.5" x14ac:dyDescent="0.45">
      <c r="A7" s="24" t="s">
        <v>101</v>
      </c>
      <c r="B7" s="26">
        <v>500000</v>
      </c>
      <c r="C7" s="26">
        <v>0</v>
      </c>
      <c r="D7" s="26">
        <v>0</v>
      </c>
      <c r="E7" s="26">
        <v>88000</v>
      </c>
      <c r="F7" s="26">
        <v>588000</v>
      </c>
      <c r="G7" s="25" t="s">
        <v>89</v>
      </c>
      <c r="H7" t="s">
        <v>129</v>
      </c>
    </row>
    <row r="8" spans="1:9" ht="18.5" x14ac:dyDescent="0.45">
      <c r="A8" s="24" t="s">
        <v>102</v>
      </c>
      <c r="B8" s="26">
        <v>1000000</v>
      </c>
      <c r="C8" s="26">
        <v>30000</v>
      </c>
      <c r="D8" s="26">
        <v>1000000</v>
      </c>
      <c r="E8" s="26">
        <v>0</v>
      </c>
      <c r="F8" s="26">
        <v>0</v>
      </c>
      <c r="G8" s="25"/>
    </row>
    <row r="9" spans="1:9" ht="18.5" x14ac:dyDescent="0.45">
      <c r="A9" s="24" t="s">
        <v>103</v>
      </c>
      <c r="B9" s="26">
        <v>700000</v>
      </c>
      <c r="C9" s="26">
        <v>84000</v>
      </c>
      <c r="D9" s="26">
        <v>0</v>
      </c>
      <c r="E9" s="26">
        <v>0</v>
      </c>
      <c r="F9" s="26">
        <v>700000</v>
      </c>
      <c r="G9" s="25" t="s">
        <v>94</v>
      </c>
      <c r="H9" t="s">
        <v>129</v>
      </c>
    </row>
    <row r="10" spans="1:9" ht="18.5" x14ac:dyDescent="0.45">
      <c r="A10" s="24" t="s">
        <v>78</v>
      </c>
      <c r="B10" s="26"/>
      <c r="C10" s="26"/>
      <c r="D10" s="26"/>
      <c r="E10" s="26"/>
      <c r="F10" s="26"/>
      <c r="G10" s="25"/>
    </row>
    <row r="11" spans="1:9" ht="18.5" x14ac:dyDescent="0.45">
      <c r="A11" s="24" t="s">
        <v>93</v>
      </c>
      <c r="B11" s="26">
        <v>1800000</v>
      </c>
      <c r="C11" s="26">
        <v>108000</v>
      </c>
      <c r="D11" s="26">
        <v>800000</v>
      </c>
      <c r="E11" s="26">
        <v>0</v>
      </c>
      <c r="F11" s="26">
        <v>1000000</v>
      </c>
      <c r="G11" s="25" t="s">
        <v>90</v>
      </c>
      <c r="H11" t="s">
        <v>129</v>
      </c>
    </row>
    <row r="12" spans="1:9" ht="18.5" x14ac:dyDescent="0.45">
      <c r="A12" s="24" t="s">
        <v>104</v>
      </c>
      <c r="B12" s="26">
        <v>1000000</v>
      </c>
      <c r="C12" s="26">
        <v>120000</v>
      </c>
      <c r="D12" s="26">
        <v>470000</v>
      </c>
      <c r="E12" s="26">
        <v>0</v>
      </c>
      <c r="F12" s="26">
        <v>530000</v>
      </c>
      <c r="G12" s="25" t="s">
        <v>91</v>
      </c>
      <c r="H12" s="31">
        <v>251000</v>
      </c>
      <c r="I12" s="32">
        <v>279000</v>
      </c>
    </row>
    <row r="13" spans="1:9" ht="18.5" x14ac:dyDescent="0.45">
      <c r="A13" s="24" t="s">
        <v>89</v>
      </c>
      <c r="B13" s="26">
        <v>2000000</v>
      </c>
      <c r="C13" s="26">
        <v>110000</v>
      </c>
      <c r="D13" s="26">
        <v>1000000</v>
      </c>
      <c r="E13" s="26">
        <v>0</v>
      </c>
      <c r="F13" s="26">
        <v>1000000</v>
      </c>
      <c r="G13" s="25" t="s">
        <v>92</v>
      </c>
      <c r="H13" t="s">
        <v>130</v>
      </c>
    </row>
    <row r="14" spans="1:9" ht="18.5" x14ac:dyDescent="0.45">
      <c r="A14" s="24" t="s">
        <v>70</v>
      </c>
      <c r="B14" s="26">
        <v>1000000</v>
      </c>
      <c r="C14" s="26">
        <v>110000</v>
      </c>
      <c r="D14" s="26">
        <v>0</v>
      </c>
      <c r="E14" s="26">
        <v>0</v>
      </c>
      <c r="F14" s="26">
        <v>1000000</v>
      </c>
      <c r="G14" s="25"/>
      <c r="H14" t="s">
        <v>130</v>
      </c>
    </row>
    <row r="15" spans="1:9" ht="18.5" x14ac:dyDescent="0.45">
      <c r="A15" s="24" t="s">
        <v>105</v>
      </c>
      <c r="B15" s="26">
        <v>700000</v>
      </c>
      <c r="C15" s="26">
        <v>108500</v>
      </c>
      <c r="D15" s="26">
        <v>808500</v>
      </c>
      <c r="E15" s="26">
        <v>108500</v>
      </c>
      <c r="F15" s="26">
        <v>0</v>
      </c>
      <c r="G15" s="25"/>
    </row>
    <row r="16" spans="1:9" ht="18.5" x14ac:dyDescent="0.45">
      <c r="A16" s="24" t="s">
        <v>99</v>
      </c>
      <c r="B16" s="26">
        <v>1000000</v>
      </c>
      <c r="C16" s="26">
        <v>120000</v>
      </c>
      <c r="D16" s="26">
        <v>0</v>
      </c>
      <c r="E16" s="26">
        <v>0</v>
      </c>
      <c r="F16" s="26">
        <v>1000000</v>
      </c>
      <c r="G16" s="25" t="s">
        <v>91</v>
      </c>
      <c r="H16" t="s">
        <v>130</v>
      </c>
    </row>
    <row r="17" spans="1:8" ht="18.5" x14ac:dyDescent="0.45">
      <c r="A17" s="24" t="s">
        <v>106</v>
      </c>
      <c r="B17" s="26"/>
      <c r="C17" s="26"/>
      <c r="D17" s="26"/>
      <c r="E17" s="26"/>
      <c r="F17" s="26"/>
      <c r="G17" s="25"/>
    </row>
    <row r="18" spans="1:8" ht="18.5" x14ac:dyDescent="0.45">
      <c r="A18" s="24" t="s">
        <v>92</v>
      </c>
      <c r="B18" s="26"/>
      <c r="C18" s="26"/>
      <c r="D18" s="26"/>
      <c r="E18" s="26"/>
      <c r="F18" s="26"/>
      <c r="G18" s="25"/>
    </row>
    <row r="19" spans="1:8" ht="18.5" x14ac:dyDescent="0.45">
      <c r="A19" s="24" t="s">
        <v>107</v>
      </c>
      <c r="B19" s="26"/>
      <c r="C19" s="26"/>
      <c r="D19" s="26"/>
      <c r="E19" s="26"/>
      <c r="F19" s="26"/>
      <c r="G19" s="25"/>
    </row>
    <row r="20" spans="1:8" ht="18.5" x14ac:dyDescent="0.45">
      <c r="A20" s="24" t="s">
        <v>90</v>
      </c>
      <c r="B20" s="26">
        <v>900000</v>
      </c>
      <c r="C20" s="26">
        <v>99000</v>
      </c>
      <c r="D20" s="26">
        <v>0</v>
      </c>
      <c r="E20" s="26">
        <v>0</v>
      </c>
      <c r="F20" s="26">
        <v>900000</v>
      </c>
      <c r="G20" s="25" t="s">
        <v>93</v>
      </c>
      <c r="H20" t="s">
        <v>18</v>
      </c>
    </row>
    <row r="21" spans="1:8" ht="18.5" x14ac:dyDescent="0.45">
      <c r="A21" s="24" t="s">
        <v>108</v>
      </c>
      <c r="B21" s="26">
        <v>700000</v>
      </c>
      <c r="C21" s="26">
        <v>77000</v>
      </c>
      <c r="D21" s="26">
        <v>0</v>
      </c>
      <c r="E21" s="26">
        <v>0</v>
      </c>
      <c r="F21" s="26">
        <v>700000</v>
      </c>
      <c r="G21" s="25" t="s">
        <v>95</v>
      </c>
      <c r="H21" t="s">
        <v>18</v>
      </c>
    </row>
    <row r="22" spans="1:8" ht="18.5" x14ac:dyDescent="0.45">
      <c r="A22" s="24" t="s">
        <v>109</v>
      </c>
      <c r="B22" s="26">
        <v>1000000</v>
      </c>
      <c r="C22" s="26">
        <v>110000</v>
      </c>
      <c r="D22" s="26">
        <v>0</v>
      </c>
      <c r="E22" s="26">
        <v>0</v>
      </c>
      <c r="F22" s="26">
        <v>1000000</v>
      </c>
      <c r="G22" s="25" t="s">
        <v>96</v>
      </c>
      <c r="H22" t="s">
        <v>130</v>
      </c>
    </row>
    <row r="23" spans="1:8" ht="18.5" x14ac:dyDescent="0.45">
      <c r="A23" s="24" t="s">
        <v>91</v>
      </c>
      <c r="B23" s="26">
        <v>1000000</v>
      </c>
      <c r="C23" s="26">
        <v>110000</v>
      </c>
      <c r="D23" s="26">
        <v>0</v>
      </c>
      <c r="E23" s="26">
        <v>0</v>
      </c>
      <c r="F23" s="26">
        <v>1000000</v>
      </c>
      <c r="G23" s="25" t="s">
        <v>87</v>
      </c>
      <c r="H23" t="s">
        <v>130</v>
      </c>
    </row>
    <row r="24" spans="1:8" ht="18.5" x14ac:dyDescent="0.45">
      <c r="A24" s="24" t="s">
        <v>110</v>
      </c>
      <c r="B24" s="26">
        <v>130000</v>
      </c>
      <c r="C24" s="26">
        <v>2600</v>
      </c>
      <c r="D24" s="26">
        <v>0</v>
      </c>
      <c r="E24" s="26">
        <v>0</v>
      </c>
      <c r="F24" s="26">
        <v>130000</v>
      </c>
      <c r="G24" s="25" t="s">
        <v>94</v>
      </c>
      <c r="H24" t="s">
        <v>129</v>
      </c>
    </row>
    <row r="25" spans="1:8" ht="18.5" x14ac:dyDescent="0.45">
      <c r="A25" s="24" t="s">
        <v>76</v>
      </c>
      <c r="B25" s="26">
        <v>900000</v>
      </c>
      <c r="C25" s="26">
        <v>108000</v>
      </c>
      <c r="D25" s="26">
        <v>0</v>
      </c>
      <c r="E25" s="26">
        <v>0</v>
      </c>
      <c r="F25" s="26">
        <v>900000</v>
      </c>
      <c r="G25" s="25" t="s">
        <v>91</v>
      </c>
      <c r="H25" t="s">
        <v>130</v>
      </c>
    </row>
    <row r="26" spans="1:8" ht="18.5" x14ac:dyDescent="0.45">
      <c r="A26" s="24" t="s">
        <v>97</v>
      </c>
      <c r="B26" s="26">
        <v>100000</v>
      </c>
      <c r="C26" s="26">
        <v>5000</v>
      </c>
      <c r="D26" s="26">
        <v>0</v>
      </c>
      <c r="E26" s="26">
        <v>0</v>
      </c>
      <c r="F26" s="26">
        <v>100000</v>
      </c>
      <c r="G26" s="25" t="s">
        <v>94</v>
      </c>
      <c r="H26" t="s">
        <v>130</v>
      </c>
    </row>
    <row r="27" spans="1:8" ht="18.5" x14ac:dyDescent="0.45">
      <c r="A27" s="24" t="s">
        <v>111</v>
      </c>
      <c r="B27" s="26">
        <v>1000000</v>
      </c>
      <c r="C27" s="26">
        <v>110000</v>
      </c>
      <c r="D27" s="26">
        <v>1000000</v>
      </c>
      <c r="E27" s="26">
        <v>0</v>
      </c>
      <c r="F27" s="26">
        <v>0</v>
      </c>
      <c r="G27" s="25"/>
    </row>
    <row r="28" spans="1:8" ht="18.5" x14ac:dyDescent="0.45">
      <c r="A28" s="24" t="s">
        <v>98</v>
      </c>
      <c r="B28" s="26">
        <v>500000</v>
      </c>
      <c r="C28" s="26">
        <v>50000</v>
      </c>
      <c r="D28" s="26">
        <v>500000</v>
      </c>
      <c r="E28" s="26">
        <v>0</v>
      </c>
      <c r="F28" s="26">
        <v>0</v>
      </c>
      <c r="G28" s="25"/>
    </row>
    <row r="29" spans="1:8" ht="18.5" x14ac:dyDescent="0.45">
      <c r="A29" s="24" t="s">
        <v>112</v>
      </c>
      <c r="B29" s="26"/>
      <c r="C29" s="26"/>
      <c r="D29" s="26"/>
      <c r="E29" s="26"/>
      <c r="F29" s="26"/>
      <c r="G29" s="25"/>
    </row>
    <row r="30" spans="1:8" ht="18.5" x14ac:dyDescent="0.45">
      <c r="A30" s="24" t="s">
        <v>113</v>
      </c>
      <c r="B30" s="26">
        <v>1176000</v>
      </c>
      <c r="C30" s="26">
        <v>0</v>
      </c>
      <c r="D30" s="26">
        <v>250000</v>
      </c>
      <c r="E30" s="26">
        <v>129360</v>
      </c>
      <c r="F30" s="26">
        <v>1055360</v>
      </c>
      <c r="G30" s="25"/>
      <c r="H30" t="s">
        <v>18</v>
      </c>
    </row>
    <row r="31" spans="1:8" ht="18.5" x14ac:dyDescent="0.45">
      <c r="A31" s="24" t="s">
        <v>114</v>
      </c>
      <c r="B31" s="26"/>
      <c r="C31" s="26"/>
      <c r="D31" s="26"/>
      <c r="E31" s="26"/>
      <c r="F31" s="26"/>
      <c r="G31" s="25"/>
    </row>
    <row r="32" spans="1:8" ht="18.5" x14ac:dyDescent="0.45">
      <c r="A32" s="24" t="s">
        <v>96</v>
      </c>
      <c r="B32" s="26">
        <v>1000000</v>
      </c>
      <c r="C32" s="26">
        <v>110000</v>
      </c>
      <c r="D32" s="26">
        <v>0</v>
      </c>
      <c r="E32" s="26">
        <v>0</v>
      </c>
      <c r="F32" s="26">
        <v>1000000</v>
      </c>
      <c r="G32" s="25" t="s">
        <v>97</v>
      </c>
    </row>
    <row r="33" spans="1:8" ht="18.5" x14ac:dyDescent="0.45">
      <c r="A33" s="24" t="s">
        <v>95</v>
      </c>
      <c r="B33" s="26">
        <v>700000</v>
      </c>
      <c r="C33" s="26">
        <v>84000</v>
      </c>
      <c r="D33" s="26">
        <v>0</v>
      </c>
      <c r="E33" s="26">
        <v>0</v>
      </c>
      <c r="F33" s="26">
        <v>700000</v>
      </c>
      <c r="G33" s="25" t="s">
        <v>94</v>
      </c>
      <c r="H33" t="s">
        <v>18</v>
      </c>
    </row>
    <row r="34" spans="1:8" ht="18.5" x14ac:dyDescent="0.45">
      <c r="A34" s="24" t="s">
        <v>100</v>
      </c>
      <c r="B34" s="26">
        <v>2000000</v>
      </c>
      <c r="C34" s="26">
        <v>120000</v>
      </c>
      <c r="D34" s="26">
        <v>1000000</v>
      </c>
      <c r="E34" s="26">
        <v>0</v>
      </c>
      <c r="F34" s="26">
        <v>1000000</v>
      </c>
      <c r="G34" s="25" t="s">
        <v>76</v>
      </c>
      <c r="H34" t="s">
        <v>130</v>
      </c>
    </row>
    <row r="35" spans="1:8" ht="18.5" x14ac:dyDescent="0.45">
      <c r="A35" s="24" t="s">
        <v>115</v>
      </c>
      <c r="B35" s="26">
        <v>1000000</v>
      </c>
      <c r="C35" s="26">
        <v>120000</v>
      </c>
      <c r="D35" s="26">
        <v>0</v>
      </c>
      <c r="E35" s="26">
        <v>0</v>
      </c>
      <c r="F35" s="26">
        <v>1000000</v>
      </c>
      <c r="G35" s="25" t="s">
        <v>87</v>
      </c>
      <c r="H35" t="s">
        <v>130</v>
      </c>
    </row>
    <row r="36" spans="1:8" ht="18.5" x14ac:dyDescent="0.45">
      <c r="A36" s="24" t="s">
        <v>87</v>
      </c>
      <c r="B36" s="26">
        <v>1000000</v>
      </c>
      <c r="C36" s="26">
        <v>110000</v>
      </c>
      <c r="D36" s="26">
        <v>0</v>
      </c>
      <c r="E36" s="26">
        <v>0</v>
      </c>
      <c r="F36" s="26">
        <v>1000000</v>
      </c>
      <c r="G36" s="25" t="s">
        <v>98</v>
      </c>
      <c r="H36" t="s">
        <v>130</v>
      </c>
    </row>
    <row r="37" spans="1:8" ht="18.5" x14ac:dyDescent="0.45">
      <c r="A37" s="24" t="s">
        <v>116</v>
      </c>
      <c r="B37" s="26"/>
      <c r="C37" s="26"/>
      <c r="D37" s="26"/>
      <c r="E37" s="26"/>
      <c r="F37" s="26"/>
      <c r="G37" s="25"/>
    </row>
    <row r="38" spans="1:8" ht="18.5" x14ac:dyDescent="0.45">
      <c r="A38" s="24" t="s">
        <v>117</v>
      </c>
      <c r="B38" s="26">
        <v>1000000</v>
      </c>
      <c r="C38" s="26">
        <v>40000</v>
      </c>
      <c r="D38" s="26">
        <v>1155000</v>
      </c>
      <c r="E38" s="26">
        <v>155000</v>
      </c>
      <c r="F38" s="26">
        <v>0</v>
      </c>
      <c r="G38" s="25"/>
    </row>
    <row r="39" spans="1:8" ht="18.5" x14ac:dyDescent="0.45">
      <c r="A39" s="24" t="s">
        <v>118</v>
      </c>
      <c r="B39" s="26"/>
      <c r="C39" s="26"/>
      <c r="D39" s="26"/>
      <c r="E39" s="26"/>
      <c r="F39" s="26"/>
      <c r="G39" s="25"/>
    </row>
    <row r="40" spans="1:8" ht="18.5" x14ac:dyDescent="0.45">
      <c r="A40" s="24" t="s">
        <v>119</v>
      </c>
      <c r="B40" s="26">
        <v>1000000</v>
      </c>
      <c r="C40" s="26">
        <v>90000</v>
      </c>
      <c r="D40" s="26">
        <v>0</v>
      </c>
      <c r="E40" s="26">
        <v>0</v>
      </c>
      <c r="F40" s="26">
        <v>1000000</v>
      </c>
      <c r="G40" s="25" t="s">
        <v>99</v>
      </c>
      <c r="H40" t="s">
        <v>18</v>
      </c>
    </row>
    <row r="41" spans="1:8" ht="18.5" x14ac:dyDescent="0.45">
      <c r="A41" s="24" t="s">
        <v>120</v>
      </c>
      <c r="B41" s="26">
        <v>184035</v>
      </c>
      <c r="C41" s="26">
        <v>20243.849999999999</v>
      </c>
      <c r="D41" s="26">
        <v>184035</v>
      </c>
      <c r="E41" s="26">
        <v>0</v>
      </c>
      <c r="F41" s="26">
        <v>0</v>
      </c>
      <c r="G41" s="25"/>
    </row>
    <row r="42" spans="1:8" ht="18.5" x14ac:dyDescent="0.45">
      <c r="A42" s="24" t="s">
        <v>121</v>
      </c>
      <c r="B42" s="26">
        <v>500000</v>
      </c>
      <c r="C42" s="26">
        <v>50000</v>
      </c>
      <c r="D42" s="26">
        <v>0</v>
      </c>
      <c r="E42" s="26">
        <v>0</v>
      </c>
      <c r="F42" s="26">
        <v>500000</v>
      </c>
      <c r="G42" s="25" t="s">
        <v>94</v>
      </c>
    </row>
    <row r="43" spans="1:8" ht="18.5" x14ac:dyDescent="0.45">
      <c r="A43" s="24" t="s">
        <v>122</v>
      </c>
      <c r="B43" s="26">
        <v>1000000</v>
      </c>
      <c r="C43" s="26">
        <v>90000</v>
      </c>
      <c r="D43" s="26">
        <v>0</v>
      </c>
      <c r="E43" s="26">
        <v>0</v>
      </c>
      <c r="F43" s="26">
        <v>1000000</v>
      </c>
      <c r="G43" s="25" t="s">
        <v>91</v>
      </c>
      <c r="H43" t="s">
        <v>9</v>
      </c>
    </row>
    <row r="44" spans="1:8" ht="18.5" x14ac:dyDescent="0.45">
      <c r="A44" s="24" t="s">
        <v>123</v>
      </c>
      <c r="B44" s="26">
        <v>850000</v>
      </c>
      <c r="C44" s="26">
        <v>95000</v>
      </c>
      <c r="D44" s="26">
        <v>0</v>
      </c>
      <c r="E44" s="26">
        <v>0</v>
      </c>
      <c r="F44" s="26">
        <v>850000</v>
      </c>
      <c r="G44" s="25" t="s">
        <v>98</v>
      </c>
      <c r="H44" t="s">
        <v>18</v>
      </c>
    </row>
    <row r="45" spans="1:8" ht="18.5" x14ac:dyDescent="0.45">
      <c r="A45" s="24" t="s">
        <v>124</v>
      </c>
      <c r="B45" s="26"/>
      <c r="C45" s="26"/>
      <c r="D45" s="26"/>
      <c r="E45" s="26"/>
      <c r="F45" s="26"/>
      <c r="G45" s="25"/>
    </row>
    <row r="46" spans="1:8" ht="18.5" x14ac:dyDescent="0.45">
      <c r="A46" s="24" t="s">
        <v>125</v>
      </c>
      <c r="B46" s="26">
        <v>2000000</v>
      </c>
      <c r="C46" s="26">
        <v>30000</v>
      </c>
      <c r="D46" s="26">
        <v>1000000</v>
      </c>
      <c r="E46" s="26">
        <v>155000</v>
      </c>
      <c r="F46" s="26">
        <v>1155000</v>
      </c>
      <c r="G46" s="25" t="s">
        <v>91</v>
      </c>
      <c r="H46" t="s">
        <v>18</v>
      </c>
    </row>
    <row r="47" spans="1:8" ht="18.5" x14ac:dyDescent="0.45">
      <c r="A47" s="24" t="s">
        <v>126</v>
      </c>
      <c r="B47" s="26">
        <v>2000000</v>
      </c>
      <c r="C47" s="26">
        <v>119000</v>
      </c>
      <c r="D47" s="26">
        <v>1250000</v>
      </c>
      <c r="E47" s="26">
        <v>37500</v>
      </c>
      <c r="F47" s="26">
        <v>787500</v>
      </c>
      <c r="G47" s="25" t="s">
        <v>100</v>
      </c>
      <c r="H47" t="s">
        <v>130</v>
      </c>
    </row>
    <row r="48" spans="1:8" ht="18.5" x14ac:dyDescent="0.45">
      <c r="A48" s="24" t="s">
        <v>127</v>
      </c>
      <c r="B48" s="26"/>
      <c r="C48" s="26"/>
      <c r="D48" s="26"/>
      <c r="E48" s="26"/>
      <c r="F48" s="26"/>
      <c r="G48" s="25"/>
    </row>
    <row r="49" spans="1:7" x14ac:dyDescent="0.35">
      <c r="A49" s="19"/>
      <c r="B49" s="18"/>
      <c r="C49" s="18"/>
      <c r="D49" s="18"/>
      <c r="E49" s="18"/>
      <c r="F49" s="18"/>
      <c r="G49" s="20"/>
    </row>
    <row r="50" spans="1:7" ht="19" thickBot="1" x14ac:dyDescent="0.5">
      <c r="A50" s="22" t="s">
        <v>57</v>
      </c>
      <c r="B50" s="23">
        <f>SUM(B6:B49)</f>
        <v>31340035</v>
      </c>
      <c r="C50" s="23">
        <f>SUM(C6:C49)</f>
        <v>2540343.85</v>
      </c>
      <c r="D50" s="23">
        <f>SUM(D6:D49)</f>
        <v>10417535</v>
      </c>
      <c r="E50" s="23">
        <f>SUM(E6:E49)</f>
        <v>673360</v>
      </c>
      <c r="F50" s="23">
        <f>SUM(F6:F49)</f>
        <v>21595860</v>
      </c>
      <c r="G50" s="21"/>
    </row>
    <row r="51" spans="1:7" ht="15" thickTop="1" x14ac:dyDescent="0.35"/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51"/>
  <sheetViews>
    <sheetView workbookViewId="0">
      <pane xSplit="1" ySplit="5" topLeftCell="B42" activePane="bottomRight" state="frozen"/>
      <selection pane="topRight" activeCell="C1" sqref="C1"/>
      <selection pane="bottomLeft" activeCell="A5" sqref="A5"/>
      <selection pane="bottomRight" activeCell="I5" sqref="I5"/>
    </sheetView>
  </sheetViews>
  <sheetFormatPr baseColWidth="10" defaultColWidth="11" defaultRowHeight="14.5" x14ac:dyDescent="0.35"/>
  <cols>
    <col min="1" max="1" width="23.26953125" customWidth="1"/>
    <col min="2" max="2" width="14.1796875" customWidth="1"/>
    <col min="3" max="3" width="12.81640625" customWidth="1"/>
    <col min="4" max="4" width="12.54296875" customWidth="1"/>
    <col min="5" max="5" width="13" customWidth="1"/>
    <col min="6" max="6" width="12.7265625" customWidth="1"/>
    <col min="7" max="7" width="14.26953125" customWidth="1"/>
    <col min="8" max="8" width="14.81640625" customWidth="1"/>
    <col min="9" max="9" width="13" customWidth="1"/>
    <col min="10" max="10" width="14.26953125" customWidth="1"/>
  </cols>
  <sheetData>
    <row r="1" spans="1:10" x14ac:dyDescent="0.35">
      <c r="A1" s="1" t="s">
        <v>0</v>
      </c>
      <c r="B1" s="1" t="s">
        <v>1</v>
      </c>
      <c r="C1" s="1"/>
      <c r="D1" s="1"/>
      <c r="E1" s="1"/>
    </row>
    <row r="2" spans="1:10" ht="17.5" x14ac:dyDescent="0.35">
      <c r="A2" s="1" t="s">
        <v>2</v>
      </c>
      <c r="B2" s="1" t="s">
        <v>74</v>
      </c>
      <c r="C2" s="37" t="s">
        <v>141</v>
      </c>
      <c r="D2" s="1"/>
      <c r="E2" s="1"/>
    </row>
    <row r="3" spans="1:10" ht="31" x14ac:dyDescent="0.7">
      <c r="A3" s="1"/>
      <c r="B3" s="27" t="s">
        <v>140</v>
      </c>
      <c r="C3" s="5"/>
      <c r="D3" s="1"/>
      <c r="E3" s="1"/>
    </row>
    <row r="4" spans="1:10" ht="15" thickBot="1" x14ac:dyDescent="0.4">
      <c r="A4" s="5"/>
      <c r="B4" s="5"/>
      <c r="C4" s="1"/>
      <c r="D4" s="1"/>
    </row>
    <row r="5" spans="1:10" ht="43" thickTop="1" x14ac:dyDescent="0.35">
      <c r="A5" s="38" t="s">
        <v>5</v>
      </c>
      <c r="B5" s="40" t="s">
        <v>68</v>
      </c>
      <c r="C5" s="40" t="s">
        <v>142</v>
      </c>
      <c r="D5" s="39" t="s">
        <v>69</v>
      </c>
      <c r="E5" s="39" t="s">
        <v>9</v>
      </c>
      <c r="F5" s="40" t="s">
        <v>65</v>
      </c>
      <c r="G5" s="40" t="s">
        <v>88</v>
      </c>
      <c r="H5" s="40" t="s">
        <v>86</v>
      </c>
      <c r="I5" s="40" t="s">
        <v>138</v>
      </c>
      <c r="J5" s="41" t="s">
        <v>136</v>
      </c>
    </row>
    <row r="6" spans="1:10" ht="15.75" customHeight="1" x14ac:dyDescent="0.35">
      <c r="A6" s="42" t="s">
        <v>1</v>
      </c>
      <c r="B6" s="43">
        <f>MVTRESUME2019!C6</f>
        <v>394081.01108374598</v>
      </c>
      <c r="C6" s="43">
        <f>MVTRESUME2019!D6</f>
        <v>62668.935014227369</v>
      </c>
      <c r="D6" s="43">
        <f>MVTRESUME2019!E6</f>
        <v>0</v>
      </c>
      <c r="E6" s="43">
        <f>MVTRESUME2019!G6</f>
        <v>0</v>
      </c>
      <c r="F6" s="43">
        <v>0</v>
      </c>
      <c r="G6" s="43">
        <v>0</v>
      </c>
      <c r="H6" s="5">
        <f>C6+D6+E6</f>
        <v>62668.935014227369</v>
      </c>
      <c r="I6" s="43"/>
      <c r="J6" s="44">
        <f>H6-I6</f>
        <v>62668.935014227369</v>
      </c>
    </row>
    <row r="7" spans="1:10" s="14" customFormat="1" x14ac:dyDescent="0.35">
      <c r="A7" s="45" t="s">
        <v>101</v>
      </c>
      <c r="B7" s="43">
        <f>MVTRESUME2019!C7</f>
        <v>480000</v>
      </c>
      <c r="C7" s="43">
        <f>MVTRESUME2019!D7</f>
        <v>0</v>
      </c>
      <c r="D7" s="43">
        <f>MVTRESUME2019!E7</f>
        <v>0.49369671277236193</v>
      </c>
      <c r="E7" s="43">
        <f>MVTRESUME2019!G7</f>
        <v>2000</v>
      </c>
      <c r="F7" s="46">
        <v>88000</v>
      </c>
      <c r="G7" s="46">
        <v>0</v>
      </c>
      <c r="H7" s="5">
        <f t="shared" ref="H7:H48" si="0">C7+D7+E7</f>
        <v>2000.4936967127724</v>
      </c>
      <c r="I7" s="43"/>
      <c r="J7" s="44">
        <f t="shared" ref="J7:J48" si="1">H7-I7</f>
        <v>2000.4936967127724</v>
      </c>
    </row>
    <row r="8" spans="1:10" x14ac:dyDescent="0.35">
      <c r="A8" s="42" t="s">
        <v>102</v>
      </c>
      <c r="B8" s="43">
        <f>MVTRESUME2019!C8</f>
        <v>480000</v>
      </c>
      <c r="C8" s="43">
        <f>MVTRESUME2019!D8</f>
        <v>79945.737949015122</v>
      </c>
      <c r="D8" s="43">
        <f>MVTRESUME2019!E8</f>
        <v>1331.2797186755051</v>
      </c>
      <c r="E8" s="43">
        <f>MVTRESUME2019!G8</f>
        <v>82000</v>
      </c>
      <c r="F8" s="43">
        <v>0</v>
      </c>
      <c r="G8" s="43">
        <v>0</v>
      </c>
      <c r="H8" s="5">
        <f t="shared" si="0"/>
        <v>163277.01766769064</v>
      </c>
      <c r="I8" s="43">
        <v>30000</v>
      </c>
      <c r="J8" s="44">
        <f t="shared" si="1"/>
        <v>133277.01766769064</v>
      </c>
    </row>
    <row r="9" spans="1:10" s="14" customFormat="1" x14ac:dyDescent="0.35">
      <c r="A9" s="45" t="s">
        <v>103</v>
      </c>
      <c r="B9" s="43">
        <f>MVTRESUME2019!C9</f>
        <v>480000</v>
      </c>
      <c r="C9" s="43">
        <f>MVTRESUME2019!D9</f>
        <v>79896.677076385677</v>
      </c>
      <c r="D9" s="43">
        <f>MVTRESUME2019!E9</f>
        <v>3703.9516264695849</v>
      </c>
      <c r="E9" s="43">
        <f>MVTRESUME2019!G9</f>
        <v>54000</v>
      </c>
      <c r="F9" s="46">
        <v>108500</v>
      </c>
      <c r="G9" s="46">
        <v>808500</v>
      </c>
      <c r="H9" s="5">
        <f t="shared" si="0"/>
        <v>137600.62870285526</v>
      </c>
      <c r="I9" s="43"/>
      <c r="J9" s="44">
        <f t="shared" si="1"/>
        <v>137600.62870285526</v>
      </c>
    </row>
    <row r="10" spans="1:10" x14ac:dyDescent="0.35">
      <c r="A10" s="42" t="s">
        <v>78</v>
      </c>
      <c r="B10" s="43">
        <f>MVTRESUME2019!C10</f>
        <v>0</v>
      </c>
      <c r="C10" s="43">
        <f>MVTRESUME2019!D10</f>
        <v>1764.4540515245424</v>
      </c>
      <c r="D10" s="43">
        <f>MVTRESUME2019!E10</f>
        <v>2994.5270055831024</v>
      </c>
      <c r="E10" s="43">
        <f>MVTRESUME2019!G10</f>
        <v>12000</v>
      </c>
      <c r="F10" s="43">
        <v>0</v>
      </c>
      <c r="G10" s="43">
        <v>0</v>
      </c>
      <c r="H10" s="5">
        <f t="shared" si="0"/>
        <v>16758.981057107645</v>
      </c>
      <c r="I10" s="43"/>
      <c r="J10" s="44">
        <f t="shared" si="1"/>
        <v>16758.981057107645</v>
      </c>
    </row>
    <row r="11" spans="1:10" x14ac:dyDescent="0.35">
      <c r="A11" s="42" t="s">
        <v>93</v>
      </c>
      <c r="B11" s="43">
        <f>MVTRESUME2019!C11</f>
        <v>480000</v>
      </c>
      <c r="C11" s="43">
        <f>MVTRESUME2019!D11</f>
        <v>81380.868527515064</v>
      </c>
      <c r="D11" s="43">
        <f>MVTRESUME2019!E11</f>
        <v>404.48981912998715</v>
      </c>
      <c r="E11" s="43">
        <f>MVTRESUME2019!G11</f>
        <v>97500</v>
      </c>
      <c r="F11" s="43">
        <v>50000</v>
      </c>
      <c r="G11" s="43">
        <v>1050000</v>
      </c>
      <c r="H11" s="5">
        <f t="shared" si="0"/>
        <v>179285.35834664505</v>
      </c>
      <c r="I11" s="43">
        <v>30000</v>
      </c>
      <c r="J11" s="44">
        <f t="shared" si="1"/>
        <v>149285.35834664505</v>
      </c>
    </row>
    <row r="12" spans="1:10" x14ac:dyDescent="0.35">
      <c r="A12" s="42" t="s">
        <v>104</v>
      </c>
      <c r="B12" s="43">
        <f>MVTRESUME2019!C13</f>
        <v>480000</v>
      </c>
      <c r="C12" s="43">
        <f>MVTRESUME2019!D13</f>
        <v>79798.878874522779</v>
      </c>
      <c r="D12" s="43">
        <f>MVTRESUME2019!E13</f>
        <v>32.581814608536661</v>
      </c>
      <c r="E12" s="43">
        <f>MVTRESUME2019!G13</f>
        <v>84000</v>
      </c>
      <c r="F12" s="43">
        <v>0</v>
      </c>
      <c r="G12" s="43">
        <v>800000</v>
      </c>
      <c r="H12" s="5">
        <f t="shared" si="0"/>
        <v>163831.46068913132</v>
      </c>
      <c r="I12" s="43">
        <v>30000</v>
      </c>
      <c r="J12" s="44">
        <f t="shared" si="1"/>
        <v>133831.46068913132</v>
      </c>
    </row>
    <row r="13" spans="1:10" x14ac:dyDescent="0.35">
      <c r="A13" s="42" t="s">
        <v>89</v>
      </c>
      <c r="B13" s="43">
        <f>MVTRESUME2019!C14</f>
        <v>480000</v>
      </c>
      <c r="C13" s="43">
        <f>MVTRESUME2019!D14</f>
        <v>79954.051721931959</v>
      </c>
      <c r="D13" s="43">
        <f>MVTRESUME2019!E14</f>
        <v>8.234061673283577E-2</v>
      </c>
      <c r="E13" s="43">
        <f>MVTRESUME2019!G14</f>
        <v>93500</v>
      </c>
      <c r="F13" s="43">
        <v>0</v>
      </c>
      <c r="G13" s="43">
        <v>1000000</v>
      </c>
      <c r="H13" s="5">
        <f t="shared" si="0"/>
        <v>173454.13406254869</v>
      </c>
      <c r="I13" s="43">
        <v>30000</v>
      </c>
      <c r="J13" s="44">
        <f t="shared" si="1"/>
        <v>143454.13406254869</v>
      </c>
    </row>
    <row r="14" spans="1:10" x14ac:dyDescent="0.35">
      <c r="A14" s="42" t="s">
        <v>70</v>
      </c>
      <c r="B14" s="43">
        <f>MVTRESUME2019!C15</f>
        <v>441596</v>
      </c>
      <c r="C14" s="43">
        <f>MVTRESUME2019!D15</f>
        <v>73699.144246646392</v>
      </c>
      <c r="D14" s="43">
        <f>MVTRESUME2019!E15</f>
        <v>0.16900408919900656</v>
      </c>
      <c r="E14" s="43">
        <f>MVTRESUME2019!G15</f>
        <v>84000</v>
      </c>
      <c r="F14" s="43">
        <v>0</v>
      </c>
      <c r="G14" s="43">
        <v>1000000</v>
      </c>
      <c r="H14" s="5">
        <f t="shared" si="0"/>
        <v>157699.31325073558</v>
      </c>
      <c r="I14" s="43">
        <v>30000</v>
      </c>
      <c r="J14" s="44">
        <f t="shared" si="1"/>
        <v>127699.31325073558</v>
      </c>
    </row>
    <row r="15" spans="1:10" x14ac:dyDescent="0.35">
      <c r="A15" s="42" t="s">
        <v>105</v>
      </c>
      <c r="B15" s="43">
        <f>MVTRESUME2019!C16</f>
        <v>480000</v>
      </c>
      <c r="C15" s="43">
        <f>MVTRESUME2019!D16</f>
        <v>97864.943592884913</v>
      </c>
      <c r="D15" s="43">
        <f>MVTRESUME2019!E16</f>
        <v>113997.13327318276</v>
      </c>
      <c r="E15" s="43">
        <f>MVTRESUME2019!G16</f>
        <v>84000</v>
      </c>
      <c r="F15" s="43">
        <v>108500</v>
      </c>
      <c r="G15" s="43">
        <v>0</v>
      </c>
      <c r="H15" s="5">
        <f t="shared" si="0"/>
        <v>295862.07686606765</v>
      </c>
      <c r="I15" s="43">
        <v>30000</v>
      </c>
      <c r="J15" s="44">
        <f t="shared" si="1"/>
        <v>265862.07686606765</v>
      </c>
    </row>
    <row r="16" spans="1:10" x14ac:dyDescent="0.35">
      <c r="A16" s="42" t="s">
        <v>99</v>
      </c>
      <c r="B16" s="43">
        <f>MVTRESUME2019!C17</f>
        <v>480000</v>
      </c>
      <c r="C16" s="43">
        <f>MVTRESUME2019!D17</f>
        <v>80086.550029503749</v>
      </c>
      <c r="D16" s="43">
        <f>MVTRESUME2019!E17</f>
        <v>2219.5520592769026</v>
      </c>
      <c r="E16" s="43">
        <f>MVTRESUME2019!G17</f>
        <v>82000</v>
      </c>
      <c r="F16" s="43">
        <v>0</v>
      </c>
      <c r="G16" s="43">
        <v>1000000</v>
      </c>
      <c r="H16" s="5">
        <f t="shared" si="0"/>
        <v>164306.10208878067</v>
      </c>
      <c r="I16" s="43">
        <v>30000</v>
      </c>
      <c r="J16" s="44">
        <f t="shared" si="1"/>
        <v>134306.10208878067</v>
      </c>
    </row>
    <row r="17" spans="1:10" x14ac:dyDescent="0.35">
      <c r="A17" s="42" t="s">
        <v>106</v>
      </c>
      <c r="B17" s="43">
        <f>MVTRESUME2019!C18</f>
        <v>480000</v>
      </c>
      <c r="C17" s="43">
        <f>MVTRESUME2019!D18</f>
        <v>80427.583632271897</v>
      </c>
      <c r="D17" s="43">
        <f>MVTRESUME2019!E18</f>
        <v>3998.5841971817717</v>
      </c>
      <c r="E17" s="43">
        <f>MVTRESUME2019!G18</f>
        <v>84000</v>
      </c>
      <c r="F17" s="43">
        <v>0</v>
      </c>
      <c r="G17" s="43">
        <v>1000000</v>
      </c>
      <c r="H17" s="5">
        <f t="shared" si="0"/>
        <v>168426.16782945365</v>
      </c>
      <c r="I17" s="43">
        <v>30000</v>
      </c>
      <c r="J17" s="44">
        <f t="shared" si="1"/>
        <v>138426.16782945365</v>
      </c>
    </row>
    <row r="18" spans="1:10" x14ac:dyDescent="0.35">
      <c r="A18" s="42" t="s">
        <v>92</v>
      </c>
      <c r="B18" s="43">
        <f>MVTRESUME2019!C19</f>
        <v>480000</v>
      </c>
      <c r="C18" s="43">
        <f>MVTRESUME2019!D19</f>
        <v>84433.275952127617</v>
      </c>
      <c r="D18" s="43">
        <f>MVTRESUME2019!E19</f>
        <v>0.44251227390486747</v>
      </c>
      <c r="E18" s="43">
        <f>MVTRESUME2019!G19</f>
        <v>258500</v>
      </c>
      <c r="F18" s="43">
        <v>0</v>
      </c>
      <c r="G18" s="43">
        <v>0</v>
      </c>
      <c r="H18" s="5">
        <f t="shared" si="0"/>
        <v>342933.71846440155</v>
      </c>
      <c r="I18" s="43">
        <v>30000</v>
      </c>
      <c r="J18" s="44">
        <f t="shared" si="1"/>
        <v>312933.71846440155</v>
      </c>
    </row>
    <row r="19" spans="1:10" x14ac:dyDescent="0.35">
      <c r="A19" s="42" t="s">
        <v>107</v>
      </c>
      <c r="B19" s="43">
        <f>MVTRESUME2019!C20</f>
        <v>480000</v>
      </c>
      <c r="C19" s="43">
        <f>MVTRESUME2019!D20</f>
        <v>607034.07913233258</v>
      </c>
      <c r="D19" s="43">
        <f>MVTRESUME2019!E20</f>
        <v>2903898.728295486</v>
      </c>
      <c r="E19" s="43">
        <f>MVTRESUME2019!G20</f>
        <v>1296000</v>
      </c>
      <c r="F19" s="43">
        <v>0</v>
      </c>
      <c r="G19" s="43">
        <v>0</v>
      </c>
      <c r="H19" s="5">
        <f t="shared" si="0"/>
        <v>4806932.807427818</v>
      </c>
      <c r="I19" s="43">
        <v>30000</v>
      </c>
      <c r="J19" s="44">
        <f t="shared" si="1"/>
        <v>4776932.807427818</v>
      </c>
    </row>
    <row r="20" spans="1:10" x14ac:dyDescent="0.35">
      <c r="A20" s="42" t="s">
        <v>90</v>
      </c>
      <c r="B20" s="43">
        <f>MVTRESUME2019!C21</f>
        <v>480000</v>
      </c>
      <c r="C20" s="43">
        <f>MVTRESUME2019!D21</f>
        <v>79661.668675915658</v>
      </c>
      <c r="D20" s="43">
        <f>MVTRESUME2019!E21</f>
        <v>-0.26072546625800896</v>
      </c>
      <c r="E20" s="43">
        <f>MVTRESUME2019!G21</f>
        <v>81000</v>
      </c>
      <c r="F20" s="43">
        <v>139500</v>
      </c>
      <c r="G20" s="43">
        <v>1139500</v>
      </c>
      <c r="H20" s="5">
        <f t="shared" si="0"/>
        <v>160661.40795044939</v>
      </c>
      <c r="I20" s="43">
        <v>30000</v>
      </c>
      <c r="J20" s="44">
        <f t="shared" si="1"/>
        <v>130661.40795044939</v>
      </c>
    </row>
    <row r="21" spans="1:10" s="14" customFormat="1" x14ac:dyDescent="0.35">
      <c r="A21" s="45" t="s">
        <v>108</v>
      </c>
      <c r="B21" s="43">
        <f>MVTRESUME2019!C22</f>
        <v>480000</v>
      </c>
      <c r="C21" s="43">
        <f>MVTRESUME2019!D22</f>
        <v>78414.920478625208</v>
      </c>
      <c r="D21" s="43">
        <f>MVTRESUME2019!E22</f>
        <v>643.11234311138105</v>
      </c>
      <c r="E21" s="43">
        <f>MVTRESUME2019!G22</f>
        <v>30000</v>
      </c>
      <c r="F21" s="46">
        <v>108500</v>
      </c>
      <c r="G21" s="46">
        <v>808500</v>
      </c>
      <c r="H21" s="5">
        <f t="shared" si="0"/>
        <v>109058.03282173659</v>
      </c>
      <c r="I21" s="43"/>
      <c r="J21" s="44">
        <f t="shared" si="1"/>
        <v>109058.03282173659</v>
      </c>
    </row>
    <row r="22" spans="1:10" x14ac:dyDescent="0.35">
      <c r="A22" s="42" t="s">
        <v>109</v>
      </c>
      <c r="B22" s="43">
        <f>MVTRESUME2019!C23</f>
        <v>480000</v>
      </c>
      <c r="C22" s="43">
        <f>MVTRESUME2019!D23</f>
        <v>80181.060176583385</v>
      </c>
      <c r="D22" s="43">
        <f>MVTRESUME2019!E23</f>
        <v>2611.7018854503112</v>
      </c>
      <c r="E22" s="43">
        <f>MVTRESUME2019!G23</f>
        <v>84000</v>
      </c>
      <c r="F22" s="43">
        <v>0</v>
      </c>
      <c r="G22" s="43">
        <v>500000</v>
      </c>
      <c r="H22" s="5">
        <f t="shared" si="0"/>
        <v>166792.7620620337</v>
      </c>
      <c r="I22" s="43">
        <v>30000</v>
      </c>
      <c r="J22" s="44">
        <f t="shared" si="1"/>
        <v>136792.7620620337</v>
      </c>
    </row>
    <row r="23" spans="1:10" x14ac:dyDescent="0.35">
      <c r="A23" s="42" t="s">
        <v>91</v>
      </c>
      <c r="B23" s="43">
        <f>MVTRESUME2019!C24</f>
        <v>480000</v>
      </c>
      <c r="C23" s="43">
        <f>MVTRESUME2019!D24</f>
        <v>79889.68496817023</v>
      </c>
      <c r="D23" s="43">
        <f>MVTRESUME2019!E24</f>
        <v>605.40582988600363</v>
      </c>
      <c r="E23" s="43">
        <f>MVTRESUME2019!G24</f>
        <v>84000</v>
      </c>
      <c r="F23" s="43">
        <v>0</v>
      </c>
      <c r="G23" s="43">
        <v>1000000</v>
      </c>
      <c r="H23" s="5">
        <f t="shared" si="0"/>
        <v>164495.09079805622</v>
      </c>
      <c r="I23" s="43">
        <v>30000</v>
      </c>
      <c r="J23" s="44">
        <f t="shared" si="1"/>
        <v>134495.09079805622</v>
      </c>
    </row>
    <row r="24" spans="1:10" x14ac:dyDescent="0.35">
      <c r="A24" s="42" t="s">
        <v>110</v>
      </c>
      <c r="B24" s="43">
        <f>MVTRESUME2019!C25</f>
        <v>480000</v>
      </c>
      <c r="C24" s="43">
        <f>MVTRESUME2019!D25</f>
        <v>79644.731049764974</v>
      </c>
      <c r="D24" s="43">
        <f>MVTRESUME2019!E25</f>
        <v>-0.14820683863945305</v>
      </c>
      <c r="E24" s="43">
        <f>MVTRESUME2019!G25</f>
        <v>82000</v>
      </c>
      <c r="F24" s="43">
        <v>0</v>
      </c>
      <c r="G24" s="43">
        <v>130000</v>
      </c>
      <c r="H24" s="5">
        <f t="shared" si="0"/>
        <v>161644.58284292632</v>
      </c>
      <c r="I24" s="43">
        <v>30000</v>
      </c>
      <c r="J24" s="44">
        <f t="shared" si="1"/>
        <v>131644.58284292632</v>
      </c>
    </row>
    <row r="25" spans="1:10" x14ac:dyDescent="0.35">
      <c r="A25" s="42" t="s">
        <v>76</v>
      </c>
      <c r="B25" s="43">
        <f>MVTRESUME2019!C26</f>
        <v>30000</v>
      </c>
      <c r="C25" s="43">
        <f>MVTRESUME2019!D26</f>
        <v>12025.274783900029</v>
      </c>
      <c r="D25" s="43">
        <f>MVTRESUME2019!E26</f>
        <v>2994.5270055830988</v>
      </c>
      <c r="E25" s="43">
        <f>MVTRESUME2019!G26</f>
        <v>104000</v>
      </c>
      <c r="F25" s="43">
        <v>0</v>
      </c>
      <c r="G25" s="43">
        <v>0</v>
      </c>
      <c r="H25" s="5">
        <f t="shared" si="0"/>
        <v>119019.80178948313</v>
      </c>
      <c r="I25" s="43">
        <v>30000</v>
      </c>
      <c r="J25" s="44">
        <f t="shared" si="1"/>
        <v>89019.801789483128</v>
      </c>
    </row>
    <row r="26" spans="1:10" x14ac:dyDescent="0.35">
      <c r="A26" s="42" t="s">
        <v>97</v>
      </c>
      <c r="B26" s="43">
        <f>MVTRESUME2019!C27</f>
        <v>450000</v>
      </c>
      <c r="C26" s="43">
        <f>MVTRESUME2019!D27</f>
        <v>81837.118573991771</v>
      </c>
      <c r="D26" s="43">
        <f>MVTRESUME2019!E27</f>
        <v>12890.22827698091</v>
      </c>
      <c r="E26" s="43">
        <f>MVTRESUME2019!G27</f>
        <v>94000</v>
      </c>
      <c r="F26" s="43">
        <v>0</v>
      </c>
      <c r="G26" s="43">
        <v>0</v>
      </c>
      <c r="H26" s="5">
        <f t="shared" si="0"/>
        <v>188727.34685097268</v>
      </c>
      <c r="I26" s="43">
        <v>30000</v>
      </c>
      <c r="J26" s="44">
        <f t="shared" si="1"/>
        <v>158727.34685097268</v>
      </c>
    </row>
    <row r="27" spans="1:10" x14ac:dyDescent="0.35">
      <c r="A27" s="42" t="s">
        <v>111</v>
      </c>
      <c r="B27" s="43">
        <f>MVTRESUME2019!C28</f>
        <v>480000</v>
      </c>
      <c r="C27" s="43">
        <f>MVTRESUME2019!D28</f>
        <v>80008.312869354428</v>
      </c>
      <c r="D27" s="43">
        <f>MVTRESUME2019!E28</f>
        <v>1353.7356825511233</v>
      </c>
      <c r="E27" s="43">
        <f>MVTRESUME2019!G28</f>
        <v>84000</v>
      </c>
      <c r="F27" s="43">
        <v>0</v>
      </c>
      <c r="G27" s="43">
        <v>1000000</v>
      </c>
      <c r="H27" s="5">
        <f t="shared" si="0"/>
        <v>165362.04855190555</v>
      </c>
      <c r="I27" s="43">
        <v>30000</v>
      </c>
      <c r="J27" s="44">
        <f t="shared" si="1"/>
        <v>135362.04855190555</v>
      </c>
    </row>
    <row r="28" spans="1:10" x14ac:dyDescent="0.35">
      <c r="A28" s="42" t="s">
        <v>98</v>
      </c>
      <c r="B28" s="43">
        <f>MVTRESUME2019!C29</f>
        <v>480000</v>
      </c>
      <c r="C28" s="43">
        <f>MVTRESUME2019!D29</f>
        <v>91731.680250305682</v>
      </c>
      <c r="D28" s="43">
        <f>MVTRESUME2019!E29</f>
        <v>57225.614111341449</v>
      </c>
      <c r="E28" s="43">
        <f>MVTRESUME2019!G29</f>
        <v>151000</v>
      </c>
      <c r="F28" s="43">
        <v>0</v>
      </c>
      <c r="G28" s="43">
        <v>0</v>
      </c>
      <c r="H28" s="5">
        <f t="shared" si="0"/>
        <v>299957.2943616471</v>
      </c>
      <c r="I28" s="43">
        <v>30000</v>
      </c>
      <c r="J28" s="44">
        <f t="shared" si="1"/>
        <v>269957.2943616471</v>
      </c>
    </row>
    <row r="29" spans="1:10" x14ac:dyDescent="0.35">
      <c r="A29" s="42" t="s">
        <v>112</v>
      </c>
      <c r="B29" s="43">
        <f>MVTRESUME2019!C30</f>
        <v>0</v>
      </c>
      <c r="C29" s="43">
        <f>MVTRESUME2019!D30</f>
        <v>2138.4782390296004</v>
      </c>
      <c r="D29" s="43">
        <f>MVTRESUME2019!E30</f>
        <v>0.16900408919900656</v>
      </c>
      <c r="E29" s="43">
        <f>MVTRESUME2019!G30</f>
        <v>30000</v>
      </c>
      <c r="F29" s="43">
        <v>0</v>
      </c>
      <c r="G29" s="43">
        <v>0</v>
      </c>
      <c r="H29" s="5">
        <f t="shared" si="0"/>
        <v>32138.647243118801</v>
      </c>
      <c r="I29" s="43"/>
      <c r="J29" s="44">
        <f t="shared" si="1"/>
        <v>32138.647243118801</v>
      </c>
    </row>
    <row r="30" spans="1:10" s="8" customFormat="1" x14ac:dyDescent="0.35">
      <c r="A30" s="47" t="s">
        <v>113</v>
      </c>
      <c r="B30" s="43">
        <f>MVTRESUME2019!C31</f>
        <v>480000</v>
      </c>
      <c r="C30" s="43">
        <f>MVTRESUME2019!D31</f>
        <v>0</v>
      </c>
      <c r="D30" s="43">
        <f>MVTRESUME2019!E31</f>
        <v>0.28740352351451293</v>
      </c>
      <c r="E30" s="43">
        <f>MVTRESUME2019!G31</f>
        <v>100000</v>
      </c>
      <c r="F30" s="48">
        <v>129360</v>
      </c>
      <c r="G30" s="48">
        <v>0</v>
      </c>
      <c r="H30" s="5">
        <f t="shared" si="0"/>
        <v>100000.28740352351</v>
      </c>
      <c r="I30" s="43">
        <v>30000</v>
      </c>
      <c r="J30" s="44">
        <f t="shared" si="1"/>
        <v>70000.287403523515</v>
      </c>
    </row>
    <row r="31" spans="1:10" s="8" customFormat="1" x14ac:dyDescent="0.35">
      <c r="A31" s="47" t="s">
        <v>114</v>
      </c>
      <c r="B31" s="43">
        <f>MVTRESUME2019!C32</f>
        <v>117045</v>
      </c>
      <c r="C31" s="43">
        <f>MVTRESUME2019!D32</f>
        <v>0</v>
      </c>
      <c r="D31" s="43">
        <f>MVTRESUME2019!E32</f>
        <v>22.240996590782743</v>
      </c>
      <c r="E31" s="43">
        <f>MVTRESUME2019!G32</f>
        <v>84000</v>
      </c>
      <c r="F31" s="48">
        <v>0</v>
      </c>
      <c r="G31" s="48">
        <v>0</v>
      </c>
      <c r="H31" s="5">
        <f t="shared" si="0"/>
        <v>84022.240996590786</v>
      </c>
      <c r="I31" s="43">
        <v>30000</v>
      </c>
      <c r="J31" s="44">
        <f t="shared" si="1"/>
        <v>54022.240996590786</v>
      </c>
    </row>
    <row r="32" spans="1:10" x14ac:dyDescent="0.35">
      <c r="A32" s="42" t="s">
        <v>96</v>
      </c>
      <c r="B32" s="43">
        <f>MVTRESUME2019!C33</f>
        <v>480000</v>
      </c>
      <c r="C32" s="43">
        <f>MVTRESUME2019!D33</f>
        <v>91170.310621746714</v>
      </c>
      <c r="D32" s="43">
        <f>MVTRESUME2019!E33</f>
        <v>72138.254558185639</v>
      </c>
      <c r="E32" s="43">
        <f>MVTRESUME2019!G33</f>
        <v>82000</v>
      </c>
      <c r="F32" s="43">
        <v>0</v>
      </c>
      <c r="G32" s="43">
        <v>150000</v>
      </c>
      <c r="H32" s="5">
        <f t="shared" si="0"/>
        <v>245308.56517993234</v>
      </c>
      <c r="I32" s="43">
        <v>30000</v>
      </c>
      <c r="J32" s="44">
        <f t="shared" si="1"/>
        <v>215308.56517993234</v>
      </c>
    </row>
    <row r="33" spans="1:10" s="14" customFormat="1" x14ac:dyDescent="0.35">
      <c r="A33" s="45" t="s">
        <v>95</v>
      </c>
      <c r="B33" s="43">
        <f>MVTRESUME2019!C34</f>
        <v>480000</v>
      </c>
      <c r="C33" s="43">
        <f>MVTRESUME2019!D34</f>
        <v>78422.245259251824</v>
      </c>
      <c r="D33" s="43">
        <f>MVTRESUME2019!E34</f>
        <v>689.31860616087215</v>
      </c>
      <c r="E33" s="43">
        <f>MVTRESUME2019!G34</f>
        <v>30000</v>
      </c>
      <c r="F33" s="46">
        <v>108500</v>
      </c>
      <c r="G33" s="46">
        <v>808500</v>
      </c>
      <c r="H33" s="5">
        <f t="shared" si="0"/>
        <v>109111.5638654127</v>
      </c>
      <c r="I33" s="43"/>
      <c r="J33" s="44">
        <f t="shared" si="1"/>
        <v>109111.5638654127</v>
      </c>
    </row>
    <row r="34" spans="1:10" s="8" customFormat="1" x14ac:dyDescent="0.35">
      <c r="A34" s="42" t="s">
        <v>100</v>
      </c>
      <c r="B34" s="43">
        <f>MVTRESUME2019!C35</f>
        <v>480000</v>
      </c>
      <c r="C34" s="43">
        <f>MVTRESUME2019!D35</f>
        <v>80425.990897485564</v>
      </c>
      <c r="D34" s="43">
        <f>MVTRESUME2019!E35</f>
        <v>36.350487807299942</v>
      </c>
      <c r="E34" s="43">
        <f>MVTRESUME2019!G35</f>
        <v>144000</v>
      </c>
      <c r="F34" s="43">
        <v>0</v>
      </c>
      <c r="G34" s="43">
        <v>1000000</v>
      </c>
      <c r="H34" s="5">
        <f t="shared" si="0"/>
        <v>224462.34138529288</v>
      </c>
      <c r="I34" s="43">
        <v>30000</v>
      </c>
      <c r="J34" s="44">
        <f t="shared" si="1"/>
        <v>194462.34138529288</v>
      </c>
    </row>
    <row r="35" spans="1:10" x14ac:dyDescent="0.35">
      <c r="A35" s="42" t="s">
        <v>115</v>
      </c>
      <c r="B35" s="43">
        <f>MVTRESUME2019!C36</f>
        <v>480000</v>
      </c>
      <c r="C35" s="43">
        <f>MVTRESUME2019!D36</f>
        <v>79900.26982663176</v>
      </c>
      <c r="D35" s="43">
        <f>MVTRESUME2019!E36</f>
        <v>0.30040658926009201</v>
      </c>
      <c r="E35" s="43">
        <f>MVTRESUME2019!G36</f>
        <v>86500</v>
      </c>
      <c r="F35" s="43">
        <v>0</v>
      </c>
      <c r="G35" s="43">
        <v>1000000</v>
      </c>
      <c r="H35" s="5">
        <f t="shared" si="0"/>
        <v>166400.57023322102</v>
      </c>
      <c r="I35" s="43">
        <v>30000</v>
      </c>
      <c r="J35" s="44">
        <f t="shared" si="1"/>
        <v>136400.57023322102</v>
      </c>
    </row>
    <row r="36" spans="1:10" x14ac:dyDescent="0.35">
      <c r="A36" s="42" t="s">
        <v>87</v>
      </c>
      <c r="B36" s="43">
        <f>MVTRESUME2019!C37</f>
        <v>480000</v>
      </c>
      <c r="C36" s="43">
        <f>MVTRESUME2019!D37</f>
        <v>80218.625624560562</v>
      </c>
      <c r="D36" s="43">
        <f>MVTRESUME2019!E37</f>
        <v>109.79976263979916</v>
      </c>
      <c r="E36" s="43">
        <f>MVTRESUME2019!G37</f>
        <v>94000</v>
      </c>
      <c r="F36" s="43">
        <v>0</v>
      </c>
      <c r="G36" s="43">
        <v>1000000</v>
      </c>
      <c r="H36" s="5">
        <f t="shared" si="0"/>
        <v>174328.42538720038</v>
      </c>
      <c r="I36" s="43">
        <v>30000</v>
      </c>
      <c r="J36" s="44">
        <f t="shared" si="1"/>
        <v>144328.42538720038</v>
      </c>
    </row>
    <row r="37" spans="1:10" x14ac:dyDescent="0.35">
      <c r="A37" s="42" t="s">
        <v>116</v>
      </c>
      <c r="B37" s="43">
        <f>MVTRESUME2019!C38</f>
        <v>480000</v>
      </c>
      <c r="C37" s="43">
        <f>MVTRESUME2019!D38</f>
        <v>82325.064676950074</v>
      </c>
      <c r="D37" s="43">
        <f>MVTRESUME2019!E38</f>
        <v>15968.295339537319</v>
      </c>
      <c r="E37" s="43">
        <f>MVTRESUME2019!G38</f>
        <v>84000</v>
      </c>
      <c r="F37" s="43">
        <v>0</v>
      </c>
      <c r="G37" s="43">
        <v>0</v>
      </c>
      <c r="H37" s="5">
        <f t="shared" si="0"/>
        <v>182293.36001648739</v>
      </c>
      <c r="I37" s="43">
        <v>30000</v>
      </c>
      <c r="J37" s="44">
        <f t="shared" si="1"/>
        <v>152293.36001648739</v>
      </c>
    </row>
    <row r="38" spans="1:10" x14ac:dyDescent="0.35">
      <c r="A38" s="42" t="s">
        <v>117</v>
      </c>
      <c r="B38" s="43">
        <f>MVTRESUME2019!C39</f>
        <v>480000</v>
      </c>
      <c r="C38" s="43">
        <f>MVTRESUME2019!D39</f>
        <v>79309.541006732557</v>
      </c>
      <c r="D38" s="43">
        <f>MVTRESUME2019!E39</f>
        <v>0.17330693561234511</v>
      </c>
      <c r="E38" s="43">
        <f>MVTRESUME2019!G39</f>
        <v>54000</v>
      </c>
      <c r="F38" s="43">
        <v>155000</v>
      </c>
      <c r="G38" s="43">
        <v>0</v>
      </c>
      <c r="H38" s="5">
        <f t="shared" si="0"/>
        <v>133309.71431366817</v>
      </c>
      <c r="I38" s="43">
        <v>30000</v>
      </c>
      <c r="J38" s="44">
        <f t="shared" si="1"/>
        <v>103309.71431366817</v>
      </c>
    </row>
    <row r="39" spans="1:10" x14ac:dyDescent="0.35">
      <c r="A39" s="42" t="s">
        <v>118</v>
      </c>
      <c r="B39" s="43">
        <f>MVTRESUME2019!C40</f>
        <v>0</v>
      </c>
      <c r="C39" s="43">
        <f>MVTRESUME2019!D40</f>
        <v>3376.913330814542</v>
      </c>
      <c r="D39" s="43">
        <f>MVTRESUME2019!E40</f>
        <v>0</v>
      </c>
      <c r="E39" s="43">
        <f>MVTRESUME2019!G40</f>
        <v>104000</v>
      </c>
      <c r="F39" s="43">
        <v>0</v>
      </c>
      <c r="G39" s="43">
        <v>0</v>
      </c>
      <c r="H39" s="5">
        <f t="shared" si="0"/>
        <v>107376.91333081454</v>
      </c>
      <c r="I39" s="43">
        <v>30000</v>
      </c>
      <c r="J39" s="44">
        <f t="shared" si="1"/>
        <v>77376.913330814539</v>
      </c>
    </row>
    <row r="40" spans="1:10" s="8" customFormat="1" x14ac:dyDescent="0.35">
      <c r="A40" s="47" t="s">
        <v>143</v>
      </c>
      <c r="B40" s="43">
        <f>MVTRESUME2019!C41</f>
        <v>480000</v>
      </c>
      <c r="C40" s="43">
        <f>MVTRESUME2019!D41</f>
        <v>80174.992283614876</v>
      </c>
      <c r="D40" s="43">
        <f>MVTRESUME2019!E41</f>
        <v>2777.4644755606423</v>
      </c>
      <c r="E40" s="43">
        <f>MVTRESUME2019!G41</f>
        <v>82000</v>
      </c>
      <c r="F40" s="48">
        <v>155000</v>
      </c>
      <c r="G40" s="48">
        <v>755000</v>
      </c>
      <c r="H40" s="5">
        <f t="shared" si="0"/>
        <v>164952.45675917552</v>
      </c>
      <c r="I40" s="43">
        <v>30000</v>
      </c>
      <c r="J40" s="44">
        <f t="shared" si="1"/>
        <v>134952.45675917552</v>
      </c>
    </row>
    <row r="41" spans="1:10" x14ac:dyDescent="0.35">
      <c r="A41" s="42" t="s">
        <v>120</v>
      </c>
      <c r="B41" s="43">
        <f>MVTRESUME2019!C42</f>
        <v>480000</v>
      </c>
      <c r="C41" s="43">
        <f>MVTRESUME2019!D42</f>
        <v>79793.71388976372</v>
      </c>
      <c r="D41" s="43">
        <f>MVTRESUME2019!E42</f>
        <v>0</v>
      </c>
      <c r="E41" s="43">
        <f>MVTRESUME2019!G42</f>
        <v>84000</v>
      </c>
      <c r="F41" s="43">
        <v>0</v>
      </c>
      <c r="G41" s="43">
        <v>0</v>
      </c>
      <c r="H41" s="5">
        <f t="shared" si="0"/>
        <v>163793.71388976372</v>
      </c>
      <c r="I41" s="43">
        <v>30000</v>
      </c>
      <c r="J41" s="44">
        <f t="shared" si="1"/>
        <v>133793.71388976372</v>
      </c>
    </row>
    <row r="42" spans="1:10" x14ac:dyDescent="0.35">
      <c r="A42" s="42" t="s">
        <v>121</v>
      </c>
      <c r="B42" s="43">
        <f>MVTRESUME2019!C43</f>
        <v>480000</v>
      </c>
      <c r="C42" s="43">
        <f>MVTRESUME2019!D43</f>
        <v>84611.13302311454</v>
      </c>
      <c r="D42" s="43">
        <f>MVTRESUME2019!E43</f>
        <v>-0.39887899404857308</v>
      </c>
      <c r="E42" s="43">
        <f>MVTRESUME2019!G43</f>
        <v>174000</v>
      </c>
      <c r="F42" s="43">
        <v>0</v>
      </c>
      <c r="G42" s="43">
        <v>500000</v>
      </c>
      <c r="H42" s="5">
        <f t="shared" si="0"/>
        <v>258610.73414412048</v>
      </c>
      <c r="I42" s="43">
        <v>30000</v>
      </c>
      <c r="J42" s="44">
        <f t="shared" si="1"/>
        <v>228610.73414412048</v>
      </c>
    </row>
    <row r="43" spans="1:10" x14ac:dyDescent="0.35">
      <c r="A43" s="42" t="s">
        <v>122</v>
      </c>
      <c r="B43" s="43">
        <f>MVTRESUME2019!C44</f>
        <v>480000</v>
      </c>
      <c r="C43" s="43">
        <f>MVTRESUME2019!D44</f>
        <v>95391.522236883728</v>
      </c>
      <c r="D43" s="43">
        <f>MVTRESUME2019!E44</f>
        <v>1360.775029899698</v>
      </c>
      <c r="E43" s="43">
        <f>MVTRESUME2019!G44</f>
        <v>84000</v>
      </c>
      <c r="F43" s="43">
        <v>0</v>
      </c>
      <c r="G43" s="43">
        <v>1000000</v>
      </c>
      <c r="H43" s="5">
        <f t="shared" si="0"/>
        <v>180752.29726678343</v>
      </c>
      <c r="I43" s="43">
        <v>30000</v>
      </c>
      <c r="J43" s="44">
        <f t="shared" si="1"/>
        <v>150752.29726678343</v>
      </c>
    </row>
    <row r="44" spans="1:10" s="14" customFormat="1" x14ac:dyDescent="0.35">
      <c r="A44" s="45" t="s">
        <v>123</v>
      </c>
      <c r="B44" s="43">
        <f>MVTRESUME2019!C45</f>
        <v>480000</v>
      </c>
      <c r="C44" s="43">
        <f>MVTRESUME2019!D45</f>
        <v>78500.211202080493</v>
      </c>
      <c r="D44" s="43">
        <f>MVTRESUME2019!E45</f>
        <v>1225.3544029653422</v>
      </c>
      <c r="E44" s="43">
        <f>MVTRESUME2019!G45</f>
        <v>30000</v>
      </c>
      <c r="F44" s="46">
        <v>131750</v>
      </c>
      <c r="G44" s="46">
        <v>981750</v>
      </c>
      <c r="H44" s="5">
        <f t="shared" si="0"/>
        <v>109725.56560504583</v>
      </c>
      <c r="I44" s="43"/>
      <c r="J44" s="44">
        <f t="shared" si="1"/>
        <v>109725.56560504583</v>
      </c>
    </row>
    <row r="45" spans="1:10" s="14" customFormat="1" x14ac:dyDescent="0.35">
      <c r="A45" s="45" t="s">
        <v>124</v>
      </c>
      <c r="B45" s="43">
        <f>MVTRESUME2019!C46</f>
        <v>30000</v>
      </c>
      <c r="C45" s="43">
        <f>MVTRESUME2019!D46</f>
        <v>0</v>
      </c>
      <c r="D45" s="43">
        <f>MVTRESUME2019!E46</f>
        <v>21.303203075842248</v>
      </c>
      <c r="E45" s="43">
        <f>MVTRESUME2019!G46</f>
        <v>30000</v>
      </c>
      <c r="F45" s="46">
        <v>0</v>
      </c>
      <c r="G45" s="46">
        <v>0</v>
      </c>
      <c r="H45" s="5">
        <f t="shared" si="0"/>
        <v>30021.30320307584</v>
      </c>
      <c r="I45" s="43"/>
      <c r="J45" s="44">
        <f t="shared" si="1"/>
        <v>30021.30320307584</v>
      </c>
    </row>
    <row r="46" spans="1:10" s="14" customFormat="1" x14ac:dyDescent="0.35">
      <c r="A46" s="45" t="s">
        <v>125</v>
      </c>
      <c r="B46" s="43">
        <f>MVTRESUME2019!C47</f>
        <v>480000</v>
      </c>
      <c r="C46" s="43">
        <f>MVTRESUME2019!D47</f>
        <v>77674.987774544497</v>
      </c>
      <c r="D46" s="43">
        <f>MVTRESUME2019!E47</f>
        <v>0.15040472695545759</v>
      </c>
      <c r="E46" s="43">
        <f>MVTRESUME2019!G47</f>
        <v>22000</v>
      </c>
      <c r="F46" s="46">
        <v>155000</v>
      </c>
      <c r="G46" s="46">
        <v>1155000</v>
      </c>
      <c r="H46" s="5">
        <f t="shared" si="0"/>
        <v>99675.138179271453</v>
      </c>
      <c r="I46" s="43">
        <v>30000</v>
      </c>
      <c r="J46" s="44">
        <f t="shared" si="1"/>
        <v>69675.138179271453</v>
      </c>
    </row>
    <row r="47" spans="1:10" x14ac:dyDescent="0.35">
      <c r="A47" s="42" t="s">
        <v>126</v>
      </c>
      <c r="B47" s="43">
        <f>MVTRESUME2019!C48</f>
        <v>480000</v>
      </c>
      <c r="C47" s="43">
        <f>MVTRESUME2019!D48</f>
        <v>149658.23869144428</v>
      </c>
      <c r="D47" s="43">
        <f>MVTRESUME2019!E48</f>
        <v>440720.17653060926</v>
      </c>
      <c r="E47" s="43">
        <f>MVTRESUME2019!G48</f>
        <v>84000</v>
      </c>
      <c r="F47" s="43">
        <v>37500</v>
      </c>
      <c r="G47" s="43">
        <v>700000</v>
      </c>
      <c r="H47" s="5">
        <f t="shared" si="0"/>
        <v>674378.41522205353</v>
      </c>
      <c r="I47" s="43">
        <v>30000</v>
      </c>
      <c r="J47" s="44">
        <f t="shared" si="1"/>
        <v>644378.41522205353</v>
      </c>
    </row>
    <row r="48" spans="1:10" x14ac:dyDescent="0.35">
      <c r="A48" s="42" t="s">
        <v>127</v>
      </c>
      <c r="B48" s="43">
        <f>MVTRESUME2019!C49</f>
        <v>480000</v>
      </c>
      <c r="C48" s="43">
        <f>MVTRESUME2019!D49</f>
        <v>317201.9797878497</v>
      </c>
      <c r="D48" s="43">
        <f>MVTRESUME2019!E49</f>
        <v>1198154.6510912008</v>
      </c>
      <c r="E48" s="43">
        <f>MVTRESUME2019!G49</f>
        <v>1024000</v>
      </c>
      <c r="F48" s="43">
        <v>0</v>
      </c>
      <c r="G48" s="43">
        <v>0</v>
      </c>
      <c r="H48" s="5">
        <f t="shared" si="0"/>
        <v>2539356.6308790506</v>
      </c>
      <c r="I48" s="43">
        <v>30000</v>
      </c>
      <c r="J48" s="44">
        <f t="shared" si="1"/>
        <v>2509356.6308790506</v>
      </c>
    </row>
    <row r="49" spans="1:10" ht="17.5" x14ac:dyDescent="0.35">
      <c r="A49" s="42"/>
      <c r="B49" s="49"/>
      <c r="C49" s="43"/>
      <c r="D49" s="52"/>
      <c r="E49" s="43"/>
      <c r="F49" s="43"/>
      <c r="G49" s="50"/>
      <c r="H49" s="50"/>
      <c r="I49" s="50"/>
      <c r="J49" s="51"/>
    </row>
    <row r="50" spans="1:10" ht="16" thickBot="1" x14ac:dyDescent="0.4">
      <c r="A50" s="53"/>
      <c r="B50" s="54">
        <f t="shared" ref="B50:J50" si="2">SUM(B6:B49)</f>
        <v>17782722.011083744</v>
      </c>
      <c r="C50" s="54">
        <f t="shared" si="2"/>
        <v>3692643.8500000006</v>
      </c>
      <c r="D50" s="54">
        <f t="shared" si="2"/>
        <v>4844130.5976969898</v>
      </c>
      <c r="E50" s="54">
        <f t="shared" si="2"/>
        <v>5614000</v>
      </c>
      <c r="F50" s="54">
        <f t="shared" si="2"/>
        <v>1475110</v>
      </c>
      <c r="G50" s="54">
        <f t="shared" si="2"/>
        <v>20286750</v>
      </c>
      <c r="H50" s="54">
        <f t="shared" si="2"/>
        <v>14150774.447696989</v>
      </c>
      <c r="I50" s="54">
        <f t="shared" si="2"/>
        <v>1020000</v>
      </c>
      <c r="J50" s="55">
        <f t="shared" si="2"/>
        <v>13130774.447696989</v>
      </c>
    </row>
    <row r="51" spans="1:10" ht="15" thickTop="1" x14ac:dyDescent="0.35"/>
  </sheetData>
  <autoFilter ref="A5:E48" xr:uid="{00000000-0009-0000-0000-000027000000}">
    <sortState ref="A5:L48">
      <sortCondition ref="A5:A48"/>
    </sortState>
  </autoFilter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H45"/>
  <sheetViews>
    <sheetView workbookViewId="0">
      <pane xSplit="2" ySplit="1" topLeftCell="W27" activePane="bottomRight" state="frozen"/>
      <selection pane="topRight" activeCell="C1" sqref="C1"/>
      <selection pane="bottomLeft" activeCell="A5" sqref="A5"/>
      <selection pane="bottomRight" activeCell="D45" sqref="D45"/>
    </sheetView>
  </sheetViews>
  <sheetFormatPr baseColWidth="10" defaultColWidth="11" defaultRowHeight="14.5" x14ac:dyDescent="0.35"/>
  <cols>
    <col min="1" max="1" width="13.81640625" customWidth="1"/>
    <col min="2" max="3" width="29.54296875" customWidth="1"/>
    <col min="4" max="4" width="15.26953125" customWidth="1"/>
    <col min="5" max="5" width="20.26953125" customWidth="1"/>
    <col min="6" max="6" width="16.81640625" customWidth="1"/>
    <col min="7" max="7" width="15" customWidth="1"/>
    <col min="8" max="8" width="17.54296875" style="3" customWidth="1"/>
    <col min="9" max="9" width="15.7265625" style="2" customWidth="1"/>
    <col min="10" max="10" width="15" style="2" bestFit="1" customWidth="1"/>
    <col min="11" max="12" width="12.453125" style="2" customWidth="1"/>
    <col min="13" max="13" width="13.453125" style="2" bestFit="1" customWidth="1"/>
    <col min="14" max="15" width="17.54296875" style="2" customWidth="1"/>
    <col min="16" max="16" width="14.81640625" customWidth="1"/>
    <col min="17" max="17" width="20.453125" bestFit="1" customWidth="1"/>
    <col min="18" max="18" width="16.54296875" customWidth="1"/>
    <col min="20" max="21" width="16.81640625" bestFit="1" customWidth="1"/>
    <col min="22" max="25" width="16.81640625" customWidth="1"/>
    <col min="26" max="26" width="28.7265625" bestFit="1" customWidth="1"/>
  </cols>
  <sheetData>
    <row r="1" spans="1:34" ht="43.5" x14ac:dyDescent="0.45">
      <c r="A1" s="1" t="s">
        <v>4</v>
      </c>
      <c r="B1" s="56" t="s">
        <v>144</v>
      </c>
      <c r="C1" t="s">
        <v>145</v>
      </c>
      <c r="D1" t="s">
        <v>149</v>
      </c>
      <c r="E1" s="1" t="s">
        <v>69</v>
      </c>
      <c r="F1" s="1" t="s">
        <v>8</v>
      </c>
      <c r="G1" s="1" t="s">
        <v>9</v>
      </c>
      <c r="H1" s="4" t="s">
        <v>10</v>
      </c>
      <c r="I1" s="4" t="s">
        <v>11</v>
      </c>
      <c r="J1" s="4" t="s">
        <v>12</v>
      </c>
      <c r="K1" s="4" t="s">
        <v>72</v>
      </c>
      <c r="L1" s="4" t="s">
        <v>71</v>
      </c>
      <c r="M1" s="4" t="s">
        <v>13</v>
      </c>
      <c r="N1" t="s">
        <v>146</v>
      </c>
      <c r="O1"/>
      <c r="P1" s="4" t="s">
        <v>63</v>
      </c>
      <c r="Q1" s="4" t="s">
        <v>64</v>
      </c>
      <c r="R1" t="s">
        <v>147</v>
      </c>
      <c r="S1" s="4" t="s">
        <v>14</v>
      </c>
      <c r="T1" t="s">
        <v>151</v>
      </c>
      <c r="U1" s="4" t="s">
        <v>86</v>
      </c>
      <c r="V1" s="4" t="s">
        <v>135</v>
      </c>
      <c r="W1" t="s">
        <v>148</v>
      </c>
      <c r="X1" s="4" t="s">
        <v>137</v>
      </c>
      <c r="Y1" s="4" t="s">
        <v>150</v>
      </c>
      <c r="Z1" s="4" t="s">
        <v>15</v>
      </c>
      <c r="AB1" s="4" t="s">
        <v>134</v>
      </c>
      <c r="AC1" s="4" t="s">
        <v>9</v>
      </c>
      <c r="AD1" s="4" t="s">
        <v>131</v>
      </c>
      <c r="AE1" s="4" t="s">
        <v>132</v>
      </c>
      <c r="AF1" s="4" t="s">
        <v>139</v>
      </c>
      <c r="AG1" s="4" t="s">
        <v>133</v>
      </c>
      <c r="AH1" s="4" t="s">
        <v>9</v>
      </c>
    </row>
    <row r="2" spans="1:34" ht="15.75" customHeight="1" x14ac:dyDescent="0.35">
      <c r="A2" s="1" t="s">
        <v>16</v>
      </c>
      <c r="B2" s="1" t="str">
        <f>VLOOKUP(A2,[30]LISTADHERENT!A$5:H$57,3,0)</f>
        <v>ASELBY</v>
      </c>
      <c r="C2" s="5">
        <f>MVTRESUME2019!C6</f>
        <v>394081.01108374598</v>
      </c>
      <c r="D2" s="5">
        <f>MVTRESUME2019!D6</f>
        <v>62668.935014227369</v>
      </c>
      <c r="E2" s="5">
        <f>MVTRESUME2019!E6</f>
        <v>0</v>
      </c>
      <c r="F2" s="5">
        <f>MVTRESUME2019!F6</f>
        <v>0</v>
      </c>
      <c r="G2" s="5">
        <f>MVTRESUME2019!G6</f>
        <v>0</v>
      </c>
      <c r="H2" s="5">
        <f>MVTRESUME2019!H6</f>
        <v>0</v>
      </c>
      <c r="I2" s="5">
        <f>MVTRESUME2019!I6</f>
        <v>0</v>
      </c>
      <c r="J2" s="5">
        <f>MVTRESUME2019!J6</f>
        <v>0</v>
      </c>
      <c r="K2" s="5">
        <f>MVTRESUME2019!K6</f>
        <v>0</v>
      </c>
      <c r="L2" s="5">
        <f>MVTRESUME2019!L6</f>
        <v>0</v>
      </c>
      <c r="M2" s="5">
        <f>MVTRESUME2019!M6</f>
        <v>0</v>
      </c>
      <c r="N2" s="5">
        <f>MVTRESUME2019!N6</f>
        <v>0</v>
      </c>
      <c r="O2" s="5">
        <f>MVTRESUME2019!O6</f>
        <v>0</v>
      </c>
      <c r="P2" s="5">
        <f>MVTRESUME2019!P6</f>
        <v>0</v>
      </c>
      <c r="Q2" s="5">
        <f>MVTRESUME2019!Q6</f>
        <v>0</v>
      </c>
      <c r="R2" s="5">
        <f>MVTRESUME2019!R6</f>
        <v>0</v>
      </c>
      <c r="S2" s="5">
        <f>MVTRESUME2019!S6</f>
        <v>0</v>
      </c>
      <c r="T2" s="5">
        <f>MVTRESUME2019!T6</f>
        <v>0</v>
      </c>
      <c r="U2" s="5">
        <f>MVTRESUME2019!U6</f>
        <v>62668.935014227369</v>
      </c>
      <c r="V2" s="5">
        <f>MVTRESUME2019!V6</f>
        <v>0</v>
      </c>
      <c r="W2" s="5">
        <f>MVTRESUME2019!W6</f>
        <v>0</v>
      </c>
      <c r="X2" s="5">
        <f>MVTRESUME2019!X6</f>
        <v>0</v>
      </c>
      <c r="Y2" s="5">
        <f>MVTRESUME2019!Y6</f>
        <v>62668.935014227369</v>
      </c>
      <c r="Z2" s="5">
        <f>MVTRESUME2019!Y6</f>
        <v>62668.935014227369</v>
      </c>
      <c r="AA2" s="5">
        <f>MVTRESUME2019!AA6</f>
        <v>0</v>
      </c>
      <c r="AB2" s="5">
        <f>MVTRESUME2019!AB6</f>
        <v>0</v>
      </c>
      <c r="AC2" s="5">
        <f>MVTRESUME2019!AC6</f>
        <v>0</v>
      </c>
      <c r="AD2" s="5">
        <f>MVTRESUME2019!AD6</f>
        <v>0</v>
      </c>
      <c r="AE2" s="5">
        <f>MVTRESUME2019!AE6</f>
        <v>0</v>
      </c>
      <c r="AF2" s="5">
        <f>MVTRESUME2019!AF6</f>
        <v>0</v>
      </c>
      <c r="AG2" s="5">
        <f>MVTRESUME2019!AG6</f>
        <v>0</v>
      </c>
    </row>
    <row r="3" spans="1:34" s="14" customFormat="1" x14ac:dyDescent="0.35">
      <c r="A3" s="12" t="s">
        <v>17</v>
      </c>
      <c r="B3" s="1" t="str">
        <f>VLOOKUP(A3,[30]LISTADHERENT!A$5:H$57,3,0)</f>
        <v>BAKOP ACHILLE</v>
      </c>
      <c r="C3" s="5">
        <f>MVTRESUME2019!C7</f>
        <v>480000</v>
      </c>
      <c r="D3" s="5">
        <f>MVTRESUME2019!D7</f>
        <v>0</v>
      </c>
      <c r="E3" s="5">
        <f>MVTRESUME2019!E7</f>
        <v>0.49369671277236193</v>
      </c>
      <c r="F3" s="5">
        <f>MVTRESUME2019!F7</f>
        <v>0</v>
      </c>
      <c r="G3" s="5">
        <f>MVTRESUME2019!G7</f>
        <v>2000</v>
      </c>
      <c r="H3" s="5">
        <f>MVTRESUME2019!H7</f>
        <v>1000</v>
      </c>
      <c r="I3" s="5">
        <f>MVTRESUME2019!I7</f>
        <v>2000</v>
      </c>
      <c r="J3" s="5">
        <f>MVTRESUME2019!J7</f>
        <v>5000</v>
      </c>
      <c r="K3" s="5">
        <f>MVTRESUME2019!K7</f>
        <v>1000</v>
      </c>
      <c r="L3" s="5">
        <f>MVTRESUME2019!L7</f>
        <v>0</v>
      </c>
      <c r="M3" s="5">
        <f>MVTRESUME2019!M7</f>
        <v>0</v>
      </c>
      <c r="N3" s="5">
        <f>MVTRESUME2019!N7</f>
        <v>500000</v>
      </c>
      <c r="O3" s="5">
        <f>MVTRESUME2019!O7</f>
        <v>0</v>
      </c>
      <c r="P3" s="5">
        <f>MVTRESUME2019!P7</f>
        <v>0</v>
      </c>
      <c r="Q3" s="5">
        <f>MVTRESUME2019!Q7</f>
        <v>588000</v>
      </c>
      <c r="R3" s="5">
        <f>MVTRESUME2019!R7</f>
        <v>88000</v>
      </c>
      <c r="S3" s="5">
        <f>MVTRESUME2019!S7</f>
        <v>0</v>
      </c>
      <c r="T3" s="5">
        <f>MVTRESUME2019!T7</f>
        <v>0</v>
      </c>
      <c r="U3" s="5">
        <f>MVTRESUME2019!U7</f>
        <v>2000.4936967127724</v>
      </c>
      <c r="V3" s="5">
        <f>MVTRESUME2019!V7</f>
        <v>2000</v>
      </c>
      <c r="W3" s="5">
        <f>MVTRESUME2019!W7</f>
        <v>0</v>
      </c>
      <c r="X3" s="5">
        <f>MVTRESUME2019!X7</f>
        <v>0</v>
      </c>
      <c r="Y3" s="5">
        <f>MVTRESUME2019!Y7</f>
        <v>2000.4936967127724</v>
      </c>
      <c r="Z3" s="35" t="s">
        <v>89</v>
      </c>
      <c r="AA3" s="14" t="s">
        <v>129</v>
      </c>
      <c r="AC3" s="11">
        <f>G3+D3</f>
        <v>2000</v>
      </c>
      <c r="AD3" s="11">
        <v>-14000</v>
      </c>
      <c r="AE3" s="11">
        <f>[31]TONTRESUME!$M$6</f>
        <v>336000</v>
      </c>
      <c r="AF3" s="11"/>
      <c r="AG3" s="7">
        <f>C3-T3+U3+AD3+AE3-Q3</f>
        <v>216000.49369671277</v>
      </c>
    </row>
    <row r="4" spans="1:34" x14ac:dyDescent="0.35">
      <c r="A4" s="1" t="s">
        <v>19</v>
      </c>
      <c r="B4" s="1" t="str">
        <f>VLOOKUP(A4,[30]LISTADHERENT!A$5:H$57,3,0)</f>
        <v>BOUTCHOUANG WILLIAM</v>
      </c>
      <c r="C4" s="5">
        <f>MVTRESUME2019!C8</f>
        <v>480000</v>
      </c>
      <c r="D4" s="5">
        <f>MVTRESUME2019!D8</f>
        <v>79945.737949015122</v>
      </c>
      <c r="E4" s="5">
        <f>MVTRESUME2019!E8</f>
        <v>1331.2797186755051</v>
      </c>
      <c r="F4" s="5">
        <f>MVTRESUME2019!F8</f>
        <v>0</v>
      </c>
      <c r="G4" s="5">
        <f>MVTRESUME2019!G8</f>
        <v>82000</v>
      </c>
      <c r="H4" s="5">
        <f>MVTRESUME2019!H8</f>
        <v>7000</v>
      </c>
      <c r="I4" s="5">
        <f>MVTRESUME2019!I8</f>
        <v>14000</v>
      </c>
      <c r="J4" s="5">
        <f>MVTRESUME2019!J8</f>
        <v>35000</v>
      </c>
      <c r="K4" s="5">
        <f>MVTRESUME2019!K8</f>
        <v>9000</v>
      </c>
      <c r="L4" s="5">
        <f>MVTRESUME2019!L8</f>
        <v>0</v>
      </c>
      <c r="M4" s="5">
        <f>MVTRESUME2019!M8</f>
        <v>0</v>
      </c>
      <c r="N4" s="5">
        <f>MVTRESUME2019!N8</f>
        <v>1000000</v>
      </c>
      <c r="O4" s="5">
        <f>MVTRESUME2019!O8</f>
        <v>30000</v>
      </c>
      <c r="P4" s="5">
        <f>MVTRESUME2019!P8</f>
        <v>0</v>
      </c>
      <c r="Q4" s="5">
        <f>MVTRESUME2019!Q8</f>
        <v>1000000</v>
      </c>
      <c r="R4" s="5">
        <f>MVTRESUME2019!R8</f>
        <v>0</v>
      </c>
      <c r="S4" s="5">
        <f>MVTRESUME2019!S8</f>
        <v>0</v>
      </c>
      <c r="T4" s="5">
        <f>MVTRESUME2019!T8</f>
        <v>0</v>
      </c>
      <c r="U4" s="5">
        <f>MVTRESUME2019!U8</f>
        <v>163277.01766769064</v>
      </c>
      <c r="V4" s="5">
        <f>MVTRESUME2019!V8</f>
        <v>130000</v>
      </c>
      <c r="W4" s="5">
        <f>MVTRESUME2019!W8</f>
        <v>30000</v>
      </c>
      <c r="X4" s="5">
        <f>MVTRESUME2019!X8</f>
        <v>0</v>
      </c>
      <c r="Y4" s="5">
        <f>MVTRESUME2019!Y8</f>
        <v>133277.01766769064</v>
      </c>
      <c r="Z4" s="17"/>
      <c r="AC4" s="11">
        <f t="shared" ref="AC4:AC44" si="0">G4+D4</f>
        <v>161945.73794901511</v>
      </c>
    </row>
    <row r="5" spans="1:34" s="14" customFormat="1" x14ac:dyDescent="0.35">
      <c r="A5" s="12" t="s">
        <v>21</v>
      </c>
      <c r="B5" s="1" t="str">
        <f>VLOOKUP(A5,[30]LISTADHERENT!A$5:H$57,3,0)</f>
        <v>CHINGUE FABRICE</v>
      </c>
      <c r="C5" s="5">
        <f>MVTRESUME2019!C9</f>
        <v>480000</v>
      </c>
      <c r="D5" s="5">
        <f>MVTRESUME2019!D9</f>
        <v>79896.677076385677</v>
      </c>
      <c r="E5" s="5">
        <f>MVTRESUME2019!E9</f>
        <v>3703.9516264695849</v>
      </c>
      <c r="F5" s="5">
        <f>MVTRESUME2019!F9</f>
        <v>0</v>
      </c>
      <c r="G5" s="5">
        <f>MVTRESUME2019!G9</f>
        <v>54000</v>
      </c>
      <c r="H5" s="5">
        <f>MVTRESUME2019!H9</f>
        <v>4500</v>
      </c>
      <c r="I5" s="5">
        <f>MVTRESUME2019!I9</f>
        <v>9000</v>
      </c>
      <c r="J5" s="5">
        <f>MVTRESUME2019!J9</f>
        <v>22500</v>
      </c>
      <c r="K5" s="5">
        <f>MVTRESUME2019!K9</f>
        <v>7000</v>
      </c>
      <c r="L5" s="5">
        <f>MVTRESUME2019!L9</f>
        <v>0</v>
      </c>
      <c r="M5" s="5">
        <f>MVTRESUME2019!M9</f>
        <v>0</v>
      </c>
      <c r="N5" s="5">
        <f>MVTRESUME2019!N9</f>
        <v>700000</v>
      </c>
      <c r="O5" s="5">
        <f>MVTRESUME2019!O9</f>
        <v>84000</v>
      </c>
      <c r="P5" s="5">
        <f>MVTRESUME2019!P9</f>
        <v>0</v>
      </c>
      <c r="Q5" s="5">
        <f>MVTRESUME2019!Q9</f>
        <v>0</v>
      </c>
      <c r="R5" s="5">
        <f>MVTRESUME2019!R9</f>
        <v>108500</v>
      </c>
      <c r="S5" s="5">
        <f>MVTRESUME2019!S9</f>
        <v>0</v>
      </c>
      <c r="T5" s="5">
        <f>MVTRESUME2019!T9</f>
        <v>808500</v>
      </c>
      <c r="U5" s="5">
        <f>MVTRESUME2019!U9</f>
        <v>137600.62870285526</v>
      </c>
      <c r="V5" s="5">
        <f>MVTRESUME2019!V9</f>
        <v>107601</v>
      </c>
      <c r="W5" s="5">
        <f>MVTRESUME2019!W9</f>
        <v>30000</v>
      </c>
      <c r="X5" s="5">
        <f>MVTRESUME2019!X9</f>
        <v>0</v>
      </c>
      <c r="Y5" s="5">
        <f>MVTRESUME2019!Y9</f>
        <v>107600.62870285526</v>
      </c>
      <c r="Z5" s="35" t="s">
        <v>94</v>
      </c>
      <c r="AA5" s="14" t="s">
        <v>129</v>
      </c>
      <c r="AB5" s="11">
        <f>35000+73500</f>
        <v>108500</v>
      </c>
      <c r="AC5" s="11">
        <f t="shared" si="0"/>
        <v>133896.67707638568</v>
      </c>
      <c r="AD5" s="11" t="e">
        <f>#REF!</f>
        <v>#REF!</v>
      </c>
      <c r="AE5" s="11">
        <v>-426000</v>
      </c>
      <c r="AF5" s="11"/>
      <c r="AG5" s="7" t="e">
        <f>C5-T5+U5+AD5+AE5</f>
        <v>#REF!</v>
      </c>
    </row>
    <row r="6" spans="1:34" x14ac:dyDescent="0.35">
      <c r="A6" s="1" t="s">
        <v>77</v>
      </c>
      <c r="B6" s="1" t="str">
        <f>VLOOKUP(A6,[30]LISTADHERENT!A$5:H$57,3,0)</f>
        <v>DJOMO DOMO</v>
      </c>
      <c r="C6" s="5">
        <f>MVTRESUME2019!C10</f>
        <v>0</v>
      </c>
      <c r="D6" s="5">
        <f>MVTRESUME2019!D10</f>
        <v>1764.4540515245424</v>
      </c>
      <c r="E6" s="5">
        <f>MVTRESUME2019!E10</f>
        <v>2994.5270055831024</v>
      </c>
      <c r="F6" s="5">
        <f>MVTRESUME2019!F10</f>
        <v>0</v>
      </c>
      <c r="G6" s="5">
        <f>MVTRESUME2019!G10</f>
        <v>12000</v>
      </c>
      <c r="H6" s="5">
        <f>MVTRESUME2019!H10</f>
        <v>1000</v>
      </c>
      <c r="I6" s="5">
        <f>MVTRESUME2019!I10</f>
        <v>2000</v>
      </c>
      <c r="J6" s="5">
        <f>MVTRESUME2019!J10</f>
        <v>5000</v>
      </c>
      <c r="K6" s="5">
        <f>MVTRESUME2019!K10</f>
        <v>0</v>
      </c>
      <c r="L6" s="5">
        <f>MVTRESUME2019!L10</f>
        <v>0</v>
      </c>
      <c r="M6" s="5">
        <f>MVTRESUME2019!M10</f>
        <v>0</v>
      </c>
      <c r="N6" s="5">
        <f>MVTRESUME2019!N10</f>
        <v>0</v>
      </c>
      <c r="O6" s="5">
        <f>MVTRESUME2019!O10</f>
        <v>0</v>
      </c>
      <c r="P6" s="5">
        <f>MVTRESUME2019!P10</f>
        <v>0</v>
      </c>
      <c r="Q6" s="5">
        <f>MVTRESUME2019!Q10</f>
        <v>0</v>
      </c>
      <c r="R6" s="5">
        <f>MVTRESUME2019!R10</f>
        <v>0</v>
      </c>
      <c r="S6" s="5">
        <f>MVTRESUME2019!S10</f>
        <v>0</v>
      </c>
      <c r="T6" s="5">
        <f>MVTRESUME2019!T10</f>
        <v>0</v>
      </c>
      <c r="U6" s="5">
        <f>MVTRESUME2019!U10</f>
        <v>16758.981057107645</v>
      </c>
      <c r="V6" s="5">
        <f>MVTRESUME2019!V10</f>
        <v>16759</v>
      </c>
      <c r="W6" s="5">
        <f>MVTRESUME2019!W10</f>
        <v>0</v>
      </c>
      <c r="X6" s="5">
        <f>MVTRESUME2019!X10</f>
        <v>0</v>
      </c>
      <c r="Y6" s="5">
        <f>MVTRESUME2019!Y10</f>
        <v>16758.981057107645</v>
      </c>
      <c r="Z6" s="17"/>
      <c r="AC6" s="11">
        <f t="shared" si="0"/>
        <v>13764.454051524543</v>
      </c>
    </row>
    <row r="7" spans="1:34" x14ac:dyDescent="0.35">
      <c r="A7" s="1" t="s">
        <v>23</v>
      </c>
      <c r="B7" s="1" t="str">
        <f>VLOOKUP(A7,[30]LISTADHERENT!A$5:H$57,3,0)</f>
        <v xml:space="preserve">DJOMO JEAN PAUL </v>
      </c>
      <c r="C7" s="5">
        <f>MVTRESUME2019!C11</f>
        <v>480000</v>
      </c>
      <c r="D7" s="5">
        <f>MVTRESUME2019!D11</f>
        <v>81380.868527515064</v>
      </c>
      <c r="E7" s="5">
        <f>MVTRESUME2019!E11</f>
        <v>404.48981912998715</v>
      </c>
      <c r="F7" s="5">
        <f>MVTRESUME2019!F11</f>
        <v>0</v>
      </c>
      <c r="G7" s="5">
        <f>MVTRESUME2019!G11</f>
        <v>97500</v>
      </c>
      <c r="H7" s="5">
        <f>MVTRESUME2019!H11</f>
        <v>7000</v>
      </c>
      <c r="I7" s="5">
        <f>MVTRESUME2019!I11</f>
        <v>14000</v>
      </c>
      <c r="J7" s="5">
        <f>MVTRESUME2019!J11</f>
        <v>35000</v>
      </c>
      <c r="K7" s="5">
        <f>MVTRESUME2019!K11</f>
        <v>6000</v>
      </c>
      <c r="L7" s="5">
        <f>MVTRESUME2019!L11</f>
        <v>0</v>
      </c>
      <c r="M7" s="5">
        <f>MVTRESUME2019!M11</f>
        <v>0</v>
      </c>
      <c r="N7" s="5">
        <f>MVTRESUME2019!N11</f>
        <v>2800000</v>
      </c>
      <c r="O7" s="5">
        <f>MVTRESUME2019!O11</f>
        <v>218000</v>
      </c>
      <c r="P7" s="5">
        <f>MVTRESUME2019!P11</f>
        <v>110000</v>
      </c>
      <c r="Q7" s="5">
        <f>MVTRESUME2019!Q11</f>
        <v>1800000</v>
      </c>
      <c r="R7" s="5">
        <f>MVTRESUME2019!R11</f>
        <v>50000</v>
      </c>
      <c r="S7" s="5">
        <f>MVTRESUME2019!S11</f>
        <v>0</v>
      </c>
      <c r="T7" s="5">
        <f>MVTRESUME2019!T11</f>
        <v>1050000</v>
      </c>
      <c r="U7" s="5">
        <f>MVTRESUME2019!U11</f>
        <v>179285.35834664505</v>
      </c>
      <c r="V7" s="5">
        <f>MVTRESUME2019!V11</f>
        <v>146000</v>
      </c>
      <c r="W7" s="5">
        <f>MVTRESUME2019!W11</f>
        <v>30000</v>
      </c>
      <c r="X7" s="5">
        <f>MVTRESUME2019!X11</f>
        <v>0</v>
      </c>
      <c r="Y7" s="5">
        <f>MVTRESUME2019!Y11</f>
        <v>149285.35834664505</v>
      </c>
      <c r="Z7" s="17" t="s">
        <v>90</v>
      </c>
      <c r="AA7" t="s">
        <v>129</v>
      </c>
      <c r="AB7" s="2">
        <f>50000+105000</f>
        <v>155000</v>
      </c>
      <c r="AC7" s="11">
        <f t="shared" si="0"/>
        <v>178880.86852751506</v>
      </c>
    </row>
    <row r="8" spans="1:34" x14ac:dyDescent="0.35">
      <c r="A8" s="1" t="s">
        <v>24</v>
      </c>
      <c r="B8" s="1" t="str">
        <f>VLOOKUP(A8,[30]LISTADHERENT!A$5:H$57,3,0)</f>
        <v>DJOUKWE NANGUEN GUY BLAISE</v>
      </c>
      <c r="C8" s="5">
        <f>MVTRESUME2019!C13</f>
        <v>480000</v>
      </c>
      <c r="D8" s="5">
        <f>MVTRESUME2019!D13</f>
        <v>79798.878874522779</v>
      </c>
      <c r="E8" s="5">
        <f>MVTRESUME2019!E13</f>
        <v>32.581814608536661</v>
      </c>
      <c r="F8" s="5">
        <f>MVTRESUME2019!F13</f>
        <v>0</v>
      </c>
      <c r="G8" s="5">
        <f>MVTRESUME2019!G13</f>
        <v>84000</v>
      </c>
      <c r="H8" s="5">
        <f>MVTRESUME2019!H13</f>
        <v>7000</v>
      </c>
      <c r="I8" s="5">
        <f>MVTRESUME2019!I13</f>
        <v>14000</v>
      </c>
      <c r="J8" s="5">
        <f>MVTRESUME2019!J13</f>
        <v>35000</v>
      </c>
      <c r="K8" s="5">
        <f>MVTRESUME2019!K13</f>
        <v>7000</v>
      </c>
      <c r="L8" s="5">
        <f>MVTRESUME2019!L13</f>
        <v>0</v>
      </c>
      <c r="M8" s="5">
        <f>MVTRESUME2019!M13</f>
        <v>0</v>
      </c>
      <c r="N8" s="5">
        <f>MVTRESUME2019!N13</f>
        <v>1800000</v>
      </c>
      <c r="O8" s="5">
        <f>MVTRESUME2019!O13</f>
        <v>160000</v>
      </c>
      <c r="P8" s="5">
        <f>MVTRESUME2019!P13</f>
        <v>40000</v>
      </c>
      <c r="Q8" s="5">
        <f>MVTRESUME2019!Q13</f>
        <v>1000000</v>
      </c>
      <c r="R8" s="5">
        <f>MVTRESUME2019!R13</f>
        <v>0</v>
      </c>
      <c r="S8" s="5">
        <f>MVTRESUME2019!S13</f>
        <v>0</v>
      </c>
      <c r="T8" s="5">
        <f>MVTRESUME2019!T13</f>
        <v>800000</v>
      </c>
      <c r="U8" s="5">
        <f>MVTRESUME2019!U13</f>
        <v>163831.46068913132</v>
      </c>
      <c r="V8" s="5">
        <f>MVTRESUME2019!V13</f>
        <v>35000</v>
      </c>
      <c r="W8" s="5">
        <f>MVTRESUME2019!W13</f>
        <v>30000</v>
      </c>
      <c r="X8" s="5">
        <f>MVTRESUME2019!X13</f>
        <v>0</v>
      </c>
      <c r="Y8" s="5">
        <f>MVTRESUME2019!Y13</f>
        <v>133831.46068913132</v>
      </c>
      <c r="Z8" s="17" t="s">
        <v>91</v>
      </c>
      <c r="AC8" s="11">
        <f t="shared" si="0"/>
        <v>163798.87887452278</v>
      </c>
    </row>
    <row r="9" spans="1:34" x14ac:dyDescent="0.35">
      <c r="A9" s="1" t="s">
        <v>25</v>
      </c>
      <c r="B9" s="1" t="str">
        <f>VLOOKUP(A9,[30]LISTADHERENT!A$5:H$57,3,0)</f>
        <v>DJUOMBESSY ANTOINE</v>
      </c>
      <c r="C9" s="5">
        <f>MVTRESUME2019!C14</f>
        <v>480000</v>
      </c>
      <c r="D9" s="5">
        <f>MVTRESUME2019!D14</f>
        <v>79954.051721931959</v>
      </c>
      <c r="E9" s="5">
        <f>MVTRESUME2019!E14</f>
        <v>8.234061673283577E-2</v>
      </c>
      <c r="F9" s="5">
        <f>MVTRESUME2019!F14</f>
        <v>0</v>
      </c>
      <c r="G9" s="5">
        <f>MVTRESUME2019!G14</f>
        <v>93500</v>
      </c>
      <c r="H9" s="5">
        <f>MVTRESUME2019!H14</f>
        <v>7000</v>
      </c>
      <c r="I9" s="5">
        <f>MVTRESUME2019!I14</f>
        <v>14000</v>
      </c>
      <c r="J9" s="5">
        <f>MVTRESUME2019!J14</f>
        <v>35000</v>
      </c>
      <c r="K9" s="5">
        <f>MVTRESUME2019!K14</f>
        <v>1000</v>
      </c>
      <c r="L9" s="5">
        <f>MVTRESUME2019!L14</f>
        <v>0</v>
      </c>
      <c r="M9" s="5">
        <f>MVTRESUME2019!M14</f>
        <v>0</v>
      </c>
      <c r="N9" s="5">
        <f>MVTRESUME2019!N14</f>
        <v>3000000</v>
      </c>
      <c r="O9" s="5">
        <f>MVTRESUME2019!O14</f>
        <v>160000</v>
      </c>
      <c r="P9" s="5">
        <f>MVTRESUME2019!P14</f>
        <v>50000</v>
      </c>
      <c r="Q9" s="5">
        <f>MVTRESUME2019!Q14</f>
        <v>2000000</v>
      </c>
      <c r="R9" s="5">
        <f>MVTRESUME2019!R14</f>
        <v>0</v>
      </c>
      <c r="S9" s="5">
        <f>MVTRESUME2019!S14</f>
        <v>0</v>
      </c>
      <c r="T9" s="5">
        <f>MVTRESUME2019!T14</f>
        <v>1000000</v>
      </c>
      <c r="U9" s="5">
        <f>MVTRESUME2019!U14</f>
        <v>173454.13406254869</v>
      </c>
      <c r="V9" s="5">
        <f>MVTRESUME2019!V14</f>
        <v>140000</v>
      </c>
      <c r="W9" s="5">
        <f>MVTRESUME2019!W14</f>
        <v>30000</v>
      </c>
      <c r="X9" s="5">
        <f>MVTRESUME2019!X14</f>
        <v>0</v>
      </c>
      <c r="Y9" s="5">
        <f>MVTRESUME2019!Y14</f>
        <v>143454.13406254869</v>
      </c>
      <c r="Z9" s="17" t="s">
        <v>92</v>
      </c>
      <c r="AC9" s="11">
        <f t="shared" si="0"/>
        <v>173454.05172193196</v>
      </c>
    </row>
    <row r="10" spans="1:34" x14ac:dyDescent="0.35">
      <c r="A10" s="1" t="s">
        <v>79</v>
      </c>
      <c r="B10" s="1" t="str">
        <f>VLOOKUP(A10,[30]LISTADHERENT!A$5:H$57,3,0)</f>
        <v>DOMOU FABIEN</v>
      </c>
      <c r="C10" s="5">
        <f>MVTRESUME2019!C15</f>
        <v>441596</v>
      </c>
      <c r="D10" s="5">
        <f>MVTRESUME2019!D15</f>
        <v>73699.144246646392</v>
      </c>
      <c r="E10" s="5">
        <f>MVTRESUME2019!E15</f>
        <v>0.16900408919900656</v>
      </c>
      <c r="F10" s="5">
        <f>MVTRESUME2019!F15</f>
        <v>0</v>
      </c>
      <c r="G10" s="5">
        <f>MVTRESUME2019!G15</f>
        <v>84000</v>
      </c>
      <c r="H10" s="5">
        <f>MVTRESUME2019!H15</f>
        <v>7000</v>
      </c>
      <c r="I10" s="5">
        <f>MVTRESUME2019!I15</f>
        <v>14000</v>
      </c>
      <c r="J10" s="5">
        <f>MVTRESUME2019!J15</f>
        <v>35000</v>
      </c>
      <c r="K10" s="5">
        <f>MVTRESUME2019!K15</f>
        <v>2000</v>
      </c>
      <c r="L10" s="5">
        <f>MVTRESUME2019!L15</f>
        <v>0</v>
      </c>
      <c r="M10" s="5">
        <f>MVTRESUME2019!M15</f>
        <v>0</v>
      </c>
      <c r="N10" s="5">
        <f>MVTRESUME2019!N15</f>
        <v>2000000</v>
      </c>
      <c r="O10" s="5">
        <f>MVTRESUME2019!O15</f>
        <v>160000</v>
      </c>
      <c r="P10" s="5">
        <f>MVTRESUME2019!P15</f>
        <v>50000</v>
      </c>
      <c r="Q10" s="5">
        <f>MVTRESUME2019!Q15</f>
        <v>1000000</v>
      </c>
      <c r="R10" s="5">
        <f>MVTRESUME2019!R15</f>
        <v>0</v>
      </c>
      <c r="S10" s="5">
        <f>MVTRESUME2019!S15</f>
        <v>0</v>
      </c>
      <c r="T10" s="5">
        <f>MVTRESUME2019!T15</f>
        <v>1000000</v>
      </c>
      <c r="U10" s="5">
        <f>MVTRESUME2019!U15</f>
        <v>157699.31325073558</v>
      </c>
      <c r="V10" s="5">
        <f>MVTRESUME2019!V15</f>
        <v>86000</v>
      </c>
      <c r="W10" s="5">
        <f>MVTRESUME2019!W15</f>
        <v>78406</v>
      </c>
      <c r="X10" s="5">
        <f>MVTRESUME2019!X15</f>
        <v>0</v>
      </c>
      <c r="Y10" s="5">
        <f>MVTRESUME2019!Y15</f>
        <v>79293.313250735577</v>
      </c>
      <c r="Z10" s="17"/>
      <c r="AC10" s="11">
        <f t="shared" si="0"/>
        <v>157699.14424664638</v>
      </c>
    </row>
    <row r="11" spans="1:34" x14ac:dyDescent="0.35">
      <c r="A11" s="1" t="s">
        <v>26</v>
      </c>
      <c r="B11" s="1" t="str">
        <f>VLOOKUP(A11,[30]LISTADHERENT!A$5:H$57,3,0)</f>
        <v>DONHOU DAVID</v>
      </c>
      <c r="C11" s="5">
        <f>MVTRESUME2019!C16</f>
        <v>480000</v>
      </c>
      <c r="D11" s="5">
        <f>MVTRESUME2019!D16</f>
        <v>97864.943592884913</v>
      </c>
      <c r="E11" s="5">
        <f>MVTRESUME2019!E16</f>
        <v>113997.13327318276</v>
      </c>
      <c r="F11" s="5">
        <f>MVTRESUME2019!F16</f>
        <v>0</v>
      </c>
      <c r="G11" s="5">
        <f>MVTRESUME2019!G16</f>
        <v>84000</v>
      </c>
      <c r="H11" s="5">
        <f>MVTRESUME2019!H16</f>
        <v>7000</v>
      </c>
      <c r="I11" s="5">
        <f>MVTRESUME2019!I16</f>
        <v>14000</v>
      </c>
      <c r="J11" s="5">
        <f>MVTRESUME2019!J16</f>
        <v>35000</v>
      </c>
      <c r="K11" s="5">
        <f>MVTRESUME2019!K16</f>
        <v>14000</v>
      </c>
      <c r="L11" s="5">
        <f>MVTRESUME2019!L16</f>
        <v>0</v>
      </c>
      <c r="M11" s="5">
        <f>MVTRESUME2019!M16</f>
        <v>0</v>
      </c>
      <c r="N11" s="5">
        <f>MVTRESUME2019!N16</f>
        <v>700000</v>
      </c>
      <c r="O11" s="5">
        <f>MVTRESUME2019!O16</f>
        <v>108500</v>
      </c>
      <c r="P11" s="5">
        <f>MVTRESUME2019!P16</f>
        <v>0</v>
      </c>
      <c r="Q11" s="5">
        <f>MVTRESUME2019!Q16</f>
        <v>808500</v>
      </c>
      <c r="R11" s="5">
        <f>MVTRESUME2019!R16</f>
        <v>108500</v>
      </c>
      <c r="S11" s="5">
        <f>MVTRESUME2019!S16</f>
        <v>0</v>
      </c>
      <c r="T11" s="5">
        <f>MVTRESUME2019!T16</f>
        <v>0</v>
      </c>
      <c r="U11" s="5">
        <f>MVTRESUME2019!U16</f>
        <v>295862.07686606765</v>
      </c>
      <c r="V11" s="5">
        <f>MVTRESUME2019!V16</f>
        <v>28500</v>
      </c>
      <c r="W11" s="5">
        <f>MVTRESUME2019!W16</f>
        <v>30000</v>
      </c>
      <c r="X11" s="5">
        <f>MVTRESUME2019!X16</f>
        <v>0</v>
      </c>
      <c r="Y11" s="5">
        <f>MVTRESUME2019!Y16</f>
        <v>265862.07686606765</v>
      </c>
      <c r="Z11" s="17"/>
      <c r="AC11" s="11">
        <f t="shared" si="0"/>
        <v>181864.94359288493</v>
      </c>
    </row>
    <row r="12" spans="1:34" x14ac:dyDescent="0.35">
      <c r="A12" s="1" t="s">
        <v>27</v>
      </c>
      <c r="B12" s="1" t="str">
        <f>VLOOKUP(A12,[30]LISTADHERENT!A$5:H$57,3,0)</f>
        <v>FOTSO THOMAS</v>
      </c>
      <c r="C12" s="5">
        <f>MVTRESUME2019!C17</f>
        <v>480000</v>
      </c>
      <c r="D12" s="5">
        <f>MVTRESUME2019!D17</f>
        <v>80086.550029503749</v>
      </c>
      <c r="E12" s="5">
        <f>MVTRESUME2019!E17</f>
        <v>2219.5520592769026</v>
      </c>
      <c r="F12" s="5">
        <f>MVTRESUME2019!F17</f>
        <v>0</v>
      </c>
      <c r="G12" s="5">
        <f>MVTRESUME2019!G17</f>
        <v>82000</v>
      </c>
      <c r="H12" s="5">
        <f>MVTRESUME2019!H17</f>
        <v>7000</v>
      </c>
      <c r="I12" s="5">
        <f>MVTRESUME2019!I17</f>
        <v>14000</v>
      </c>
      <c r="J12" s="5">
        <f>MVTRESUME2019!J17</f>
        <v>35000</v>
      </c>
      <c r="K12" s="5">
        <f>MVTRESUME2019!K17</f>
        <v>21000</v>
      </c>
      <c r="L12" s="5">
        <f>MVTRESUME2019!L17</f>
        <v>0</v>
      </c>
      <c r="M12" s="5">
        <f>MVTRESUME2019!M17</f>
        <v>0</v>
      </c>
      <c r="N12" s="5">
        <f>MVTRESUME2019!N17</f>
        <v>2000000</v>
      </c>
      <c r="O12" s="5">
        <f>MVTRESUME2019!O17</f>
        <v>150000</v>
      </c>
      <c r="P12" s="5">
        <f>MVTRESUME2019!P17</f>
        <v>30000</v>
      </c>
      <c r="Q12" s="5">
        <f>MVTRESUME2019!Q17</f>
        <v>1000000</v>
      </c>
      <c r="R12" s="5">
        <f>MVTRESUME2019!R17</f>
        <v>0</v>
      </c>
      <c r="S12" s="5">
        <f>MVTRESUME2019!S17</f>
        <v>0</v>
      </c>
      <c r="T12" s="5">
        <f>MVTRESUME2019!T17</f>
        <v>1000000</v>
      </c>
      <c r="U12" s="5">
        <f>MVTRESUME2019!U17</f>
        <v>164306.10208878067</v>
      </c>
      <c r="V12" s="5">
        <f>MVTRESUME2019!V17</f>
        <v>130000</v>
      </c>
      <c r="W12" s="5">
        <f>MVTRESUME2019!W17</f>
        <v>30000</v>
      </c>
      <c r="X12" s="5">
        <f>MVTRESUME2019!X17</f>
        <v>0</v>
      </c>
      <c r="Y12" s="5">
        <f>MVTRESUME2019!Y17</f>
        <v>134306.10208878067</v>
      </c>
      <c r="Z12" s="17" t="s">
        <v>91</v>
      </c>
      <c r="AC12" s="11">
        <f t="shared" si="0"/>
        <v>162086.55002950376</v>
      </c>
    </row>
    <row r="13" spans="1:34" x14ac:dyDescent="0.35">
      <c r="A13" s="1" t="s">
        <v>28</v>
      </c>
      <c r="B13" s="1" t="str">
        <f>VLOOKUP(A13,[30]LISTADHERENT!A$5:H$57,3,0)</f>
        <v>HENGUE PAUL OMER</v>
      </c>
      <c r="C13" s="5">
        <f>MVTRESUME2019!C18</f>
        <v>480000</v>
      </c>
      <c r="D13" s="5">
        <f>MVTRESUME2019!D18</f>
        <v>80427.583632271897</v>
      </c>
      <c r="E13" s="5">
        <f>MVTRESUME2019!E18</f>
        <v>3998.5841971817717</v>
      </c>
      <c r="F13" s="5">
        <f>MVTRESUME2019!F18</f>
        <v>0</v>
      </c>
      <c r="G13" s="5">
        <f>MVTRESUME2019!G18</f>
        <v>84000</v>
      </c>
      <c r="H13" s="5">
        <f>MVTRESUME2019!H18</f>
        <v>7000</v>
      </c>
      <c r="I13" s="5">
        <f>MVTRESUME2019!I18</f>
        <v>14000</v>
      </c>
      <c r="J13" s="5">
        <f>MVTRESUME2019!J18</f>
        <v>35000</v>
      </c>
      <c r="K13" s="5">
        <f>MVTRESUME2019!K18</f>
        <v>1000</v>
      </c>
      <c r="L13" s="5">
        <f>MVTRESUME2019!L18</f>
        <v>0</v>
      </c>
      <c r="M13" s="5">
        <f>MVTRESUME2019!M18</f>
        <v>0</v>
      </c>
      <c r="N13" s="5">
        <f>MVTRESUME2019!N18</f>
        <v>1000000</v>
      </c>
      <c r="O13" s="5">
        <f>MVTRESUME2019!O18</f>
        <v>120000</v>
      </c>
      <c r="P13" s="5">
        <f>MVTRESUME2019!P18</f>
        <v>120000</v>
      </c>
      <c r="Q13" s="5">
        <f>MVTRESUME2019!Q18</f>
        <v>0</v>
      </c>
      <c r="R13" s="5">
        <f>MVTRESUME2019!R18</f>
        <v>0</v>
      </c>
      <c r="S13" s="5">
        <f>MVTRESUME2019!S18</f>
        <v>0</v>
      </c>
      <c r="T13" s="5">
        <f>MVTRESUME2019!T18</f>
        <v>1000000</v>
      </c>
      <c r="U13" s="5">
        <f>MVTRESUME2019!U18</f>
        <v>168426.16782945365</v>
      </c>
      <c r="V13" s="5">
        <f>MVTRESUME2019!V18</f>
        <v>35000</v>
      </c>
      <c r="W13" s="5">
        <f>MVTRESUME2019!W18</f>
        <v>30000</v>
      </c>
      <c r="X13" s="5">
        <f>MVTRESUME2019!X18</f>
        <v>0</v>
      </c>
      <c r="Y13" s="5">
        <f>MVTRESUME2019!Y18</f>
        <v>138426.16782945365</v>
      </c>
      <c r="Z13" s="17"/>
      <c r="AC13" s="11">
        <f t="shared" si="0"/>
        <v>164427.58363227191</v>
      </c>
    </row>
    <row r="14" spans="1:34" x14ac:dyDescent="0.35">
      <c r="A14" s="1" t="s">
        <v>29</v>
      </c>
      <c r="B14" s="1" t="str">
        <f>VLOOKUP(A14,[30]LISTADHERENT!A$5:H$57,3,0)</f>
        <v>HOTCHO BENJAMIN</v>
      </c>
      <c r="C14" s="5">
        <f>MVTRESUME2019!C19</f>
        <v>480000</v>
      </c>
      <c r="D14" s="5">
        <f>MVTRESUME2019!D19</f>
        <v>84433.275952127617</v>
      </c>
      <c r="E14" s="5">
        <f>MVTRESUME2019!E19</f>
        <v>0.44251227390486747</v>
      </c>
      <c r="F14" s="5">
        <f>MVTRESUME2019!F19</f>
        <v>0</v>
      </c>
      <c r="G14" s="5">
        <f>MVTRESUME2019!G19</f>
        <v>258500</v>
      </c>
      <c r="H14" s="5">
        <f>MVTRESUME2019!H19</f>
        <v>7000</v>
      </c>
      <c r="I14" s="5">
        <f>MVTRESUME2019!I19</f>
        <v>14000</v>
      </c>
      <c r="J14" s="5">
        <f>MVTRESUME2019!J19</f>
        <v>35000</v>
      </c>
      <c r="K14" s="5">
        <f>MVTRESUME2019!K19</f>
        <v>2000</v>
      </c>
      <c r="L14" s="5">
        <f>MVTRESUME2019!L19</f>
        <v>0</v>
      </c>
      <c r="M14" s="5">
        <f>MVTRESUME2019!M19</f>
        <v>0</v>
      </c>
      <c r="N14" s="5">
        <f>MVTRESUME2019!N19</f>
        <v>0</v>
      </c>
      <c r="O14" s="5">
        <f>MVTRESUME2019!O19</f>
        <v>0</v>
      </c>
      <c r="P14" s="5">
        <f>MVTRESUME2019!P19</f>
        <v>0</v>
      </c>
      <c r="Q14" s="5">
        <f>MVTRESUME2019!Q19</f>
        <v>0</v>
      </c>
      <c r="R14" s="5">
        <f>MVTRESUME2019!R19</f>
        <v>0</v>
      </c>
      <c r="S14" s="5">
        <f>MVTRESUME2019!S19</f>
        <v>0</v>
      </c>
      <c r="T14" s="5">
        <f>MVTRESUME2019!T19</f>
        <v>0</v>
      </c>
      <c r="U14" s="5">
        <f>MVTRESUME2019!U19</f>
        <v>342933.71846440155</v>
      </c>
      <c r="V14" s="5">
        <f>MVTRESUME2019!V19</f>
        <v>250000</v>
      </c>
      <c r="W14" s="5">
        <f>MVTRESUME2019!W19</f>
        <v>30000</v>
      </c>
      <c r="X14" s="5">
        <f>MVTRESUME2019!X19</f>
        <v>0</v>
      </c>
      <c r="Y14" s="5">
        <f>MVTRESUME2019!Y19</f>
        <v>312933.71846440155</v>
      </c>
      <c r="Z14" s="17"/>
      <c r="AC14" s="11">
        <f t="shared" si="0"/>
        <v>342933.27595212765</v>
      </c>
    </row>
    <row r="15" spans="1:34" x14ac:dyDescent="0.35">
      <c r="A15" s="1" t="s">
        <v>31</v>
      </c>
      <c r="B15" s="1" t="str">
        <f>VLOOKUP(A15,[30]LISTADHERENT!A$5:H$57,3,0)</f>
        <v>KEPSEU FRANCIS</v>
      </c>
      <c r="C15" s="5">
        <f>MVTRESUME2019!C20</f>
        <v>480000</v>
      </c>
      <c r="D15" s="5">
        <f>MVTRESUME2019!D20</f>
        <v>607034.07913233258</v>
      </c>
      <c r="E15" s="5">
        <f>MVTRESUME2019!E20</f>
        <v>2903898.728295486</v>
      </c>
      <c r="F15" s="5">
        <f>MVTRESUME2019!F20</f>
        <v>0</v>
      </c>
      <c r="G15" s="5">
        <f>MVTRESUME2019!G20</f>
        <v>1296000</v>
      </c>
      <c r="H15" s="5">
        <f>MVTRESUME2019!H20</f>
        <v>7000</v>
      </c>
      <c r="I15" s="5">
        <f>MVTRESUME2019!I20</f>
        <v>14000</v>
      </c>
      <c r="J15" s="5">
        <f>MVTRESUME2019!J20</f>
        <v>35000</v>
      </c>
      <c r="K15" s="5">
        <f>MVTRESUME2019!K20</f>
        <v>0</v>
      </c>
      <c r="L15" s="5">
        <f>MVTRESUME2019!L20</f>
        <v>0</v>
      </c>
      <c r="M15" s="5">
        <f>MVTRESUME2019!M20</f>
        <v>0</v>
      </c>
      <c r="N15" s="5">
        <f>MVTRESUME2019!N20</f>
        <v>0</v>
      </c>
      <c r="O15" s="5">
        <f>MVTRESUME2019!O20</f>
        <v>0</v>
      </c>
      <c r="P15" s="5">
        <f>MVTRESUME2019!P20</f>
        <v>0</v>
      </c>
      <c r="Q15" s="5">
        <f>MVTRESUME2019!Q20</f>
        <v>0</v>
      </c>
      <c r="R15" s="5">
        <f>MVTRESUME2019!R20</f>
        <v>0</v>
      </c>
      <c r="S15" s="5">
        <f>MVTRESUME2019!S20</f>
        <v>0</v>
      </c>
      <c r="T15" s="5">
        <f>MVTRESUME2019!T20</f>
        <v>0</v>
      </c>
      <c r="U15" s="5">
        <f>MVTRESUME2019!U20</f>
        <v>4806932.807427818</v>
      </c>
      <c r="V15" s="5">
        <f>MVTRESUME2019!V20</f>
        <v>0</v>
      </c>
      <c r="W15" s="5">
        <f>MVTRESUME2019!W20</f>
        <v>30000</v>
      </c>
      <c r="X15" s="5">
        <f>MVTRESUME2019!X20</f>
        <v>0</v>
      </c>
      <c r="Y15" s="5">
        <f>MVTRESUME2019!Y20</f>
        <v>4776932.807427818</v>
      </c>
      <c r="Z15" s="17"/>
      <c r="AC15" s="11">
        <f t="shared" si="0"/>
        <v>1903034.0791323325</v>
      </c>
    </row>
    <row r="16" spans="1:34" x14ac:dyDescent="0.35">
      <c r="A16" s="1" t="s">
        <v>34</v>
      </c>
      <c r="B16" s="1" t="str">
        <f>VLOOKUP(A16,[30]LISTADHERENT!A$5:H$57,3,0)</f>
        <v>KOUAMO VICTOR PEGUY</v>
      </c>
      <c r="C16" s="5">
        <f>MVTRESUME2019!C21</f>
        <v>480000</v>
      </c>
      <c r="D16" s="5">
        <f>MVTRESUME2019!D21</f>
        <v>79661.668675915658</v>
      </c>
      <c r="E16" s="5">
        <f>MVTRESUME2019!E21</f>
        <v>-0.26072546625800896</v>
      </c>
      <c r="F16" s="5">
        <f>MVTRESUME2019!F21</f>
        <v>0</v>
      </c>
      <c r="G16" s="5">
        <f>MVTRESUME2019!G21</f>
        <v>81000</v>
      </c>
      <c r="H16" s="5">
        <f>MVTRESUME2019!H21</f>
        <v>7000</v>
      </c>
      <c r="I16" s="5">
        <f>MVTRESUME2019!I21</f>
        <v>14000</v>
      </c>
      <c r="J16" s="5">
        <f>MVTRESUME2019!J21</f>
        <v>35000</v>
      </c>
      <c r="K16" s="5">
        <f>MVTRESUME2019!K21</f>
        <v>7000</v>
      </c>
      <c r="L16" s="5">
        <f>MVTRESUME2019!L21</f>
        <v>0</v>
      </c>
      <c r="M16" s="5">
        <f>MVTRESUME2019!M21</f>
        <v>0</v>
      </c>
      <c r="N16" s="5">
        <f>MVTRESUME2019!N21</f>
        <v>1900000</v>
      </c>
      <c r="O16" s="5">
        <f>MVTRESUME2019!O21</f>
        <v>159000</v>
      </c>
      <c r="P16" s="5">
        <f>MVTRESUME2019!P21</f>
        <v>60000</v>
      </c>
      <c r="Q16" s="5">
        <f>MVTRESUME2019!Q21</f>
        <v>900000</v>
      </c>
      <c r="R16" s="5">
        <f>MVTRESUME2019!R21</f>
        <v>139500</v>
      </c>
      <c r="S16" s="5">
        <f>MVTRESUME2019!S21</f>
        <v>0</v>
      </c>
      <c r="T16" s="5">
        <f>MVTRESUME2019!T21</f>
        <v>1139500</v>
      </c>
      <c r="U16" s="5">
        <f>MVTRESUME2019!U21</f>
        <v>160661.40795044939</v>
      </c>
      <c r="V16" s="5">
        <f>MVTRESUME2019!V21</f>
        <v>0</v>
      </c>
      <c r="W16" s="5">
        <f>MVTRESUME2019!W21</f>
        <v>30000</v>
      </c>
      <c r="X16" s="5">
        <f>MVTRESUME2019!X21</f>
        <v>0</v>
      </c>
      <c r="Y16" s="5">
        <f>MVTRESUME2019!Y21</f>
        <v>130661.40795044939</v>
      </c>
      <c r="Z16" s="17" t="s">
        <v>93</v>
      </c>
      <c r="AA16" t="s">
        <v>129</v>
      </c>
      <c r="AB16" s="2">
        <f>45000+94500</f>
        <v>139500</v>
      </c>
      <c r="AC16" s="11">
        <f t="shared" si="0"/>
        <v>160661.66867591566</v>
      </c>
      <c r="AG16" s="2">
        <f>AB16</f>
        <v>139500</v>
      </c>
    </row>
    <row r="17" spans="1:33" s="14" customFormat="1" x14ac:dyDescent="0.35">
      <c r="A17" s="12" t="s">
        <v>32</v>
      </c>
      <c r="B17" s="1" t="str">
        <f>VLOOKUP(A17,[30]LISTADHERENT!A$5:H$57,3,0)</f>
        <v>KOUAMOU EMMANUEL</v>
      </c>
      <c r="C17" s="5">
        <f>MVTRESUME2019!C22</f>
        <v>480000</v>
      </c>
      <c r="D17" s="5">
        <f>MVTRESUME2019!D22</f>
        <v>78414.920478625208</v>
      </c>
      <c r="E17" s="5">
        <f>MVTRESUME2019!E22</f>
        <v>643.11234311138105</v>
      </c>
      <c r="F17" s="5">
        <f>MVTRESUME2019!F22</f>
        <v>0</v>
      </c>
      <c r="G17" s="5">
        <f>MVTRESUME2019!G22</f>
        <v>30000</v>
      </c>
      <c r="H17" s="5">
        <f>MVTRESUME2019!H22</f>
        <v>2500</v>
      </c>
      <c r="I17" s="5">
        <f>MVTRESUME2019!I22</f>
        <v>5000</v>
      </c>
      <c r="J17" s="5">
        <f>MVTRESUME2019!J22</f>
        <v>12500</v>
      </c>
      <c r="K17" s="5">
        <f>MVTRESUME2019!K22</f>
        <v>4000</v>
      </c>
      <c r="L17" s="5">
        <f>MVTRESUME2019!L22</f>
        <v>0</v>
      </c>
      <c r="M17" s="5">
        <f>MVTRESUME2019!M22</f>
        <v>0</v>
      </c>
      <c r="N17" s="5">
        <f>MVTRESUME2019!N22</f>
        <v>700000</v>
      </c>
      <c r="O17" s="5">
        <f>MVTRESUME2019!O22</f>
        <v>77000</v>
      </c>
      <c r="P17" s="5">
        <f>MVTRESUME2019!P22</f>
        <v>0</v>
      </c>
      <c r="Q17" s="5">
        <f>MVTRESUME2019!Q22</f>
        <v>0</v>
      </c>
      <c r="R17" s="5">
        <f>MVTRESUME2019!R22</f>
        <v>108500</v>
      </c>
      <c r="S17" s="5">
        <f>MVTRESUME2019!S22</f>
        <v>0</v>
      </c>
      <c r="T17" s="5">
        <f>MVTRESUME2019!T22</f>
        <v>808500</v>
      </c>
      <c r="U17" s="5">
        <f>MVTRESUME2019!U22</f>
        <v>109058.03282173659</v>
      </c>
      <c r="V17" s="5">
        <f>MVTRESUME2019!V22</f>
        <v>109058</v>
      </c>
      <c r="W17" s="5">
        <f>MVTRESUME2019!W22</f>
        <v>0</v>
      </c>
      <c r="X17" s="5">
        <f>MVTRESUME2019!X22</f>
        <v>0</v>
      </c>
      <c r="Y17" s="5">
        <f>MVTRESUME2019!Y22</f>
        <v>109058.03282173659</v>
      </c>
      <c r="Z17" s="35" t="s">
        <v>95</v>
      </c>
      <c r="AA17" s="14" t="s">
        <v>129</v>
      </c>
      <c r="AB17" s="11">
        <f>35000+73500</f>
        <v>108500</v>
      </c>
      <c r="AC17" s="11">
        <f t="shared" si="0"/>
        <v>108414.92047862521</v>
      </c>
      <c r="AD17" s="11" t="e">
        <f>#REF!</f>
        <v>#REF!</v>
      </c>
      <c r="AG17" s="7" t="e">
        <f>C17-T17+U17+AD17+AE17</f>
        <v>#REF!</v>
      </c>
    </row>
    <row r="18" spans="1:33" x14ac:dyDescent="0.35">
      <c r="A18" s="1" t="s">
        <v>33</v>
      </c>
      <c r="B18" s="1" t="str">
        <f>VLOOKUP(A18,[30]LISTADHERENT!A$5:H$57,3,0)</f>
        <v>KOUAMOU MOISE</v>
      </c>
      <c r="C18" s="5">
        <f>MVTRESUME2019!C23</f>
        <v>480000</v>
      </c>
      <c r="D18" s="5">
        <f>MVTRESUME2019!D23</f>
        <v>80181.060176583385</v>
      </c>
      <c r="E18" s="5">
        <f>MVTRESUME2019!E23</f>
        <v>2611.7018854503112</v>
      </c>
      <c r="F18" s="5">
        <f>MVTRESUME2019!F23</f>
        <v>0</v>
      </c>
      <c r="G18" s="5">
        <f>MVTRESUME2019!G23</f>
        <v>84000</v>
      </c>
      <c r="H18" s="5">
        <f>MVTRESUME2019!H23</f>
        <v>7000</v>
      </c>
      <c r="I18" s="5">
        <f>MVTRESUME2019!I23</f>
        <v>14000</v>
      </c>
      <c r="J18" s="5">
        <f>MVTRESUME2019!J23</f>
        <v>35000</v>
      </c>
      <c r="K18" s="5">
        <f>MVTRESUME2019!K23</f>
        <v>1000</v>
      </c>
      <c r="L18" s="5">
        <f>MVTRESUME2019!L23</f>
        <v>0</v>
      </c>
      <c r="M18" s="5">
        <f>MVTRESUME2019!M23</f>
        <v>0</v>
      </c>
      <c r="N18" s="5">
        <f>MVTRESUME2019!N23</f>
        <v>1500000</v>
      </c>
      <c r="O18" s="5">
        <f>MVTRESUME2019!O23</f>
        <v>135000</v>
      </c>
      <c r="P18" s="5">
        <f>MVTRESUME2019!P23</f>
        <v>25000</v>
      </c>
      <c r="Q18" s="5">
        <f>MVTRESUME2019!Q23</f>
        <v>1000000</v>
      </c>
      <c r="R18" s="5">
        <f>MVTRESUME2019!R23</f>
        <v>0</v>
      </c>
      <c r="S18" s="5">
        <f>MVTRESUME2019!S23</f>
        <v>0</v>
      </c>
      <c r="T18" s="5">
        <f>MVTRESUME2019!T23</f>
        <v>500000</v>
      </c>
      <c r="U18" s="5">
        <f>MVTRESUME2019!U23</f>
        <v>166792.7620620337</v>
      </c>
      <c r="V18" s="5">
        <f>MVTRESUME2019!V23</f>
        <v>130000</v>
      </c>
      <c r="W18" s="5">
        <f>MVTRESUME2019!W23</f>
        <v>30000</v>
      </c>
      <c r="X18" s="5">
        <f>MVTRESUME2019!X23</f>
        <v>0</v>
      </c>
      <c r="Y18" s="5">
        <f>MVTRESUME2019!Y23</f>
        <v>136792.7620620337</v>
      </c>
      <c r="Z18" s="17" t="s">
        <v>96</v>
      </c>
      <c r="AC18" s="11">
        <f t="shared" si="0"/>
        <v>164181.06017658339</v>
      </c>
    </row>
    <row r="19" spans="1:33" x14ac:dyDescent="0.35">
      <c r="A19" s="1" t="s">
        <v>35</v>
      </c>
      <c r="B19" s="1" t="str">
        <f>VLOOKUP(A19,[30]LISTADHERENT!A$5:H$57,3,0)</f>
        <v>KOUATCHO MESSACK</v>
      </c>
      <c r="C19" s="5">
        <f>MVTRESUME2019!C24</f>
        <v>480000</v>
      </c>
      <c r="D19" s="5">
        <f>MVTRESUME2019!D24</f>
        <v>79889.68496817023</v>
      </c>
      <c r="E19" s="5">
        <f>MVTRESUME2019!E24</f>
        <v>605.40582988600363</v>
      </c>
      <c r="F19" s="5">
        <f>MVTRESUME2019!F24</f>
        <v>0</v>
      </c>
      <c r="G19" s="5">
        <f>MVTRESUME2019!G24</f>
        <v>84000</v>
      </c>
      <c r="H19" s="5">
        <f>MVTRESUME2019!H24</f>
        <v>7000</v>
      </c>
      <c r="I19" s="5">
        <f>MVTRESUME2019!I24</f>
        <v>14000</v>
      </c>
      <c r="J19" s="5">
        <f>MVTRESUME2019!J24</f>
        <v>35000</v>
      </c>
      <c r="K19" s="5">
        <f>MVTRESUME2019!K24</f>
        <v>7000</v>
      </c>
      <c r="L19" s="5">
        <f>MVTRESUME2019!L24</f>
        <v>0</v>
      </c>
      <c r="M19" s="5">
        <f>MVTRESUME2019!M24</f>
        <v>0</v>
      </c>
      <c r="N19" s="5">
        <f>MVTRESUME2019!N24</f>
        <v>2000000</v>
      </c>
      <c r="O19" s="5">
        <f>MVTRESUME2019!O24</f>
        <v>150000</v>
      </c>
      <c r="P19" s="5">
        <f>MVTRESUME2019!P24</f>
        <v>40000</v>
      </c>
      <c r="Q19" s="5">
        <f>MVTRESUME2019!Q24</f>
        <v>1000000</v>
      </c>
      <c r="R19" s="5">
        <f>MVTRESUME2019!R24</f>
        <v>0</v>
      </c>
      <c r="S19" s="5">
        <f>MVTRESUME2019!S24</f>
        <v>0</v>
      </c>
      <c r="T19" s="5">
        <f>MVTRESUME2019!T24</f>
        <v>1000000</v>
      </c>
      <c r="U19" s="5">
        <f>MVTRESUME2019!U24</f>
        <v>164495.09079805622</v>
      </c>
      <c r="V19" s="5">
        <f>MVTRESUME2019!V24</f>
        <v>120000</v>
      </c>
      <c r="W19" s="5">
        <f>MVTRESUME2019!W24</f>
        <v>30000</v>
      </c>
      <c r="X19" s="5">
        <f>MVTRESUME2019!X24</f>
        <v>0</v>
      </c>
      <c r="Y19" s="5">
        <f>MVTRESUME2019!Y24</f>
        <v>134495.09079805622</v>
      </c>
      <c r="Z19" s="17" t="s">
        <v>87</v>
      </c>
      <c r="AC19" s="11">
        <f t="shared" si="0"/>
        <v>163889.68496817024</v>
      </c>
    </row>
    <row r="20" spans="1:33" x14ac:dyDescent="0.35">
      <c r="A20" s="1" t="s">
        <v>36</v>
      </c>
      <c r="B20" s="1" t="str">
        <f>VLOOKUP(A20,[30]LISTADHERENT!A$5:H$57,3,0)</f>
        <v>LOWE JEAN</v>
      </c>
      <c r="C20" s="5">
        <f>MVTRESUME2019!C25</f>
        <v>480000</v>
      </c>
      <c r="D20" s="5">
        <f>MVTRESUME2019!D25</f>
        <v>79644.731049764974</v>
      </c>
      <c r="E20" s="5">
        <f>MVTRESUME2019!E25</f>
        <v>-0.14820683863945305</v>
      </c>
      <c r="F20" s="5">
        <f>MVTRESUME2019!F25</f>
        <v>0</v>
      </c>
      <c r="G20" s="5">
        <f>MVTRESUME2019!G25</f>
        <v>82000</v>
      </c>
      <c r="H20" s="5">
        <f>MVTRESUME2019!H25</f>
        <v>7000</v>
      </c>
      <c r="I20" s="5">
        <f>MVTRESUME2019!I25</f>
        <v>14000</v>
      </c>
      <c r="J20" s="5">
        <f>MVTRESUME2019!J25</f>
        <v>35000</v>
      </c>
      <c r="K20" s="5">
        <f>MVTRESUME2019!K25</f>
        <v>9000</v>
      </c>
      <c r="L20" s="5">
        <f>MVTRESUME2019!L25</f>
        <v>0</v>
      </c>
      <c r="M20" s="5">
        <f>MVTRESUME2019!M25</f>
        <v>0</v>
      </c>
      <c r="N20" s="5">
        <f>MVTRESUME2019!N25</f>
        <v>260000</v>
      </c>
      <c r="O20" s="5">
        <f>MVTRESUME2019!O25</f>
        <v>10400</v>
      </c>
      <c r="P20" s="5">
        <f>MVTRESUME2019!P25</f>
        <v>7800</v>
      </c>
      <c r="Q20" s="5">
        <f>MVTRESUME2019!Q25</f>
        <v>130000</v>
      </c>
      <c r="R20" s="5">
        <f>MVTRESUME2019!R25</f>
        <v>0</v>
      </c>
      <c r="S20" s="5">
        <f>MVTRESUME2019!S25</f>
        <v>0</v>
      </c>
      <c r="T20" s="5">
        <f>MVTRESUME2019!T25</f>
        <v>130000</v>
      </c>
      <c r="U20" s="5">
        <f>MVTRESUME2019!U25</f>
        <v>161644.58284292632</v>
      </c>
      <c r="V20" s="5">
        <f>MVTRESUME2019!V25</f>
        <v>128000</v>
      </c>
      <c r="W20" s="5">
        <f>MVTRESUME2019!W25</f>
        <v>30000</v>
      </c>
      <c r="X20" s="5">
        <f>MVTRESUME2019!X25</f>
        <v>0</v>
      </c>
      <c r="Y20" s="5">
        <f>MVTRESUME2019!Y25</f>
        <v>131644.58284292632</v>
      </c>
      <c r="Z20" s="17" t="s">
        <v>94</v>
      </c>
      <c r="AC20" s="11">
        <f t="shared" si="0"/>
        <v>161644.73104976496</v>
      </c>
    </row>
    <row r="21" spans="1:33" x14ac:dyDescent="0.35">
      <c r="A21" s="1" t="s">
        <v>75</v>
      </c>
      <c r="B21" s="1" t="str">
        <f>VLOOKUP(A21,[30]LISTADHERENT!A$5:H$57,3,0)</f>
        <v>MBOGNING TUGMA GUY</v>
      </c>
      <c r="C21" s="5">
        <f>MVTRESUME2019!C26</f>
        <v>30000</v>
      </c>
      <c r="D21" s="5">
        <f>MVTRESUME2019!D26</f>
        <v>12025.274783900029</v>
      </c>
      <c r="E21" s="5">
        <f>MVTRESUME2019!E26</f>
        <v>2994.5270055830988</v>
      </c>
      <c r="F21" s="5">
        <f>MVTRESUME2019!F26</f>
        <v>0</v>
      </c>
      <c r="G21" s="5">
        <f>MVTRESUME2019!G26</f>
        <v>104000</v>
      </c>
      <c r="H21" s="5">
        <f>MVTRESUME2019!H26</f>
        <v>7000</v>
      </c>
      <c r="I21" s="5">
        <f>MVTRESUME2019!I26</f>
        <v>14000</v>
      </c>
      <c r="J21" s="5">
        <f>MVTRESUME2019!J26</f>
        <v>35000</v>
      </c>
      <c r="K21" s="5">
        <f>MVTRESUME2019!K26</f>
        <v>0</v>
      </c>
      <c r="L21" s="5">
        <f>MVTRESUME2019!L26</f>
        <v>0</v>
      </c>
      <c r="M21" s="5">
        <f>MVTRESUME2019!M26</f>
        <v>0</v>
      </c>
      <c r="N21" s="5">
        <f>MVTRESUME2019!N26</f>
        <v>900000</v>
      </c>
      <c r="O21" s="5">
        <f>MVTRESUME2019!O26</f>
        <v>108000</v>
      </c>
      <c r="P21" s="5">
        <f>MVTRESUME2019!P26</f>
        <v>0</v>
      </c>
      <c r="Q21" s="5">
        <f>MVTRESUME2019!Q26</f>
        <v>900000</v>
      </c>
      <c r="R21" s="5">
        <f>MVTRESUME2019!R26</f>
        <v>0</v>
      </c>
      <c r="S21" s="5">
        <f>MVTRESUME2019!S26</f>
        <v>0</v>
      </c>
      <c r="T21" s="5">
        <f>MVTRESUME2019!T26</f>
        <v>0</v>
      </c>
      <c r="U21" s="5">
        <f>MVTRESUME2019!U26</f>
        <v>119019.80178948313</v>
      </c>
      <c r="V21" s="5">
        <f>MVTRESUME2019!V26</f>
        <v>88500</v>
      </c>
      <c r="W21" s="5">
        <f>MVTRESUME2019!W26</f>
        <v>30000</v>
      </c>
      <c r="X21" s="5">
        <f>MVTRESUME2019!X26</f>
        <v>0</v>
      </c>
      <c r="Y21" s="5">
        <f>MVTRESUME2019!Y26</f>
        <v>89019.801789483128</v>
      </c>
      <c r="Z21" s="17" t="s">
        <v>91</v>
      </c>
      <c r="AC21" s="11">
        <f t="shared" si="0"/>
        <v>116025.27478390004</v>
      </c>
    </row>
    <row r="22" spans="1:33" x14ac:dyDescent="0.35">
      <c r="A22" s="1" t="s">
        <v>50</v>
      </c>
      <c r="B22" s="1" t="str">
        <f>VLOOKUP(A22,[30]LISTADHERENT!A$5:H$57,3,0)</f>
        <v>NANGUEN MARTIN</v>
      </c>
      <c r="C22" s="5">
        <f>MVTRESUME2019!C27</f>
        <v>450000</v>
      </c>
      <c r="D22" s="5">
        <f>MVTRESUME2019!D27</f>
        <v>81837.118573991771</v>
      </c>
      <c r="E22" s="5">
        <f>MVTRESUME2019!E27</f>
        <v>12890.22827698091</v>
      </c>
      <c r="F22" s="5">
        <f>MVTRESUME2019!F27</f>
        <v>0</v>
      </c>
      <c r="G22" s="5">
        <f>MVTRESUME2019!G27</f>
        <v>94000</v>
      </c>
      <c r="H22" s="5">
        <f>MVTRESUME2019!H27</f>
        <v>7000</v>
      </c>
      <c r="I22" s="5">
        <f>MVTRESUME2019!I27</f>
        <v>14000</v>
      </c>
      <c r="J22" s="5">
        <f>MVTRESUME2019!J27</f>
        <v>35000</v>
      </c>
      <c r="K22" s="5">
        <f>MVTRESUME2019!K27</f>
        <v>0</v>
      </c>
      <c r="L22" s="5">
        <f>MVTRESUME2019!L27</f>
        <v>0</v>
      </c>
      <c r="M22" s="5">
        <f>MVTRESUME2019!M27</f>
        <v>0</v>
      </c>
      <c r="N22" s="5">
        <f>MVTRESUME2019!N27</f>
        <v>100000</v>
      </c>
      <c r="O22" s="5">
        <f>MVTRESUME2019!O27</f>
        <v>5000</v>
      </c>
      <c r="P22" s="5">
        <f>MVTRESUME2019!P27</f>
        <v>0</v>
      </c>
      <c r="Q22" s="5">
        <f>MVTRESUME2019!Q27</f>
        <v>100000</v>
      </c>
      <c r="R22" s="5">
        <f>MVTRESUME2019!R27</f>
        <v>0</v>
      </c>
      <c r="S22" s="5">
        <f>MVTRESUME2019!S27</f>
        <v>0</v>
      </c>
      <c r="T22" s="5">
        <f>MVTRESUME2019!T27</f>
        <v>0</v>
      </c>
      <c r="U22" s="5">
        <f>MVTRESUME2019!U27</f>
        <v>188727.34685097268</v>
      </c>
      <c r="V22" s="5">
        <f>MVTRESUME2019!V27</f>
        <v>95000</v>
      </c>
      <c r="W22" s="5">
        <f>MVTRESUME2019!W27</f>
        <v>60000</v>
      </c>
      <c r="X22" s="5">
        <f>MVTRESUME2019!X27</f>
        <v>0</v>
      </c>
      <c r="Y22" s="5">
        <f>MVTRESUME2019!Y27</f>
        <v>128727.34685097268</v>
      </c>
      <c r="Z22" s="17" t="s">
        <v>94</v>
      </c>
      <c r="AC22" s="11">
        <f t="shared" si="0"/>
        <v>175837.11857399176</v>
      </c>
    </row>
    <row r="23" spans="1:33" x14ac:dyDescent="0.35">
      <c r="A23" s="1" t="s">
        <v>37</v>
      </c>
      <c r="B23" s="1" t="str">
        <f>VLOOKUP(A23,[30]LISTADHERENT!A$5:H$57,3,0)</f>
        <v>NANKAM APPOLINAIRE</v>
      </c>
      <c r="C23" s="5">
        <f>MVTRESUME2019!C28</f>
        <v>480000</v>
      </c>
      <c r="D23" s="5">
        <f>MVTRESUME2019!D28</f>
        <v>80008.312869354428</v>
      </c>
      <c r="E23" s="5">
        <f>MVTRESUME2019!E28</f>
        <v>1353.7356825511233</v>
      </c>
      <c r="F23" s="5">
        <f>MVTRESUME2019!F28</f>
        <v>0</v>
      </c>
      <c r="G23" s="5">
        <f>MVTRESUME2019!G28</f>
        <v>84000</v>
      </c>
      <c r="H23" s="5">
        <f>MVTRESUME2019!H28</f>
        <v>7000</v>
      </c>
      <c r="I23" s="5">
        <f>MVTRESUME2019!I28</f>
        <v>14000</v>
      </c>
      <c r="J23" s="5">
        <f>MVTRESUME2019!J28</f>
        <v>35000</v>
      </c>
      <c r="K23" s="5">
        <f>MVTRESUME2019!K28</f>
        <v>5000</v>
      </c>
      <c r="L23" s="5">
        <f>MVTRESUME2019!L28</f>
        <v>0</v>
      </c>
      <c r="M23" s="5">
        <f>MVTRESUME2019!M28</f>
        <v>0</v>
      </c>
      <c r="N23" s="5">
        <f>MVTRESUME2019!N28</f>
        <v>2000000</v>
      </c>
      <c r="O23" s="5">
        <f>MVTRESUME2019!O28</f>
        <v>230000</v>
      </c>
      <c r="P23" s="5">
        <f>MVTRESUME2019!P28</f>
        <v>120000</v>
      </c>
      <c r="Q23" s="5">
        <f>MVTRESUME2019!Q28</f>
        <v>1000000</v>
      </c>
      <c r="R23" s="5">
        <f>MVTRESUME2019!R28</f>
        <v>0</v>
      </c>
      <c r="S23" s="5">
        <f>MVTRESUME2019!S28</f>
        <v>0</v>
      </c>
      <c r="T23" s="5">
        <f>MVTRESUME2019!T28</f>
        <v>1000000</v>
      </c>
      <c r="U23" s="5">
        <f>MVTRESUME2019!U28</f>
        <v>165362.04855190555</v>
      </c>
      <c r="V23" s="5">
        <f>MVTRESUME2019!V28</f>
        <v>130000</v>
      </c>
      <c r="W23" s="5">
        <f>MVTRESUME2019!W28</f>
        <v>30000</v>
      </c>
      <c r="X23" s="5">
        <f>MVTRESUME2019!X28</f>
        <v>0</v>
      </c>
      <c r="Y23" s="5">
        <f>MVTRESUME2019!Y28</f>
        <v>135362.04855190555</v>
      </c>
      <c r="Z23" s="17"/>
      <c r="AC23" s="11">
        <f t="shared" si="0"/>
        <v>164008.31286935444</v>
      </c>
    </row>
    <row r="24" spans="1:33" x14ac:dyDescent="0.35">
      <c r="A24" s="1" t="s">
        <v>38</v>
      </c>
      <c r="B24" s="1" t="str">
        <f>VLOOKUP(A24,[30]LISTADHERENT!A$5:H$57,3,0)</f>
        <v>NDJOMO ETIENNE</v>
      </c>
      <c r="C24" s="5">
        <f>MVTRESUME2019!C29</f>
        <v>480000</v>
      </c>
      <c r="D24" s="5">
        <f>MVTRESUME2019!D29</f>
        <v>91731.680250305682</v>
      </c>
      <c r="E24" s="5">
        <f>MVTRESUME2019!E29</f>
        <v>57225.614111341449</v>
      </c>
      <c r="F24" s="5">
        <f>MVTRESUME2019!F29</f>
        <v>0</v>
      </c>
      <c r="G24" s="5">
        <f>MVTRESUME2019!G29</f>
        <v>151000</v>
      </c>
      <c r="H24" s="5">
        <f>MVTRESUME2019!H29</f>
        <v>7000</v>
      </c>
      <c r="I24" s="5">
        <f>MVTRESUME2019!I29</f>
        <v>14000</v>
      </c>
      <c r="J24" s="5">
        <f>MVTRESUME2019!J29</f>
        <v>35000</v>
      </c>
      <c r="K24" s="5">
        <f>MVTRESUME2019!K29</f>
        <v>0</v>
      </c>
      <c r="L24" s="5">
        <f>MVTRESUME2019!L29</f>
        <v>0</v>
      </c>
      <c r="M24" s="5">
        <f>MVTRESUME2019!M29</f>
        <v>0</v>
      </c>
      <c r="N24" s="5">
        <f>MVTRESUME2019!N29</f>
        <v>500000</v>
      </c>
      <c r="O24" s="5">
        <f>MVTRESUME2019!O29</f>
        <v>50000</v>
      </c>
      <c r="P24" s="5">
        <f>MVTRESUME2019!P29</f>
        <v>0</v>
      </c>
      <c r="Q24" s="5">
        <f>MVTRESUME2019!Q29</f>
        <v>500000</v>
      </c>
      <c r="R24" s="5">
        <f>MVTRESUME2019!R29</f>
        <v>0</v>
      </c>
      <c r="S24" s="5">
        <f>MVTRESUME2019!S29</f>
        <v>0</v>
      </c>
      <c r="T24" s="5">
        <f>MVTRESUME2019!T29</f>
        <v>0</v>
      </c>
      <c r="U24" s="5">
        <f>MVTRESUME2019!U29</f>
        <v>299957.2943616471</v>
      </c>
      <c r="V24" s="5">
        <f>MVTRESUME2019!V29</f>
        <v>240000</v>
      </c>
      <c r="W24" s="5">
        <f>MVTRESUME2019!W29</f>
        <v>30000</v>
      </c>
      <c r="X24" s="5">
        <f>MVTRESUME2019!X29</f>
        <v>0</v>
      </c>
      <c r="Y24" s="5">
        <f>MVTRESUME2019!Y29</f>
        <v>269957.2943616471</v>
      </c>
      <c r="Z24" s="17"/>
      <c r="AC24" s="11">
        <f t="shared" si="0"/>
        <v>242731.68025030568</v>
      </c>
    </row>
    <row r="25" spans="1:33" x14ac:dyDescent="0.35">
      <c r="A25" s="1" t="s">
        <v>80</v>
      </c>
      <c r="B25" s="1" t="str">
        <f>VLOOKUP(A25,[30]LISTADHERENT!A$5:H$57,3,0)</f>
        <v>NGANHOU JEAN</v>
      </c>
      <c r="C25" s="5">
        <f>MVTRESUME2019!C30</f>
        <v>0</v>
      </c>
      <c r="D25" s="5">
        <f>MVTRESUME2019!D30</f>
        <v>2138.4782390296004</v>
      </c>
      <c r="E25" s="5">
        <f>MVTRESUME2019!E30</f>
        <v>0.16900408919900656</v>
      </c>
      <c r="F25" s="5">
        <f>MVTRESUME2019!F30</f>
        <v>0</v>
      </c>
      <c r="G25" s="5">
        <f>MVTRESUME2019!G30</f>
        <v>30000</v>
      </c>
      <c r="H25" s="5">
        <f>MVTRESUME2019!H30</f>
        <v>2500</v>
      </c>
      <c r="I25" s="5">
        <f>MVTRESUME2019!I30</f>
        <v>5000</v>
      </c>
      <c r="J25" s="5">
        <f>MVTRESUME2019!J30</f>
        <v>12500</v>
      </c>
      <c r="K25" s="5">
        <f>MVTRESUME2019!K30</f>
        <v>2000</v>
      </c>
      <c r="L25" s="5">
        <f>MVTRESUME2019!L30</f>
        <v>0</v>
      </c>
      <c r="M25" s="5">
        <f>MVTRESUME2019!M30</f>
        <v>0</v>
      </c>
      <c r="N25" s="5">
        <f>MVTRESUME2019!N30</f>
        <v>0</v>
      </c>
      <c r="O25" s="5">
        <f>MVTRESUME2019!O30</f>
        <v>0</v>
      </c>
      <c r="P25" s="5">
        <f>MVTRESUME2019!P30</f>
        <v>0</v>
      </c>
      <c r="Q25" s="5">
        <f>MVTRESUME2019!Q30</f>
        <v>0</v>
      </c>
      <c r="R25" s="5">
        <f>MVTRESUME2019!R30</f>
        <v>0</v>
      </c>
      <c r="S25" s="5">
        <f>MVTRESUME2019!S30</f>
        <v>0</v>
      </c>
      <c r="T25" s="5">
        <f>MVTRESUME2019!T30</f>
        <v>0</v>
      </c>
      <c r="U25" s="5">
        <f>MVTRESUME2019!U30</f>
        <v>32138.647243118801</v>
      </c>
      <c r="V25" s="5">
        <f>MVTRESUME2019!V30</f>
        <v>2139</v>
      </c>
      <c r="W25" s="5">
        <f>MVTRESUME2019!W30</f>
        <v>30000</v>
      </c>
      <c r="X25" s="5">
        <f>MVTRESUME2019!X30</f>
        <v>0</v>
      </c>
      <c r="Y25" s="5">
        <f>MVTRESUME2019!Y30</f>
        <v>2138.6472431188013</v>
      </c>
      <c r="Z25" s="17"/>
      <c r="AC25" s="11">
        <f t="shared" si="0"/>
        <v>32138.478239029602</v>
      </c>
    </row>
    <row r="26" spans="1:33" s="14" customFormat="1" x14ac:dyDescent="0.35">
      <c r="A26" s="12" t="s">
        <v>39</v>
      </c>
      <c r="B26" s="1" t="str">
        <f>VLOOKUP(A26,[30]LISTADHERENT!A$5:H$57,3,0)</f>
        <v>NGONDIEP CLAUDE</v>
      </c>
      <c r="C26" s="5">
        <f>MVTRESUME2019!C31</f>
        <v>480000</v>
      </c>
      <c r="D26" s="5">
        <f>MVTRESUME2019!D31</f>
        <v>0</v>
      </c>
      <c r="E26" s="5">
        <f>MVTRESUME2019!E31</f>
        <v>0.28740352351451293</v>
      </c>
      <c r="F26" s="5">
        <f>MVTRESUME2019!F31</f>
        <v>0</v>
      </c>
      <c r="G26" s="5">
        <f>MVTRESUME2019!G31</f>
        <v>100000</v>
      </c>
      <c r="H26" s="5">
        <f>MVTRESUME2019!H31</f>
        <v>7000</v>
      </c>
      <c r="I26" s="5">
        <f>MVTRESUME2019!I31</f>
        <v>14000</v>
      </c>
      <c r="J26" s="5">
        <f>MVTRESUME2019!J31</f>
        <v>35000</v>
      </c>
      <c r="K26" s="5">
        <f>MVTRESUME2019!K31</f>
        <v>6000</v>
      </c>
      <c r="L26" s="5">
        <f>MVTRESUME2019!L31</f>
        <v>0</v>
      </c>
      <c r="M26" s="5">
        <f>MVTRESUME2019!M31</f>
        <v>0</v>
      </c>
      <c r="N26" s="5">
        <f>MVTRESUME2019!N31</f>
        <v>1176000</v>
      </c>
      <c r="O26" s="5">
        <f>MVTRESUME2019!O31</f>
        <v>0</v>
      </c>
      <c r="P26" s="5">
        <f>MVTRESUME2019!P31</f>
        <v>0</v>
      </c>
      <c r="Q26" s="5">
        <f>MVTRESUME2019!Q31</f>
        <v>1305360</v>
      </c>
      <c r="R26" s="5">
        <f>MVTRESUME2019!R31</f>
        <v>129360</v>
      </c>
      <c r="S26" s="5">
        <f>MVTRESUME2019!S31</f>
        <v>0</v>
      </c>
      <c r="T26" s="5">
        <f>MVTRESUME2019!T31</f>
        <v>0</v>
      </c>
      <c r="U26" s="5">
        <f>MVTRESUME2019!U31</f>
        <v>100000.28740352351</v>
      </c>
      <c r="V26" s="5">
        <f>MVTRESUME2019!V31</f>
        <v>60000</v>
      </c>
      <c r="W26" s="5">
        <f>MVTRESUME2019!W31</f>
        <v>30000</v>
      </c>
      <c r="X26" s="5">
        <f>MVTRESUME2019!X31</f>
        <v>0</v>
      </c>
      <c r="Y26" s="5">
        <f>MVTRESUME2019!Y31</f>
        <v>70000.287403523515</v>
      </c>
      <c r="Z26" s="35"/>
      <c r="AA26" s="14" t="s">
        <v>129</v>
      </c>
      <c r="AC26" s="11">
        <f t="shared" si="0"/>
        <v>100000</v>
      </c>
    </row>
    <row r="27" spans="1:33" s="14" customFormat="1" x14ac:dyDescent="0.35">
      <c r="A27" s="12" t="s">
        <v>40</v>
      </c>
      <c r="B27" s="1" t="str">
        <f>VLOOKUP(A27,[30]LISTADHERENT!A$5:H$57,3,0)</f>
        <v>NGONGANG JEAN THEODORE</v>
      </c>
      <c r="C27" s="5">
        <f>MVTRESUME2019!C32</f>
        <v>117045</v>
      </c>
      <c r="D27" s="5">
        <f>MVTRESUME2019!D32</f>
        <v>0</v>
      </c>
      <c r="E27" s="5">
        <f>MVTRESUME2019!E32</f>
        <v>22.240996590782743</v>
      </c>
      <c r="F27" s="5">
        <f>MVTRESUME2019!F32</f>
        <v>0</v>
      </c>
      <c r="G27" s="5">
        <f>MVTRESUME2019!G32</f>
        <v>84000</v>
      </c>
      <c r="H27" s="5">
        <f>MVTRESUME2019!H32</f>
        <v>7000</v>
      </c>
      <c r="I27" s="5">
        <f>MVTRESUME2019!I32</f>
        <v>14000</v>
      </c>
      <c r="J27" s="5">
        <f>MVTRESUME2019!J32</f>
        <v>35000</v>
      </c>
      <c r="K27" s="5">
        <f>MVTRESUME2019!K32</f>
        <v>3000</v>
      </c>
      <c r="L27" s="5">
        <f>MVTRESUME2019!L32</f>
        <v>0</v>
      </c>
      <c r="M27" s="5">
        <f>MVTRESUME2019!M32</f>
        <v>0</v>
      </c>
      <c r="N27" s="5">
        <f>MVTRESUME2019!N32</f>
        <v>0</v>
      </c>
      <c r="O27" s="5">
        <f>MVTRESUME2019!O32</f>
        <v>0</v>
      </c>
      <c r="P27" s="5">
        <f>MVTRESUME2019!P32</f>
        <v>0</v>
      </c>
      <c r="Q27" s="5">
        <f>MVTRESUME2019!Q32</f>
        <v>0</v>
      </c>
      <c r="R27" s="5">
        <f>MVTRESUME2019!R32</f>
        <v>0</v>
      </c>
      <c r="S27" s="5">
        <f>MVTRESUME2019!S32</f>
        <v>0</v>
      </c>
      <c r="T27" s="5">
        <f>MVTRESUME2019!T32</f>
        <v>0</v>
      </c>
      <c r="U27" s="5">
        <f>MVTRESUME2019!U32</f>
        <v>84022.240996590786</v>
      </c>
      <c r="V27" s="5">
        <f>MVTRESUME2019!V32</f>
        <v>54022</v>
      </c>
      <c r="W27" s="5">
        <f>MVTRESUME2019!W32</f>
        <v>30000</v>
      </c>
      <c r="X27" s="5">
        <f>MVTRESUME2019!X32</f>
        <v>0</v>
      </c>
      <c r="Y27" s="5">
        <f>MVTRESUME2019!Y32</f>
        <v>54022.240996590786</v>
      </c>
      <c r="Z27" s="35"/>
      <c r="AC27" s="11">
        <f t="shared" si="0"/>
        <v>84000</v>
      </c>
      <c r="AD27" s="11">
        <v>80000</v>
      </c>
      <c r="AG27" s="7">
        <f>C27-T27+U27+AD27+AE27</f>
        <v>281067.24099659082</v>
      </c>
    </row>
    <row r="28" spans="1:33" x14ac:dyDescent="0.35">
      <c r="A28" s="1" t="s">
        <v>41</v>
      </c>
      <c r="B28" s="1" t="str">
        <f>VLOOKUP(A28,[30]LISTADHERENT!A$5:H$57,3,0)</f>
        <v>NGUIEMEGNI MATHIEU BLAISE</v>
      </c>
      <c r="C28" s="5">
        <f>MVTRESUME2019!C33</f>
        <v>480000</v>
      </c>
      <c r="D28" s="5">
        <f>MVTRESUME2019!D33</f>
        <v>91170.310621746714</v>
      </c>
      <c r="E28" s="5">
        <f>MVTRESUME2019!E33</f>
        <v>72138.254558185639</v>
      </c>
      <c r="F28" s="5">
        <f>MVTRESUME2019!F33</f>
        <v>0</v>
      </c>
      <c r="G28" s="5">
        <f>MVTRESUME2019!G33</f>
        <v>82000</v>
      </c>
      <c r="H28" s="5">
        <f>MVTRESUME2019!H33</f>
        <v>7000</v>
      </c>
      <c r="I28" s="5">
        <f>MVTRESUME2019!I33</f>
        <v>14000</v>
      </c>
      <c r="J28" s="5">
        <f>MVTRESUME2019!J33</f>
        <v>35000</v>
      </c>
      <c r="K28" s="5">
        <f>MVTRESUME2019!K33</f>
        <v>4000</v>
      </c>
      <c r="L28" s="5">
        <f>MVTRESUME2019!L33</f>
        <v>0</v>
      </c>
      <c r="M28" s="5">
        <f>MVTRESUME2019!M33</f>
        <v>0</v>
      </c>
      <c r="N28" s="5">
        <f>MVTRESUME2019!N33</f>
        <v>1150000</v>
      </c>
      <c r="O28" s="5">
        <f>MVTRESUME2019!O33</f>
        <v>114500</v>
      </c>
      <c r="P28" s="5">
        <f>MVTRESUME2019!P33</f>
        <v>4500</v>
      </c>
      <c r="Q28" s="5">
        <f>MVTRESUME2019!Q33</f>
        <v>1000000</v>
      </c>
      <c r="R28" s="5">
        <f>MVTRESUME2019!R33</f>
        <v>0</v>
      </c>
      <c r="S28" s="5">
        <f>MVTRESUME2019!S33</f>
        <v>0</v>
      </c>
      <c r="T28" s="5">
        <f>MVTRESUME2019!T33</f>
        <v>150000</v>
      </c>
      <c r="U28" s="5">
        <f>MVTRESUME2019!U33</f>
        <v>245308.56517993234</v>
      </c>
      <c r="V28" s="5">
        <f>MVTRESUME2019!V33</f>
        <v>200000</v>
      </c>
      <c r="W28" s="5">
        <f>MVTRESUME2019!W33</f>
        <v>30000</v>
      </c>
      <c r="X28" s="5">
        <f>MVTRESUME2019!X33</f>
        <v>0</v>
      </c>
      <c r="Y28" s="5">
        <f>MVTRESUME2019!Y33</f>
        <v>215308.56517993234</v>
      </c>
      <c r="Z28" s="17" t="s">
        <v>97</v>
      </c>
      <c r="AC28" s="11">
        <f t="shared" si="0"/>
        <v>173170.3106217467</v>
      </c>
    </row>
    <row r="29" spans="1:33" s="14" customFormat="1" x14ac:dyDescent="0.35">
      <c r="A29" s="12" t="s">
        <v>42</v>
      </c>
      <c r="B29" s="1" t="str">
        <f>VLOOKUP(A29,[30]LISTADHERENT!A$5:H$57,3,0)</f>
        <v>NJEPDJIO MBOUKAM DELUXE</v>
      </c>
      <c r="C29" s="5">
        <f>MVTRESUME2019!C34</f>
        <v>480000</v>
      </c>
      <c r="D29" s="5">
        <f>MVTRESUME2019!D34</f>
        <v>78422.245259251824</v>
      </c>
      <c r="E29" s="5">
        <f>MVTRESUME2019!E34</f>
        <v>689.31860616087215</v>
      </c>
      <c r="F29" s="5">
        <f>MVTRESUME2019!F34</f>
        <v>0</v>
      </c>
      <c r="G29" s="5">
        <f>MVTRESUME2019!G34</f>
        <v>30000</v>
      </c>
      <c r="H29" s="5">
        <f>MVTRESUME2019!H34</f>
        <v>2500</v>
      </c>
      <c r="I29" s="5">
        <f>MVTRESUME2019!I34</f>
        <v>5000</v>
      </c>
      <c r="J29" s="5">
        <f>MVTRESUME2019!J34</f>
        <v>12500</v>
      </c>
      <c r="K29" s="5">
        <f>MVTRESUME2019!K34</f>
        <v>5000</v>
      </c>
      <c r="L29" s="5">
        <f>MVTRESUME2019!L34</f>
        <v>0</v>
      </c>
      <c r="M29" s="5">
        <f>MVTRESUME2019!M34</f>
        <v>0</v>
      </c>
      <c r="N29" s="5">
        <f>MVTRESUME2019!N34</f>
        <v>700000</v>
      </c>
      <c r="O29" s="5">
        <f>MVTRESUME2019!O34</f>
        <v>84000</v>
      </c>
      <c r="P29" s="5">
        <f>MVTRESUME2019!P34</f>
        <v>0</v>
      </c>
      <c r="Q29" s="5">
        <f>MVTRESUME2019!Q34</f>
        <v>0</v>
      </c>
      <c r="R29" s="5">
        <f>MVTRESUME2019!R34</f>
        <v>108500</v>
      </c>
      <c r="S29" s="5">
        <f>MVTRESUME2019!S34</f>
        <v>0</v>
      </c>
      <c r="T29" s="5">
        <f>MVTRESUME2019!T34</f>
        <v>808500</v>
      </c>
      <c r="U29" s="5">
        <f>MVTRESUME2019!U34</f>
        <v>109111.5638654127</v>
      </c>
      <c r="V29" s="5">
        <f>MVTRESUME2019!V34</f>
        <v>79112</v>
      </c>
      <c r="W29" s="5">
        <f>MVTRESUME2019!W34</f>
        <v>30000</v>
      </c>
      <c r="X29" s="5">
        <f>MVTRESUME2019!X34</f>
        <v>0</v>
      </c>
      <c r="Y29" s="5">
        <f>MVTRESUME2019!Y34</f>
        <v>79111.563865412696</v>
      </c>
      <c r="Z29" s="35" t="s">
        <v>94</v>
      </c>
      <c r="AA29" s="14" t="s">
        <v>129</v>
      </c>
      <c r="AB29" s="11">
        <f>35000+73500</f>
        <v>108500</v>
      </c>
      <c r="AC29" s="11">
        <f t="shared" si="0"/>
        <v>108422.24525925182</v>
      </c>
      <c r="AD29" s="11" t="e">
        <f>#REF!</f>
        <v>#REF!</v>
      </c>
      <c r="AE29" s="11">
        <v>-488000</v>
      </c>
      <c r="AF29" s="11"/>
      <c r="AG29" s="7" t="e">
        <f>C29-T29+U29+AD29+AE29</f>
        <v>#REF!</v>
      </c>
    </row>
    <row r="30" spans="1:33" s="8" customFormat="1" x14ac:dyDescent="0.35">
      <c r="A30" s="1" t="s">
        <v>43</v>
      </c>
      <c r="B30" s="1" t="str">
        <f>VLOOKUP(A30,[30]LISTADHERENT!A$5:H$57,3,0)</f>
        <v>NKAMGANG JUSTIN DEJOLIE</v>
      </c>
      <c r="C30" s="5">
        <f>MVTRESUME2019!C35</f>
        <v>480000</v>
      </c>
      <c r="D30" s="5">
        <f>MVTRESUME2019!D35</f>
        <v>80425.990897485564</v>
      </c>
      <c r="E30" s="5">
        <f>MVTRESUME2019!E35</f>
        <v>36.350487807299942</v>
      </c>
      <c r="F30" s="5">
        <f>MVTRESUME2019!F35</f>
        <v>0</v>
      </c>
      <c r="G30" s="5">
        <f>MVTRESUME2019!G35</f>
        <v>144000</v>
      </c>
      <c r="H30" s="5">
        <f>MVTRESUME2019!H35</f>
        <v>7000</v>
      </c>
      <c r="I30" s="5">
        <f>MVTRESUME2019!I35</f>
        <v>14000</v>
      </c>
      <c r="J30" s="5">
        <f>MVTRESUME2019!J35</f>
        <v>35000</v>
      </c>
      <c r="K30" s="5">
        <f>MVTRESUME2019!K35</f>
        <v>23000</v>
      </c>
      <c r="L30" s="5">
        <f>MVTRESUME2019!L35</f>
        <v>0</v>
      </c>
      <c r="M30" s="5">
        <f>MVTRESUME2019!M35</f>
        <v>0</v>
      </c>
      <c r="N30" s="5">
        <f>MVTRESUME2019!N35</f>
        <v>3000000</v>
      </c>
      <c r="O30" s="5">
        <f>MVTRESUME2019!O35</f>
        <v>170000</v>
      </c>
      <c r="P30" s="5">
        <f>MVTRESUME2019!P35</f>
        <v>50000</v>
      </c>
      <c r="Q30" s="5">
        <f>MVTRESUME2019!Q35</f>
        <v>2000000</v>
      </c>
      <c r="R30" s="5">
        <f>MVTRESUME2019!R35</f>
        <v>0</v>
      </c>
      <c r="S30" s="5">
        <f>MVTRESUME2019!S35</f>
        <v>0</v>
      </c>
      <c r="T30" s="5">
        <f>MVTRESUME2019!T35</f>
        <v>1000000</v>
      </c>
      <c r="U30" s="5">
        <f>MVTRESUME2019!U35</f>
        <v>224462.34138529288</v>
      </c>
      <c r="V30" s="5">
        <f>MVTRESUME2019!V35</f>
        <v>120000</v>
      </c>
      <c r="W30" s="5">
        <f>MVTRESUME2019!W35</f>
        <v>30000</v>
      </c>
      <c r="X30" s="5">
        <f>MVTRESUME2019!X35</f>
        <v>0</v>
      </c>
      <c r="Y30" s="5">
        <f>MVTRESUME2019!Y35</f>
        <v>194462.34138529288</v>
      </c>
      <c r="Z30" s="17" t="s">
        <v>76</v>
      </c>
      <c r="AC30" s="11">
        <f t="shared" si="0"/>
        <v>224425.99089748558</v>
      </c>
    </row>
    <row r="31" spans="1:33" x14ac:dyDescent="0.35">
      <c r="A31" s="1" t="s">
        <v>30</v>
      </c>
      <c r="B31" s="1" t="str">
        <f>VLOOKUP(A31,[30]LISTADHERENT!A$5:H$57,3,0)</f>
        <v>NKEHE DAVID</v>
      </c>
      <c r="C31" s="5">
        <f>MVTRESUME2019!C36</f>
        <v>480000</v>
      </c>
      <c r="D31" s="5">
        <f>MVTRESUME2019!D36</f>
        <v>79900.26982663176</v>
      </c>
      <c r="E31" s="5">
        <f>MVTRESUME2019!E36</f>
        <v>0.30040658926009201</v>
      </c>
      <c r="F31" s="5">
        <f>MVTRESUME2019!F36</f>
        <v>0</v>
      </c>
      <c r="G31" s="5">
        <f>MVTRESUME2019!G36</f>
        <v>86500</v>
      </c>
      <c r="H31" s="5">
        <f>MVTRESUME2019!H36</f>
        <v>7000</v>
      </c>
      <c r="I31" s="5">
        <f>MVTRESUME2019!I36</f>
        <v>14000</v>
      </c>
      <c r="J31" s="5">
        <f>MVTRESUME2019!J36</f>
        <v>35000</v>
      </c>
      <c r="K31" s="5">
        <f>MVTRESUME2019!K36</f>
        <v>11000</v>
      </c>
      <c r="L31" s="5">
        <f>MVTRESUME2019!L36</f>
        <v>0</v>
      </c>
      <c r="M31" s="5">
        <f>MVTRESUME2019!M36</f>
        <v>0</v>
      </c>
      <c r="N31" s="5">
        <f>MVTRESUME2019!N36</f>
        <v>2000000</v>
      </c>
      <c r="O31" s="5">
        <f>MVTRESUME2019!O36</f>
        <v>240000</v>
      </c>
      <c r="P31" s="5">
        <f>MVTRESUME2019!P36</f>
        <v>120000</v>
      </c>
      <c r="Q31" s="5">
        <f>MVTRESUME2019!Q36</f>
        <v>1000000</v>
      </c>
      <c r="R31" s="5">
        <f>MVTRESUME2019!R36</f>
        <v>0</v>
      </c>
      <c r="S31" s="5">
        <f>MVTRESUME2019!S36</f>
        <v>0</v>
      </c>
      <c r="T31" s="5">
        <f>MVTRESUME2019!T36</f>
        <v>1000000</v>
      </c>
      <c r="U31" s="5">
        <f>MVTRESUME2019!U36</f>
        <v>166400.57023322102</v>
      </c>
      <c r="V31" s="5">
        <f>MVTRESUME2019!V36</f>
        <v>133000</v>
      </c>
      <c r="W31" s="5">
        <f>MVTRESUME2019!W36</f>
        <v>30000</v>
      </c>
      <c r="X31" s="5">
        <f>MVTRESUME2019!X36</f>
        <v>0</v>
      </c>
      <c r="Y31" s="5">
        <f>MVTRESUME2019!Y36</f>
        <v>136400.57023322102</v>
      </c>
      <c r="Z31" s="17" t="s">
        <v>87</v>
      </c>
      <c r="AC31" s="11">
        <f t="shared" si="0"/>
        <v>166400.26982663176</v>
      </c>
    </row>
    <row r="32" spans="1:33" x14ac:dyDescent="0.35">
      <c r="A32" s="1" t="s">
        <v>44</v>
      </c>
      <c r="B32" s="1" t="str">
        <f>VLOOKUP(A32,[30]LISTADHERENT!A$5:H$57,3,0)</f>
        <v>NKEPSEU DIEUDONNE</v>
      </c>
      <c r="C32" s="5">
        <f>MVTRESUME2019!C37</f>
        <v>480000</v>
      </c>
      <c r="D32" s="5">
        <f>MVTRESUME2019!D37</f>
        <v>80218.625624560562</v>
      </c>
      <c r="E32" s="5">
        <f>MVTRESUME2019!E37</f>
        <v>109.79976263979916</v>
      </c>
      <c r="F32" s="5">
        <f>MVTRESUME2019!F37</f>
        <v>0</v>
      </c>
      <c r="G32" s="5">
        <f>MVTRESUME2019!G37</f>
        <v>94000</v>
      </c>
      <c r="H32" s="5">
        <f>MVTRESUME2019!H37</f>
        <v>7000</v>
      </c>
      <c r="I32" s="5">
        <f>MVTRESUME2019!I37</f>
        <v>14000</v>
      </c>
      <c r="J32" s="5">
        <f>MVTRESUME2019!J37</f>
        <v>35000</v>
      </c>
      <c r="K32" s="5">
        <f>MVTRESUME2019!K37</f>
        <v>7000</v>
      </c>
      <c r="L32" s="5">
        <f>MVTRESUME2019!L37</f>
        <v>0</v>
      </c>
      <c r="M32" s="5">
        <f>MVTRESUME2019!M37</f>
        <v>0</v>
      </c>
      <c r="N32" s="5">
        <f>MVTRESUME2019!N37</f>
        <v>2000000</v>
      </c>
      <c r="O32" s="5">
        <f>MVTRESUME2019!O37</f>
        <v>230000</v>
      </c>
      <c r="P32" s="5">
        <f>MVTRESUME2019!P37</f>
        <v>120000</v>
      </c>
      <c r="Q32" s="5">
        <f>MVTRESUME2019!Q37</f>
        <v>1000000</v>
      </c>
      <c r="R32" s="5">
        <f>MVTRESUME2019!R37</f>
        <v>0</v>
      </c>
      <c r="S32" s="5">
        <f>MVTRESUME2019!S37</f>
        <v>0</v>
      </c>
      <c r="T32" s="5">
        <f>MVTRESUME2019!T37</f>
        <v>1000000</v>
      </c>
      <c r="U32" s="5">
        <f>MVTRESUME2019!U37</f>
        <v>174328.42538720038</v>
      </c>
      <c r="V32" s="5">
        <f>MVTRESUME2019!V37</f>
        <v>140000</v>
      </c>
      <c r="W32" s="5">
        <f>MVTRESUME2019!W37</f>
        <v>30000</v>
      </c>
      <c r="X32" s="5">
        <f>MVTRESUME2019!X37</f>
        <v>0</v>
      </c>
      <c r="Y32" s="5">
        <f>MVTRESUME2019!Y37</f>
        <v>144328.42538720038</v>
      </c>
      <c r="Z32" s="17" t="s">
        <v>98</v>
      </c>
      <c r="AC32" s="11">
        <f t="shared" si="0"/>
        <v>174218.62562456058</v>
      </c>
    </row>
    <row r="33" spans="1:33" x14ac:dyDescent="0.35">
      <c r="A33" s="1" t="s">
        <v>45</v>
      </c>
      <c r="B33" s="1" t="str">
        <f>VLOOKUP(A33,[30]LISTADHERENT!A$5:H$57,3,0)</f>
        <v>PATEGO NJOSSU GUSTAVE</v>
      </c>
      <c r="C33" s="5">
        <f>MVTRESUME2019!C38</f>
        <v>480000</v>
      </c>
      <c r="D33" s="5">
        <f>MVTRESUME2019!D38</f>
        <v>82325.064676950074</v>
      </c>
      <c r="E33" s="5">
        <f>MVTRESUME2019!E38</f>
        <v>15968.295339537319</v>
      </c>
      <c r="F33" s="5">
        <f>MVTRESUME2019!F38</f>
        <v>0</v>
      </c>
      <c r="G33" s="5">
        <f>MVTRESUME2019!G38</f>
        <v>84000</v>
      </c>
      <c r="H33" s="5">
        <f>MVTRESUME2019!H38</f>
        <v>7000</v>
      </c>
      <c r="I33" s="5">
        <f>MVTRESUME2019!I38</f>
        <v>14000</v>
      </c>
      <c r="J33" s="5">
        <f>MVTRESUME2019!J38</f>
        <v>35000</v>
      </c>
      <c r="K33" s="5">
        <f>MVTRESUME2019!K38</f>
        <v>0</v>
      </c>
      <c r="L33" s="5">
        <f>MVTRESUME2019!L38</f>
        <v>0</v>
      </c>
      <c r="M33" s="5">
        <f>MVTRESUME2019!M38</f>
        <v>0</v>
      </c>
      <c r="N33" s="5">
        <f>MVTRESUME2019!N38</f>
        <v>0</v>
      </c>
      <c r="O33" s="5">
        <f>MVTRESUME2019!O38</f>
        <v>0</v>
      </c>
      <c r="P33" s="5">
        <f>MVTRESUME2019!P38</f>
        <v>0</v>
      </c>
      <c r="Q33" s="5">
        <f>MVTRESUME2019!Q38</f>
        <v>0</v>
      </c>
      <c r="R33" s="5">
        <f>MVTRESUME2019!R38</f>
        <v>0</v>
      </c>
      <c r="S33" s="5">
        <f>MVTRESUME2019!S38</f>
        <v>0</v>
      </c>
      <c r="T33" s="5">
        <f>MVTRESUME2019!T38</f>
        <v>0</v>
      </c>
      <c r="U33" s="5">
        <f>MVTRESUME2019!U38</f>
        <v>182293.36001648739</v>
      </c>
      <c r="V33" s="5">
        <f>MVTRESUME2019!V38</f>
        <v>3500</v>
      </c>
      <c r="W33" s="5">
        <f>MVTRESUME2019!W38</f>
        <v>30000</v>
      </c>
      <c r="X33" s="5">
        <f>MVTRESUME2019!X38</f>
        <v>0</v>
      </c>
      <c r="Y33" s="5">
        <f>MVTRESUME2019!Y38</f>
        <v>152293.36001648739</v>
      </c>
      <c r="Z33" s="17"/>
      <c r="AC33" s="11">
        <f t="shared" si="0"/>
        <v>166325.06467695007</v>
      </c>
    </row>
    <row r="34" spans="1:33" x14ac:dyDescent="0.35">
      <c r="A34" s="1" t="s">
        <v>46</v>
      </c>
      <c r="B34" s="1" t="str">
        <f>VLOOKUP(A34,[30]LISTADHERENT!A$5:H$57,3,0)</f>
        <v>SEUNOU RICHELOT</v>
      </c>
      <c r="C34" s="5">
        <f>MVTRESUME2019!C39</f>
        <v>480000</v>
      </c>
      <c r="D34" s="5">
        <f>MVTRESUME2019!D39</f>
        <v>79309.541006732557</v>
      </c>
      <c r="E34" s="5">
        <f>MVTRESUME2019!E39</f>
        <v>0.17330693561234511</v>
      </c>
      <c r="F34" s="5">
        <f>MVTRESUME2019!F39</f>
        <v>0</v>
      </c>
      <c r="G34" s="5">
        <f>MVTRESUME2019!G39</f>
        <v>54000</v>
      </c>
      <c r="H34" s="5">
        <f>MVTRESUME2019!H39</f>
        <v>4500</v>
      </c>
      <c r="I34" s="5">
        <f>MVTRESUME2019!I39</f>
        <v>9000</v>
      </c>
      <c r="J34" s="5">
        <f>MVTRESUME2019!J39</f>
        <v>22500</v>
      </c>
      <c r="K34" s="5">
        <f>MVTRESUME2019!K39</f>
        <v>15000</v>
      </c>
      <c r="L34" s="5">
        <f>MVTRESUME2019!L39</f>
        <v>0</v>
      </c>
      <c r="M34" s="5">
        <f>MVTRESUME2019!M39</f>
        <v>0</v>
      </c>
      <c r="N34" s="5">
        <f>MVTRESUME2019!N39</f>
        <v>1000000</v>
      </c>
      <c r="O34" s="5">
        <f>MVTRESUME2019!O39</f>
        <v>40000</v>
      </c>
      <c r="P34" s="5">
        <f>MVTRESUME2019!P39</f>
        <v>0</v>
      </c>
      <c r="Q34" s="5">
        <f>MVTRESUME2019!Q39</f>
        <v>1155000</v>
      </c>
      <c r="R34" s="5">
        <f>MVTRESUME2019!R39</f>
        <v>155000</v>
      </c>
      <c r="S34" s="5">
        <f>MVTRESUME2019!S39</f>
        <v>0</v>
      </c>
      <c r="T34" s="5">
        <f>MVTRESUME2019!T39</f>
        <v>0</v>
      </c>
      <c r="U34" s="5">
        <f>MVTRESUME2019!U39</f>
        <v>133309.71431366817</v>
      </c>
      <c r="V34" s="5">
        <f>MVTRESUME2019!V39</f>
        <v>103310</v>
      </c>
      <c r="W34" s="5">
        <f>MVTRESUME2019!W39</f>
        <v>30000</v>
      </c>
      <c r="X34" s="5">
        <f>MVTRESUME2019!X39</f>
        <v>0</v>
      </c>
      <c r="Y34" s="5">
        <f>MVTRESUME2019!Y39</f>
        <v>103309.71431366817</v>
      </c>
      <c r="Z34" s="17"/>
      <c r="AC34" s="11">
        <f t="shared" si="0"/>
        <v>133309.54100673256</v>
      </c>
    </row>
    <row r="35" spans="1:33" x14ac:dyDescent="0.35">
      <c r="A35" s="1" t="s">
        <v>81</v>
      </c>
      <c r="B35" s="1" t="str">
        <f>VLOOKUP(A35,[30]LISTADHERENT!A$5:H$57,3,0)</f>
        <v>SIME BRICE</v>
      </c>
      <c r="C35" s="5">
        <f>MVTRESUME2019!C40</f>
        <v>0</v>
      </c>
      <c r="D35" s="5">
        <f>MVTRESUME2019!D40</f>
        <v>3376.913330814542</v>
      </c>
      <c r="E35" s="5">
        <f>MVTRESUME2019!E40</f>
        <v>0</v>
      </c>
      <c r="F35" s="5">
        <f>MVTRESUME2019!F40</f>
        <v>0</v>
      </c>
      <c r="G35" s="5">
        <f>MVTRESUME2019!G40</f>
        <v>104000</v>
      </c>
      <c r="H35" s="5">
        <f>MVTRESUME2019!H40</f>
        <v>7000</v>
      </c>
      <c r="I35" s="5">
        <f>MVTRESUME2019!I40</f>
        <v>14000</v>
      </c>
      <c r="J35" s="5">
        <f>MVTRESUME2019!J40</f>
        <v>35000</v>
      </c>
      <c r="K35" s="5">
        <f>MVTRESUME2019!K40</f>
        <v>3000</v>
      </c>
      <c r="L35" s="5">
        <f>MVTRESUME2019!L40</f>
        <v>0</v>
      </c>
      <c r="M35" s="5">
        <f>MVTRESUME2019!M40</f>
        <v>0</v>
      </c>
      <c r="N35" s="5">
        <f>MVTRESUME2019!N40</f>
        <v>0</v>
      </c>
      <c r="O35" s="5">
        <f>MVTRESUME2019!O40</f>
        <v>0</v>
      </c>
      <c r="P35" s="5">
        <f>MVTRESUME2019!P40</f>
        <v>0</v>
      </c>
      <c r="Q35" s="5">
        <f>MVTRESUME2019!Q40</f>
        <v>0</v>
      </c>
      <c r="R35" s="5">
        <f>MVTRESUME2019!R40</f>
        <v>0</v>
      </c>
      <c r="S35" s="5">
        <f>MVTRESUME2019!S40</f>
        <v>0</v>
      </c>
      <c r="T35" s="5">
        <f>MVTRESUME2019!T40</f>
        <v>0</v>
      </c>
      <c r="U35" s="5">
        <f>MVTRESUME2019!U40</f>
        <v>107376.91333081454</v>
      </c>
      <c r="V35" s="5">
        <f>MVTRESUME2019!V40</f>
        <v>0</v>
      </c>
      <c r="W35" s="5">
        <f>MVTRESUME2019!W40</f>
        <v>107377</v>
      </c>
      <c r="X35" s="5">
        <f>MVTRESUME2019!X40</f>
        <v>0</v>
      </c>
      <c r="Y35" s="5">
        <f>MVTRESUME2019!Y40</f>
        <v>-8.6669185460777953E-2</v>
      </c>
      <c r="Z35" s="17"/>
      <c r="AC35" s="11">
        <f t="shared" si="0"/>
        <v>107376.91333081454</v>
      </c>
    </row>
    <row r="36" spans="1:33" s="14" customFormat="1" x14ac:dyDescent="0.35">
      <c r="A36" s="12" t="s">
        <v>47</v>
      </c>
      <c r="B36" s="1" t="str">
        <f>VLOOKUP(A36,[30]LISTADHERENT!A$5:H$57,3,0)</f>
        <v>SIMO FONGANG ERIC</v>
      </c>
      <c r="C36" s="5">
        <f>MVTRESUME2019!C41</f>
        <v>480000</v>
      </c>
      <c r="D36" s="5">
        <f>MVTRESUME2019!D41</f>
        <v>80174.992283614876</v>
      </c>
      <c r="E36" s="5">
        <f>MVTRESUME2019!E41</f>
        <v>2777.4644755606423</v>
      </c>
      <c r="F36" s="5">
        <f>MVTRESUME2019!F41</f>
        <v>0</v>
      </c>
      <c r="G36" s="5">
        <f>MVTRESUME2019!G41</f>
        <v>82000</v>
      </c>
      <c r="H36" s="5">
        <f>MVTRESUME2019!H41</f>
        <v>7000</v>
      </c>
      <c r="I36" s="5">
        <f>MVTRESUME2019!I41</f>
        <v>14000</v>
      </c>
      <c r="J36" s="5">
        <f>MVTRESUME2019!J41</f>
        <v>35000</v>
      </c>
      <c r="K36" s="5">
        <f>MVTRESUME2019!K41</f>
        <v>13000</v>
      </c>
      <c r="L36" s="5">
        <f>MVTRESUME2019!L41</f>
        <v>0</v>
      </c>
      <c r="M36" s="5">
        <f>MVTRESUME2019!M41</f>
        <v>0</v>
      </c>
      <c r="N36" s="5">
        <f>MVTRESUME2019!N41</f>
        <v>1000000</v>
      </c>
      <c r="O36" s="5">
        <f>MVTRESUME2019!O41</f>
        <v>90000</v>
      </c>
      <c r="P36" s="5">
        <f>MVTRESUME2019!P41</f>
        <v>0</v>
      </c>
      <c r="Q36" s="5">
        <f>MVTRESUME2019!Q41</f>
        <v>400000</v>
      </c>
      <c r="R36" s="5">
        <f>MVTRESUME2019!R41</f>
        <v>155000</v>
      </c>
      <c r="S36" s="5">
        <f>MVTRESUME2019!S41</f>
        <v>0</v>
      </c>
      <c r="T36" s="5">
        <f>MVTRESUME2019!T41</f>
        <v>755000</v>
      </c>
      <c r="U36" s="5">
        <f>MVTRESUME2019!U41</f>
        <v>164952.45675917552</v>
      </c>
      <c r="V36" s="5">
        <f>MVTRESUME2019!V41</f>
        <v>130000</v>
      </c>
      <c r="W36" s="5">
        <f>MVTRESUME2019!W41</f>
        <v>30000</v>
      </c>
      <c r="X36" s="5">
        <f>MVTRESUME2019!X41</f>
        <v>0</v>
      </c>
      <c r="Y36" s="5">
        <f>MVTRESUME2019!Y41</f>
        <v>134952.45675917552</v>
      </c>
      <c r="Z36" s="35" t="s">
        <v>99</v>
      </c>
      <c r="AA36" s="14" t="s">
        <v>129</v>
      </c>
      <c r="AB36" s="11">
        <f>50000+105000</f>
        <v>155000</v>
      </c>
      <c r="AC36" s="11">
        <f t="shared" si="0"/>
        <v>162174.99228361488</v>
      </c>
    </row>
    <row r="37" spans="1:33" x14ac:dyDescent="0.35">
      <c r="A37" s="1" t="s">
        <v>48</v>
      </c>
      <c r="B37" s="1" t="str">
        <f>VLOOKUP(A37,[30]LISTADHERENT!A$5:H$57,3,0)</f>
        <v>SIME MATHIEU</v>
      </c>
      <c r="C37" s="5">
        <f>MVTRESUME2019!C42</f>
        <v>480000</v>
      </c>
      <c r="D37" s="5">
        <f>MVTRESUME2019!D42</f>
        <v>79793.71388976372</v>
      </c>
      <c r="E37" s="5">
        <f>MVTRESUME2019!E42</f>
        <v>0</v>
      </c>
      <c r="F37" s="5">
        <f>MVTRESUME2019!F42</f>
        <v>0</v>
      </c>
      <c r="G37" s="5">
        <f>MVTRESUME2019!G42</f>
        <v>84000</v>
      </c>
      <c r="H37" s="5">
        <f>MVTRESUME2019!H42</f>
        <v>7000</v>
      </c>
      <c r="I37" s="5">
        <f>MVTRESUME2019!I42</f>
        <v>14000</v>
      </c>
      <c r="J37" s="5">
        <f>MVTRESUME2019!J42</f>
        <v>35000</v>
      </c>
      <c r="K37" s="5">
        <f>MVTRESUME2019!K42</f>
        <v>0</v>
      </c>
      <c r="L37" s="5">
        <f>MVTRESUME2019!L42</f>
        <v>0</v>
      </c>
      <c r="M37" s="5">
        <f>MVTRESUME2019!M42</f>
        <v>0</v>
      </c>
      <c r="N37" s="5">
        <f>MVTRESUME2019!N42</f>
        <v>184035</v>
      </c>
      <c r="O37" s="5">
        <f>MVTRESUME2019!O42</f>
        <v>20243.849999999999</v>
      </c>
      <c r="P37" s="5">
        <f>MVTRESUME2019!P42</f>
        <v>0</v>
      </c>
      <c r="Q37" s="5">
        <f>MVTRESUME2019!Q42</f>
        <v>184035</v>
      </c>
      <c r="R37" s="5">
        <f>MVTRESUME2019!R42</f>
        <v>0</v>
      </c>
      <c r="S37" s="5">
        <f>MVTRESUME2019!S42</f>
        <v>0</v>
      </c>
      <c r="T37" s="5">
        <f>MVTRESUME2019!T42</f>
        <v>0</v>
      </c>
      <c r="U37" s="5">
        <f>MVTRESUME2019!U42</f>
        <v>163793.71388976372</v>
      </c>
      <c r="V37" s="5">
        <f>MVTRESUME2019!V42</f>
        <v>0</v>
      </c>
      <c r="W37" s="5">
        <f>MVTRESUME2019!W42</f>
        <v>30000</v>
      </c>
      <c r="X37" s="5">
        <f>MVTRESUME2019!X42</f>
        <v>0</v>
      </c>
      <c r="Y37" s="5">
        <f>MVTRESUME2019!Y42</f>
        <v>133793.71388976372</v>
      </c>
      <c r="Z37" s="17"/>
      <c r="AC37" s="11">
        <f t="shared" si="0"/>
        <v>163793.71388976372</v>
      </c>
    </row>
    <row r="38" spans="1:33" x14ac:dyDescent="0.35">
      <c r="A38" s="1" t="s">
        <v>49</v>
      </c>
      <c r="B38" s="1" t="str">
        <f>VLOOKUP(A38,[30]LISTADHERENT!A$5:H$57,3,0)</f>
        <v>SIMO PIERRE</v>
      </c>
      <c r="C38" s="5">
        <f>MVTRESUME2019!C43</f>
        <v>480000</v>
      </c>
      <c r="D38" s="5">
        <f>MVTRESUME2019!D43</f>
        <v>84611.13302311454</v>
      </c>
      <c r="E38" s="5">
        <f>MVTRESUME2019!E43</f>
        <v>-0.39887899404857308</v>
      </c>
      <c r="F38" s="5">
        <f>MVTRESUME2019!F43</f>
        <v>0</v>
      </c>
      <c r="G38" s="5">
        <f>MVTRESUME2019!G43</f>
        <v>174000</v>
      </c>
      <c r="H38" s="5">
        <f>MVTRESUME2019!H43</f>
        <v>7000</v>
      </c>
      <c r="I38" s="5">
        <f>MVTRESUME2019!I43</f>
        <v>14000</v>
      </c>
      <c r="J38" s="5">
        <f>MVTRESUME2019!J43</f>
        <v>35000</v>
      </c>
      <c r="K38" s="5">
        <f>MVTRESUME2019!K43</f>
        <v>2000</v>
      </c>
      <c r="L38" s="5">
        <f>MVTRESUME2019!L43</f>
        <v>0</v>
      </c>
      <c r="M38" s="5">
        <f>MVTRESUME2019!M43</f>
        <v>0</v>
      </c>
      <c r="N38" s="5">
        <f>MVTRESUME2019!N43</f>
        <v>1000000</v>
      </c>
      <c r="O38" s="5">
        <f>MVTRESUME2019!O43</f>
        <v>110000</v>
      </c>
      <c r="P38" s="5">
        <f>MVTRESUME2019!P43</f>
        <v>60000</v>
      </c>
      <c r="Q38" s="5">
        <f>MVTRESUME2019!Q43</f>
        <v>500000</v>
      </c>
      <c r="R38" s="5">
        <f>MVTRESUME2019!R43</f>
        <v>0</v>
      </c>
      <c r="S38" s="5">
        <f>MVTRESUME2019!S43</f>
        <v>0</v>
      </c>
      <c r="T38" s="5">
        <f>MVTRESUME2019!T43</f>
        <v>500000</v>
      </c>
      <c r="U38" s="5">
        <f>MVTRESUME2019!U43</f>
        <v>258610.73414412048</v>
      </c>
      <c r="V38" s="5">
        <f>MVTRESUME2019!V43</f>
        <v>200000</v>
      </c>
      <c r="W38" s="5">
        <f>MVTRESUME2019!W43</f>
        <v>30000</v>
      </c>
      <c r="X38" s="5">
        <f>MVTRESUME2019!X43</f>
        <v>0</v>
      </c>
      <c r="Y38" s="5">
        <f>MVTRESUME2019!Y43</f>
        <v>228610.73414412048</v>
      </c>
      <c r="Z38" s="17"/>
      <c r="AA38" t="s">
        <v>59</v>
      </c>
      <c r="AC38" s="11">
        <f t="shared" si="0"/>
        <v>258611.13302311453</v>
      </c>
    </row>
    <row r="39" spans="1:33" x14ac:dyDescent="0.35">
      <c r="A39" s="1" t="s">
        <v>51</v>
      </c>
      <c r="B39" s="1" t="str">
        <f>VLOOKUP(A39,[30]LISTADHERENT!A$5:H$57,3,0)</f>
        <v>TCHOUAMOU MATHIEU</v>
      </c>
      <c r="C39" s="5">
        <f>MVTRESUME2019!C44</f>
        <v>480000</v>
      </c>
      <c r="D39" s="5">
        <f>MVTRESUME2019!D44</f>
        <v>95391.522236883728</v>
      </c>
      <c r="E39" s="5">
        <f>MVTRESUME2019!E44</f>
        <v>1360.775029899698</v>
      </c>
      <c r="F39" s="5">
        <f>MVTRESUME2019!F44</f>
        <v>0</v>
      </c>
      <c r="G39" s="5">
        <f>MVTRESUME2019!G44</f>
        <v>84000</v>
      </c>
      <c r="H39" s="5">
        <f>MVTRESUME2019!H44</f>
        <v>7000</v>
      </c>
      <c r="I39" s="5">
        <f>MVTRESUME2019!I44</f>
        <v>14000</v>
      </c>
      <c r="J39" s="5">
        <f>MVTRESUME2019!J44</f>
        <v>35000</v>
      </c>
      <c r="K39" s="5">
        <f>MVTRESUME2019!K44</f>
        <v>0</v>
      </c>
      <c r="L39" s="5">
        <f>MVTRESUME2019!L44</f>
        <v>0</v>
      </c>
      <c r="M39" s="5">
        <f>MVTRESUME2019!M44</f>
        <v>0</v>
      </c>
      <c r="N39" s="5">
        <f>MVTRESUME2019!N44</f>
        <v>2000000</v>
      </c>
      <c r="O39" s="5">
        <f>MVTRESUME2019!O44</f>
        <v>200000</v>
      </c>
      <c r="P39" s="5">
        <f>MVTRESUME2019!P44</f>
        <v>110000</v>
      </c>
      <c r="Q39" s="5">
        <f>MVTRESUME2019!Q44</f>
        <v>1000000</v>
      </c>
      <c r="R39" s="5">
        <f>MVTRESUME2019!R44</f>
        <v>0</v>
      </c>
      <c r="S39" s="5">
        <f>MVTRESUME2019!S44</f>
        <v>0</v>
      </c>
      <c r="T39" s="5">
        <f>MVTRESUME2019!T44</f>
        <v>1000000</v>
      </c>
      <c r="U39" s="5">
        <f>MVTRESUME2019!U44</f>
        <v>180752.29726678343</v>
      </c>
      <c r="V39" s="5">
        <f>MVTRESUME2019!V44</f>
        <v>0</v>
      </c>
      <c r="W39" s="5">
        <f>MVTRESUME2019!W44</f>
        <v>30000</v>
      </c>
      <c r="X39" s="5">
        <f>MVTRESUME2019!X44</f>
        <v>0</v>
      </c>
      <c r="Y39" s="5">
        <f>MVTRESUME2019!Y44</f>
        <v>150752.29726678343</v>
      </c>
      <c r="Z39" s="17" t="s">
        <v>91</v>
      </c>
      <c r="AA39" t="s">
        <v>9</v>
      </c>
      <c r="AC39" s="11">
        <f t="shared" si="0"/>
        <v>179391.52223688373</v>
      </c>
    </row>
    <row r="40" spans="1:33" s="14" customFormat="1" x14ac:dyDescent="0.35">
      <c r="A40" s="12" t="s">
        <v>52</v>
      </c>
      <c r="B40" s="1" t="str">
        <f>VLOOKUP(A40,[30]LISTADHERENT!A$5:H$57,3,0)</f>
        <v>TCHOUANTE FRANCOIS</v>
      </c>
      <c r="C40" s="5">
        <f>MVTRESUME2019!C45</f>
        <v>480000</v>
      </c>
      <c r="D40" s="5">
        <f>MVTRESUME2019!D45</f>
        <v>78500.211202080493</v>
      </c>
      <c r="E40" s="5">
        <f>MVTRESUME2019!E45</f>
        <v>1225.3544029653422</v>
      </c>
      <c r="F40" s="5">
        <f>MVTRESUME2019!F45</f>
        <v>0</v>
      </c>
      <c r="G40" s="5">
        <f>MVTRESUME2019!G45</f>
        <v>30000</v>
      </c>
      <c r="H40" s="5">
        <f>MVTRESUME2019!H45</f>
        <v>2500</v>
      </c>
      <c r="I40" s="5">
        <f>MVTRESUME2019!I45</f>
        <v>5000</v>
      </c>
      <c r="J40" s="5">
        <f>MVTRESUME2019!J45</f>
        <v>12500</v>
      </c>
      <c r="K40" s="5">
        <f>MVTRESUME2019!K45</f>
        <v>4000</v>
      </c>
      <c r="L40" s="5">
        <f>MVTRESUME2019!L45</f>
        <v>0</v>
      </c>
      <c r="M40" s="5">
        <f>MVTRESUME2019!M45</f>
        <v>0</v>
      </c>
      <c r="N40" s="5">
        <f>MVTRESUME2019!N45</f>
        <v>850000</v>
      </c>
      <c r="O40" s="5">
        <f>MVTRESUME2019!O45</f>
        <v>95000</v>
      </c>
      <c r="P40" s="5">
        <f>MVTRESUME2019!P45</f>
        <v>0</v>
      </c>
      <c r="Q40" s="5">
        <f>MVTRESUME2019!Q45</f>
        <v>0</v>
      </c>
      <c r="R40" s="5">
        <f>MVTRESUME2019!R45</f>
        <v>131750</v>
      </c>
      <c r="S40" s="5">
        <f>MVTRESUME2019!S45</f>
        <v>0</v>
      </c>
      <c r="T40" s="5">
        <f>MVTRESUME2019!T45</f>
        <v>981750</v>
      </c>
      <c r="U40" s="5">
        <f>MVTRESUME2019!U45</f>
        <v>109725.56560504583</v>
      </c>
      <c r="V40" s="5">
        <f>MVTRESUME2019!V45</f>
        <v>109726</v>
      </c>
      <c r="W40" s="5">
        <f>MVTRESUME2019!W45</f>
        <v>0</v>
      </c>
      <c r="X40" s="5">
        <f>MVTRESUME2019!X45</f>
        <v>0</v>
      </c>
      <c r="Y40" s="5">
        <f>MVTRESUME2019!Y45</f>
        <v>109725.56560504583</v>
      </c>
      <c r="Z40" s="35" t="s">
        <v>98</v>
      </c>
      <c r="AA40" s="14" t="s">
        <v>129</v>
      </c>
      <c r="AB40" s="14">
        <f>42500+89250</f>
        <v>131750</v>
      </c>
      <c r="AC40" s="11">
        <f t="shared" si="0"/>
        <v>108500.21120208049</v>
      </c>
      <c r="AD40" s="11" t="e">
        <f>#REF!</f>
        <v>#REF!</v>
      </c>
      <c r="AG40" s="7" t="e">
        <f>C40-T40+U40+AD40+AE40</f>
        <v>#REF!</v>
      </c>
    </row>
    <row r="41" spans="1:33" s="14" customFormat="1" x14ac:dyDescent="0.35">
      <c r="A41" s="12" t="s">
        <v>53</v>
      </c>
      <c r="B41" s="1" t="str">
        <f>VLOOKUP(A41,[30]LISTADHERENT!A$5:H$57,3,0)</f>
        <v>TCHOUTOU NANA CLAUDE</v>
      </c>
      <c r="C41" s="5">
        <f>MVTRESUME2019!C46</f>
        <v>30000</v>
      </c>
      <c r="D41" s="5">
        <f>MVTRESUME2019!D46</f>
        <v>0</v>
      </c>
      <c r="E41" s="5">
        <f>MVTRESUME2019!E46</f>
        <v>21.303203075842248</v>
      </c>
      <c r="F41" s="5">
        <f>MVTRESUME2019!F46</f>
        <v>0</v>
      </c>
      <c r="G41" s="5">
        <f>MVTRESUME2019!G46</f>
        <v>30000</v>
      </c>
      <c r="H41" s="5">
        <f>MVTRESUME2019!H46</f>
        <v>2500</v>
      </c>
      <c r="I41" s="5">
        <f>MVTRESUME2019!I46</f>
        <v>5000</v>
      </c>
      <c r="J41" s="5">
        <f>MVTRESUME2019!J46</f>
        <v>12500</v>
      </c>
      <c r="K41" s="5">
        <f>MVTRESUME2019!K46</f>
        <v>5500</v>
      </c>
      <c r="L41" s="5">
        <f>MVTRESUME2019!L46</f>
        <v>0</v>
      </c>
      <c r="M41" s="5">
        <f>MVTRESUME2019!M46</f>
        <v>0</v>
      </c>
      <c r="N41" s="5">
        <f>MVTRESUME2019!N46</f>
        <v>0</v>
      </c>
      <c r="O41" s="5">
        <f>MVTRESUME2019!O46</f>
        <v>0</v>
      </c>
      <c r="P41" s="5">
        <f>MVTRESUME2019!P46</f>
        <v>0</v>
      </c>
      <c r="Q41" s="5">
        <f>MVTRESUME2019!Q46</f>
        <v>0</v>
      </c>
      <c r="R41" s="5">
        <f>MVTRESUME2019!R46</f>
        <v>0</v>
      </c>
      <c r="S41" s="5">
        <f>MVTRESUME2019!S46</f>
        <v>0</v>
      </c>
      <c r="T41" s="5">
        <f>MVTRESUME2019!T46</f>
        <v>0</v>
      </c>
      <c r="U41" s="5">
        <f>MVTRESUME2019!U46</f>
        <v>30021.30320307584</v>
      </c>
      <c r="V41" s="5">
        <f>MVTRESUME2019!V46</f>
        <v>30021</v>
      </c>
      <c r="W41" s="5">
        <f>MVTRESUME2019!W46</f>
        <v>0</v>
      </c>
      <c r="X41" s="5">
        <f>MVTRESUME2019!X46</f>
        <v>0</v>
      </c>
      <c r="Y41" s="5">
        <f>MVTRESUME2019!Y46</f>
        <v>30021.30320307584</v>
      </c>
      <c r="Z41" s="35"/>
      <c r="AA41" s="14" t="s">
        <v>129</v>
      </c>
      <c r="AC41" s="11">
        <f t="shared" si="0"/>
        <v>30000</v>
      </c>
      <c r="AD41" s="11" t="e">
        <f>+#REF!</f>
        <v>#REF!</v>
      </c>
      <c r="AG41" s="7" t="e">
        <f>C41-T41+U41+AD41+AE41-211475</f>
        <v>#REF!</v>
      </c>
    </row>
    <row r="42" spans="1:33" s="14" customFormat="1" x14ac:dyDescent="0.35">
      <c r="A42" s="12" t="s">
        <v>54</v>
      </c>
      <c r="B42" s="1" t="str">
        <f>VLOOKUP(A42,[30]LISTADHERENT!A$5:H$57,3,0)</f>
        <v>TIEYAM ERNEST</v>
      </c>
      <c r="C42" s="5">
        <f>MVTRESUME2019!C47</f>
        <v>480000</v>
      </c>
      <c r="D42" s="5">
        <f>MVTRESUME2019!D47</f>
        <v>77674.987774544497</v>
      </c>
      <c r="E42" s="5">
        <f>MVTRESUME2019!E47</f>
        <v>0.15040472695545759</v>
      </c>
      <c r="F42" s="5">
        <f>MVTRESUME2019!F47</f>
        <v>0</v>
      </c>
      <c r="G42" s="5">
        <f>MVTRESUME2019!G47</f>
        <v>22000</v>
      </c>
      <c r="H42" s="5">
        <f>MVTRESUME2019!H47</f>
        <v>2000</v>
      </c>
      <c r="I42" s="5">
        <f>MVTRESUME2019!I47</f>
        <v>4000</v>
      </c>
      <c r="J42" s="5">
        <f>MVTRESUME2019!J47</f>
        <v>10000</v>
      </c>
      <c r="K42" s="5">
        <f>MVTRESUME2019!K47</f>
        <v>11000</v>
      </c>
      <c r="L42" s="5">
        <f>MVTRESUME2019!L47</f>
        <v>0</v>
      </c>
      <c r="M42" s="5">
        <f>MVTRESUME2019!M47</f>
        <v>0</v>
      </c>
      <c r="N42" s="5">
        <f>MVTRESUME2019!N47</f>
        <v>2000000</v>
      </c>
      <c r="O42" s="5">
        <f>MVTRESUME2019!O47</f>
        <v>30000</v>
      </c>
      <c r="P42" s="5">
        <f>MVTRESUME2019!P47</f>
        <v>0</v>
      </c>
      <c r="Q42" s="5">
        <f>MVTRESUME2019!Q47</f>
        <v>1000000</v>
      </c>
      <c r="R42" s="5">
        <f>MVTRESUME2019!R47</f>
        <v>155000</v>
      </c>
      <c r="S42" s="5">
        <f>MVTRESUME2019!S47</f>
        <v>0</v>
      </c>
      <c r="T42" s="5">
        <f>MVTRESUME2019!T47</f>
        <v>1155000</v>
      </c>
      <c r="U42" s="5">
        <f>MVTRESUME2019!U47</f>
        <v>99675.138179271453</v>
      </c>
      <c r="V42" s="5">
        <f>MVTRESUME2019!V47</f>
        <v>69675</v>
      </c>
      <c r="W42" s="5">
        <f>MVTRESUME2019!W47</f>
        <v>30000</v>
      </c>
      <c r="X42" s="5">
        <f>MVTRESUME2019!X47</f>
        <v>0</v>
      </c>
      <c r="Y42" s="5">
        <f>MVTRESUME2019!Y47</f>
        <v>69675.138179271453</v>
      </c>
      <c r="Z42" s="35" t="s">
        <v>91</v>
      </c>
      <c r="AA42" s="14" t="s">
        <v>129</v>
      </c>
      <c r="AC42" s="11">
        <f t="shared" si="0"/>
        <v>99674.987774544497</v>
      </c>
      <c r="AD42" s="11" t="e">
        <f>#REF!</f>
        <v>#REF!</v>
      </c>
      <c r="AE42" s="11">
        <f>[31]TONTRESUME!$M$32</f>
        <v>16000</v>
      </c>
      <c r="AF42" s="11" t="e">
        <f>[14]TONTRESUME!$I$28</f>
        <v>#REF!</v>
      </c>
      <c r="AG42" s="7" t="e">
        <f>C42-T42+U42+AD42+AE42+AF42</f>
        <v>#REF!</v>
      </c>
    </row>
    <row r="43" spans="1:33" x14ac:dyDescent="0.35">
      <c r="A43" s="1" t="s">
        <v>55</v>
      </c>
      <c r="B43" s="1" t="str">
        <f>VLOOKUP(A43,[30]LISTADHERENT!A$5:H$57,3,0)</f>
        <v>YEPMOU JEAN JACQUES</v>
      </c>
      <c r="C43" s="5">
        <f>MVTRESUME2019!C48</f>
        <v>480000</v>
      </c>
      <c r="D43" s="5">
        <f>MVTRESUME2019!D48</f>
        <v>149658.23869144428</v>
      </c>
      <c r="E43" s="5">
        <f>MVTRESUME2019!E48</f>
        <v>440720.17653060926</v>
      </c>
      <c r="F43" s="5">
        <f>MVTRESUME2019!F48</f>
        <v>0</v>
      </c>
      <c r="G43" s="5">
        <f>MVTRESUME2019!G48</f>
        <v>84000</v>
      </c>
      <c r="H43" s="5">
        <f>MVTRESUME2019!H48</f>
        <v>7000</v>
      </c>
      <c r="I43" s="5">
        <f>MVTRESUME2019!I48</f>
        <v>14000</v>
      </c>
      <c r="J43" s="5">
        <f>MVTRESUME2019!J48</f>
        <v>35000</v>
      </c>
      <c r="K43" s="5">
        <f>MVTRESUME2019!K48</f>
        <v>17000</v>
      </c>
      <c r="L43" s="5">
        <f>MVTRESUME2019!L48</f>
        <v>0</v>
      </c>
      <c r="M43" s="5">
        <f>MVTRESUME2019!M48</f>
        <v>0</v>
      </c>
      <c r="N43" s="5">
        <f>MVTRESUME2019!N48</f>
        <v>2700000</v>
      </c>
      <c r="O43" s="5">
        <f>MVTRESUME2019!O48</f>
        <v>151500</v>
      </c>
      <c r="P43" s="5">
        <f>MVTRESUME2019!P48</f>
        <v>35000</v>
      </c>
      <c r="Q43" s="5">
        <f>MVTRESUME2019!Q48</f>
        <v>2037500</v>
      </c>
      <c r="R43" s="5">
        <f>MVTRESUME2019!R48</f>
        <v>37500</v>
      </c>
      <c r="S43" s="5">
        <f>MVTRESUME2019!S48</f>
        <v>0</v>
      </c>
      <c r="T43" s="5">
        <f>MVTRESUME2019!T48</f>
        <v>700000</v>
      </c>
      <c r="U43" s="5">
        <f>MVTRESUME2019!U48</f>
        <v>674378.41522205353</v>
      </c>
      <c r="V43" s="5">
        <f>MVTRESUME2019!V48</f>
        <v>0</v>
      </c>
      <c r="W43" s="5">
        <f>MVTRESUME2019!W48</f>
        <v>30000</v>
      </c>
      <c r="X43" s="5">
        <f>MVTRESUME2019!X48</f>
        <v>0</v>
      </c>
      <c r="Y43" s="5">
        <f>MVTRESUME2019!Y48</f>
        <v>644378.41522205353</v>
      </c>
      <c r="Z43" s="17" t="s">
        <v>100</v>
      </c>
      <c r="AC43" s="11">
        <f t="shared" si="0"/>
        <v>233658.23869144428</v>
      </c>
    </row>
    <row r="44" spans="1:33" x14ac:dyDescent="0.35">
      <c r="A44" s="1" t="s">
        <v>56</v>
      </c>
      <c r="B44" s="1" t="str">
        <f>VLOOKUP(A44,[30]LISTADHERENT!A$5:H$57,3,0)</f>
        <v>YOUMBI EMMANUEL</v>
      </c>
      <c r="C44" s="5">
        <f>MVTRESUME2019!C49</f>
        <v>480000</v>
      </c>
      <c r="D44" s="5">
        <f>MVTRESUME2019!D49</f>
        <v>317201.9797878497</v>
      </c>
      <c r="E44" s="5">
        <f>MVTRESUME2019!E49</f>
        <v>1198154.6510912008</v>
      </c>
      <c r="F44" s="5">
        <f>MVTRESUME2019!F49</f>
        <v>0</v>
      </c>
      <c r="G44" s="5">
        <f>MVTRESUME2019!G49</f>
        <v>1024000</v>
      </c>
      <c r="H44" s="5">
        <f>MVTRESUME2019!H49</f>
        <v>7000</v>
      </c>
      <c r="I44" s="5">
        <f>MVTRESUME2019!I49</f>
        <v>14000</v>
      </c>
      <c r="J44" s="5">
        <f>MVTRESUME2019!J49</f>
        <v>35000</v>
      </c>
      <c r="K44" s="5">
        <f>MVTRESUME2019!K49</f>
        <v>0</v>
      </c>
      <c r="L44" s="5">
        <f>MVTRESUME2019!L49</f>
        <v>0</v>
      </c>
      <c r="M44" s="5">
        <f>MVTRESUME2019!M49</f>
        <v>0</v>
      </c>
      <c r="N44" s="5">
        <f>MVTRESUME2019!N49</f>
        <v>0</v>
      </c>
      <c r="O44" s="5">
        <f>MVTRESUME2019!O49</f>
        <v>0</v>
      </c>
      <c r="P44" s="5">
        <f>MVTRESUME2019!P49</f>
        <v>0</v>
      </c>
      <c r="Q44" s="5">
        <f>MVTRESUME2019!Q49</f>
        <v>0</v>
      </c>
      <c r="R44" s="5">
        <f>MVTRESUME2019!R49</f>
        <v>0</v>
      </c>
      <c r="S44" s="5">
        <f>MVTRESUME2019!S49</f>
        <v>0</v>
      </c>
      <c r="T44" s="5">
        <f>MVTRESUME2019!T49</f>
        <v>0</v>
      </c>
      <c r="U44" s="5">
        <f>MVTRESUME2019!U49</f>
        <v>2539356.6308790506</v>
      </c>
      <c r="V44" s="5">
        <f>MVTRESUME2019!V49</f>
        <v>0</v>
      </c>
      <c r="W44" s="5">
        <f>MVTRESUME2019!W49</f>
        <v>30000</v>
      </c>
      <c r="X44" s="5">
        <f>MVTRESUME2019!X49</f>
        <v>0</v>
      </c>
      <c r="Y44" s="5">
        <f>MVTRESUME2019!Y49</f>
        <v>2509356.6308790506</v>
      </c>
      <c r="Z44" s="17"/>
      <c r="AC44" s="11">
        <f t="shared" si="0"/>
        <v>1341201.9797878498</v>
      </c>
    </row>
    <row r="45" spans="1:33" ht="17.5" x14ac:dyDescent="0.35">
      <c r="A45" s="1" t="s">
        <v>57</v>
      </c>
      <c r="B45" s="1"/>
      <c r="C45" s="9">
        <f>SUM(C2:C44)</f>
        <v>17782722.011083744</v>
      </c>
      <c r="D45" s="9">
        <f>SUM(D2:D44)</f>
        <v>3692643.8500000006</v>
      </c>
      <c r="E45" s="9">
        <f t="shared" ref="E45:Y45" si="1">SUM(E2:E44)</f>
        <v>4844130.5976969898</v>
      </c>
      <c r="F45" s="9">
        <f t="shared" si="1"/>
        <v>0</v>
      </c>
      <c r="G45" s="9">
        <f t="shared" si="1"/>
        <v>5614000</v>
      </c>
      <c r="H45" s="9">
        <f t="shared" si="1"/>
        <v>249500</v>
      </c>
      <c r="I45" s="9">
        <f t="shared" si="1"/>
        <v>499000</v>
      </c>
      <c r="J45" s="9">
        <f t="shared" si="1"/>
        <v>1247500</v>
      </c>
      <c r="K45" s="9">
        <f t="shared" si="1"/>
        <v>235500</v>
      </c>
      <c r="L45" s="9">
        <f t="shared" si="1"/>
        <v>0</v>
      </c>
      <c r="M45" s="9">
        <f t="shared" si="1"/>
        <v>0</v>
      </c>
      <c r="N45" s="9">
        <f t="shared" si="1"/>
        <v>46120035</v>
      </c>
      <c r="O45" s="9">
        <f t="shared" si="1"/>
        <v>3690143.85</v>
      </c>
      <c r="P45" s="9">
        <f t="shared" si="1"/>
        <v>1152300</v>
      </c>
      <c r="Q45" s="9">
        <f t="shared" si="1"/>
        <v>27308395</v>
      </c>
      <c r="R45" s="9">
        <f t="shared" si="1"/>
        <v>1475110</v>
      </c>
      <c r="S45" s="9">
        <f t="shared" si="1"/>
        <v>0</v>
      </c>
      <c r="T45" s="9">
        <f t="shared" si="1"/>
        <v>20286750</v>
      </c>
      <c r="U45" s="9">
        <f t="shared" si="1"/>
        <v>14150774.447696989</v>
      </c>
      <c r="V45" s="9">
        <f t="shared" si="1"/>
        <v>3581923</v>
      </c>
      <c r="W45" s="9">
        <f t="shared" si="1"/>
        <v>1265783</v>
      </c>
      <c r="X45" s="9"/>
      <c r="Y45" s="9">
        <f t="shared" si="1"/>
        <v>12884991.447696989</v>
      </c>
    </row>
  </sheetData>
  <autoFilter ref="A1:Q44" xr:uid="{00000000-0009-0000-0000-000028000000}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44"/>
  <sheetViews>
    <sheetView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F3" sqref="F3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15.26953125" customWidth="1"/>
    <col min="4" max="4" width="16.81640625" customWidth="1"/>
    <col min="5" max="5" width="20.7265625" customWidth="1"/>
    <col min="6" max="6" width="15" bestFit="1" customWidth="1"/>
    <col min="7" max="7" width="17.54296875" style="3" bestFit="1" customWidth="1"/>
    <col min="8" max="8" width="15.7265625" style="2" customWidth="1"/>
    <col min="9" max="11" width="12.453125" style="2" customWidth="1"/>
    <col min="12" max="12" width="12.453125" style="2" bestFit="1" customWidth="1"/>
    <col min="13" max="13" width="16.81640625" style="2" bestFit="1" customWidth="1"/>
    <col min="14" max="14" width="15" bestFit="1" customWidth="1"/>
    <col min="15" max="15" width="15" customWidth="1"/>
    <col min="16" max="16" width="18.1796875" customWidth="1"/>
  </cols>
  <sheetData>
    <row r="1" spans="1:28" x14ac:dyDescent="0.35">
      <c r="A1" s="1" t="s">
        <v>0</v>
      </c>
      <c r="B1" s="1" t="s">
        <v>1</v>
      </c>
      <c r="C1" s="1"/>
      <c r="D1" s="1"/>
      <c r="E1" s="1"/>
    </row>
    <row r="2" spans="1:28" x14ac:dyDescent="0.35">
      <c r="A2" s="1" t="s">
        <v>2</v>
      </c>
      <c r="B2" s="1" t="s">
        <v>153</v>
      </c>
      <c r="C2" s="1"/>
      <c r="D2" s="1"/>
      <c r="E2" s="1"/>
    </row>
    <row r="3" spans="1:28" x14ac:dyDescent="0.35">
      <c r="A3" s="1" t="s">
        <v>3</v>
      </c>
      <c r="B3" s="5">
        <v>30000</v>
      </c>
      <c r="C3" s="1"/>
      <c r="D3" s="1"/>
      <c r="E3" s="1"/>
    </row>
    <row r="4" spans="1:28" ht="26" x14ac:dyDescent="0.6">
      <c r="B4" s="16"/>
      <c r="C4" s="189" t="s">
        <v>156</v>
      </c>
      <c r="D4" s="189"/>
      <c r="E4" s="189"/>
      <c r="F4" s="189"/>
      <c r="G4" s="57"/>
      <c r="H4" s="57"/>
      <c r="I4" s="57"/>
      <c r="J4"/>
      <c r="K4"/>
      <c r="L4"/>
      <c r="M4"/>
    </row>
    <row r="5" spans="1:28" ht="42.5" x14ac:dyDescent="0.35">
      <c r="A5" s="1" t="s">
        <v>4</v>
      </c>
      <c r="B5" s="1" t="s">
        <v>5</v>
      </c>
      <c r="C5" s="4" t="s">
        <v>6</v>
      </c>
      <c r="D5" s="1" t="s">
        <v>8</v>
      </c>
      <c r="E5" s="4" t="s">
        <v>60</v>
      </c>
      <c r="F5" s="1" t="s">
        <v>9</v>
      </c>
      <c r="G5" s="4" t="s">
        <v>10</v>
      </c>
      <c r="H5" s="4" t="s">
        <v>11</v>
      </c>
      <c r="I5" s="4" t="s">
        <v>12</v>
      </c>
      <c r="J5" s="4" t="s">
        <v>72</v>
      </c>
      <c r="K5" s="4" t="s">
        <v>73</v>
      </c>
      <c r="L5" s="4" t="s">
        <v>13</v>
      </c>
      <c r="M5" s="4" t="s">
        <v>61</v>
      </c>
      <c r="N5" s="4" t="s">
        <v>63</v>
      </c>
      <c r="O5" s="4" t="s">
        <v>83</v>
      </c>
      <c r="P5" s="4" t="s">
        <v>64</v>
      </c>
      <c r="Q5" s="4" t="s">
        <v>65</v>
      </c>
      <c r="R5" s="4" t="s">
        <v>14</v>
      </c>
      <c r="S5" s="4" t="s">
        <v>15</v>
      </c>
    </row>
    <row r="6" spans="1:28" x14ac:dyDescent="0.35">
      <c r="A6" s="1" t="s">
        <v>16</v>
      </c>
      <c r="B6" s="1" t="str">
        <f>VLOOKUP(A6,[30]LISTADHERENT!A$5:H$60,3,0)</f>
        <v>ASELBY</v>
      </c>
      <c r="C6" s="5" t="e">
        <f>#REF!+#REF!+#REF!+#REF!+#REF!+#REF!+#REF!+#REF!+#REF!+#REF!+#REF!+#REF!+#REF!+#REF!</f>
        <v>#REF!</v>
      </c>
      <c r="D6" s="5" t="e">
        <f>#REF!+#REF!+#REF!+#REF!+#REF!+#REF!+#REF!+#REF!+#REF!+#REF!+#REF!+#REF!+#REF!+#REF!</f>
        <v>#REF!</v>
      </c>
      <c r="E6" s="5" t="e">
        <f>#REF!+#REF!+#REF!+#REF!+#REF!+#REF!+#REF!+#REF!+#REF!+#REF!+#REF!+#REF!+#REF!+#REF!</f>
        <v>#REF!</v>
      </c>
      <c r="F6" s="5" t="e">
        <f>#REF!+#REF!+#REF!+#REF!+#REF!+#REF!+#REF!+#REF!+#REF!+#REF!+#REF!+#REF!+#REF!+#REF!</f>
        <v>#REF!</v>
      </c>
      <c r="G6" s="5" t="e">
        <f>#REF!+#REF!+#REF!+#REF!+#REF!+#REF!+#REF!+#REF!+#REF!+#REF!+#REF!+#REF!+#REF!+#REF!</f>
        <v>#REF!</v>
      </c>
      <c r="H6" s="5" t="e">
        <f>#REF!+#REF!+#REF!+#REF!+#REF!+#REF!+#REF!+#REF!+#REF!+#REF!+#REF!+#REF!+#REF!+#REF!</f>
        <v>#REF!</v>
      </c>
      <c r="I6" s="5" t="e">
        <f>#REF!+#REF!+#REF!+#REF!+#REF!+#REF!+#REF!+#REF!+#REF!+#REF!+#REF!+#REF!+#REF!+#REF!</f>
        <v>#REF!</v>
      </c>
      <c r="J6" s="5" t="e">
        <f>#REF!+#REF!+#REF!+#REF!+#REF!+#REF!+#REF!+#REF!+#REF!+#REF!+#REF!+#REF!+#REF!+#REF!</f>
        <v>#REF!</v>
      </c>
      <c r="K6" s="5" t="e">
        <f>#REF!+#REF!+#REF!+#REF!+#REF!+#REF!+#REF!+#REF!+#REF!+#REF!+#REF!+#REF!+#REF!+#REF!</f>
        <v>#REF!</v>
      </c>
      <c r="L6" s="5" t="e">
        <f>#REF!+#REF!+#REF!+#REF!+#REF!+#REF!+#REF!+#REF!+#REF!+#REF!+#REF!+#REF!+#REF!+#REF!</f>
        <v>#REF!</v>
      </c>
      <c r="M6" s="5" t="e">
        <f>#REF!+#REF!+#REF!+#REF!+#REF!+#REF!+#REF!+#REF!+#REF!+#REF!+#REF!+#REF!+#REF!+#REF!</f>
        <v>#REF!</v>
      </c>
      <c r="N6" s="5" t="e">
        <f>#REF!+#REF!+#REF!+#REF!+#REF!+#REF!+#REF!+#REF!+#REF!+#REF!+#REF!+#REF!+#REF!+#REF!</f>
        <v>#REF!</v>
      </c>
      <c r="O6" s="5" t="e">
        <f>#REF!+#REF!+#REF!+#REF!+#REF!+#REF!+#REF!+#REF!+#REF!+#REF!+#REF!+#REF!+#REF!+#REF!</f>
        <v>#REF!</v>
      </c>
      <c r="P6" s="5" t="e">
        <f>#REF!+#REF!+#REF!+#REF!+#REF!+#REF!+#REF!+#REF!+#REF!+#REF!+#REF!+#REF!+#REF!+#REF!</f>
        <v>#REF!</v>
      </c>
      <c r="Q6" s="5" t="e">
        <f>#REF!+#REF!+#REF!+#REF!+#REF!+#REF!+#REF!+#REF!+#REF!+#REF!+#REF!+#REF!+#REF!+#REF!</f>
        <v>#REF!</v>
      </c>
      <c r="R6" s="5" t="e">
        <f>#REF!+#REF!+#REF!+#REF!+#REF!+#REF!+#REF!+#REF!+#REF!+#REF!+#REF!+#REF!+#REF!+#REF!</f>
        <v>#REF!</v>
      </c>
      <c r="S6" s="5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35">
      <c r="A7" s="1" t="s">
        <v>19</v>
      </c>
      <c r="B7" s="1" t="str">
        <f>VLOOKUP(A7,[30]LISTADHERENT!A$5:H$60,3,0)</f>
        <v>BOUTCHOUANG WILLIAM</v>
      </c>
      <c r="C7" s="5" t="e">
        <f>#REF!+#REF!+#REF!+#REF!+#REF!+#REF!+#REF!+#REF!+#REF!+#REF!+#REF!+#REF!+#REF!+#REF!</f>
        <v>#REF!</v>
      </c>
      <c r="D7" s="5" t="e">
        <f>#REF!+#REF!+#REF!+#REF!+#REF!+#REF!+#REF!+#REF!+#REF!+#REF!+#REF!+#REF!+#REF!+#REF!</f>
        <v>#REF!</v>
      </c>
      <c r="E7" s="5" t="e">
        <f>#REF!+#REF!+#REF!+#REF!+#REF!+#REF!+#REF!+#REF!+#REF!+#REF!+#REF!+#REF!+#REF!+#REF!</f>
        <v>#REF!</v>
      </c>
      <c r="F7" s="5" t="e">
        <f>#REF!+#REF!+#REF!+#REF!+#REF!+#REF!+#REF!+#REF!+#REF!+#REF!+#REF!+#REF!+#REF!+#REF!</f>
        <v>#REF!</v>
      </c>
      <c r="G7" s="5" t="e">
        <f>#REF!+#REF!+#REF!+#REF!+#REF!+#REF!+#REF!+#REF!+#REF!+#REF!+#REF!+#REF!+#REF!+#REF!</f>
        <v>#REF!</v>
      </c>
      <c r="H7" s="5" t="e">
        <f>#REF!+#REF!+#REF!+#REF!+#REF!+#REF!+#REF!+#REF!+#REF!+#REF!+#REF!+#REF!+#REF!+#REF!</f>
        <v>#REF!</v>
      </c>
      <c r="I7" s="5" t="e">
        <f>#REF!+#REF!+#REF!+#REF!+#REF!+#REF!+#REF!+#REF!+#REF!+#REF!+#REF!+#REF!+#REF!+#REF!</f>
        <v>#REF!</v>
      </c>
      <c r="J7" s="5" t="e">
        <f>#REF!+#REF!+#REF!+#REF!+#REF!+#REF!+#REF!+#REF!+#REF!+#REF!+#REF!+#REF!+#REF!+#REF!</f>
        <v>#REF!</v>
      </c>
      <c r="K7" s="5" t="e">
        <f>#REF!+#REF!+#REF!+#REF!+#REF!+#REF!+#REF!+#REF!+#REF!+#REF!+#REF!+#REF!+#REF!+#REF!</f>
        <v>#REF!</v>
      </c>
      <c r="L7" s="5" t="e">
        <f>#REF!+#REF!+#REF!+#REF!+#REF!+#REF!+#REF!+#REF!+#REF!+#REF!+#REF!+#REF!+#REF!+#REF!</f>
        <v>#REF!</v>
      </c>
      <c r="M7" s="5" t="e">
        <f>#REF!+#REF!+#REF!+#REF!+#REF!+#REF!+#REF!+#REF!+#REF!+#REF!+#REF!+#REF!+#REF!+#REF!</f>
        <v>#REF!</v>
      </c>
      <c r="N7" s="5" t="e">
        <f>#REF!+#REF!+#REF!+#REF!+#REF!+#REF!+#REF!+#REF!+#REF!+#REF!+#REF!+#REF!+#REF!+#REF!</f>
        <v>#REF!</v>
      </c>
      <c r="O7" s="5" t="e">
        <f>#REF!+#REF!+#REF!+#REF!+#REF!+#REF!+#REF!+#REF!+#REF!+#REF!+#REF!+#REF!+#REF!+#REF!</f>
        <v>#REF!</v>
      </c>
      <c r="P7" s="5" t="e">
        <f>#REF!+#REF!+#REF!+#REF!+#REF!+#REF!+#REF!+#REF!+#REF!+#REF!+#REF!+#REF!+#REF!+#REF!</f>
        <v>#REF!</v>
      </c>
      <c r="Q7" s="5" t="e">
        <f>#REF!+#REF!+#REF!+#REF!+#REF!+#REF!+#REF!+#REF!+#REF!+#REF!+#REF!+#REF!+#REF!+#REF!</f>
        <v>#REF!</v>
      </c>
      <c r="R7" s="5" t="e">
        <f>#REF!+#REF!+#REF!+#REF!+#REF!+#REF!+#REF!+#REF!+#REF!+#REF!+#REF!+#REF!+#REF!+#REF!</f>
        <v>#REF!</v>
      </c>
      <c r="S7" s="5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35">
      <c r="A8" s="1" t="s">
        <v>23</v>
      </c>
      <c r="B8" s="1" t="str">
        <f>VLOOKUP(A8,[30]LISTADHERENT!A$5:H$60,3,0)</f>
        <v xml:space="preserve">DJOMO JEAN PAUL </v>
      </c>
      <c r="C8" s="5" t="e">
        <f>#REF!+#REF!+#REF!+#REF!+#REF!+#REF!+#REF!+#REF!+#REF!+#REF!+#REF!+#REF!+#REF!+#REF!</f>
        <v>#REF!</v>
      </c>
      <c r="D8" s="5" t="e">
        <f>#REF!+#REF!+#REF!+#REF!+#REF!+#REF!+#REF!+#REF!+#REF!+#REF!+#REF!+#REF!+#REF!+#REF!</f>
        <v>#REF!</v>
      </c>
      <c r="E8" s="5" t="e">
        <f>#REF!+#REF!+#REF!+#REF!+#REF!+#REF!+#REF!+#REF!+#REF!+#REF!+#REF!+#REF!+#REF!+#REF!</f>
        <v>#REF!</v>
      </c>
      <c r="F8" s="5" t="e">
        <f>#REF!+#REF!+#REF!+#REF!+#REF!+#REF!+#REF!+#REF!+#REF!+#REF!+#REF!+#REF!+#REF!+#REF!</f>
        <v>#REF!</v>
      </c>
      <c r="G8" s="5" t="e">
        <f>#REF!+#REF!+#REF!+#REF!+#REF!+#REF!+#REF!+#REF!+#REF!+#REF!+#REF!+#REF!+#REF!+#REF!</f>
        <v>#REF!</v>
      </c>
      <c r="H8" s="5" t="e">
        <f>#REF!+#REF!+#REF!+#REF!+#REF!+#REF!+#REF!+#REF!+#REF!+#REF!+#REF!+#REF!+#REF!+#REF!</f>
        <v>#REF!</v>
      </c>
      <c r="I8" s="5" t="e">
        <f>#REF!+#REF!+#REF!+#REF!+#REF!+#REF!+#REF!+#REF!+#REF!+#REF!+#REF!+#REF!+#REF!+#REF!</f>
        <v>#REF!</v>
      </c>
      <c r="J8" s="5" t="e">
        <f>#REF!+#REF!+#REF!+#REF!+#REF!+#REF!+#REF!+#REF!+#REF!+#REF!+#REF!+#REF!+#REF!+#REF!</f>
        <v>#REF!</v>
      </c>
      <c r="K8" s="5" t="e">
        <f>#REF!+#REF!+#REF!+#REF!+#REF!+#REF!+#REF!+#REF!+#REF!+#REF!+#REF!+#REF!+#REF!+#REF!</f>
        <v>#REF!</v>
      </c>
      <c r="L8" s="5" t="e">
        <f>#REF!+#REF!+#REF!+#REF!+#REF!+#REF!+#REF!+#REF!+#REF!+#REF!+#REF!+#REF!+#REF!+#REF!</f>
        <v>#REF!</v>
      </c>
      <c r="M8" s="5" t="e">
        <f>#REF!+#REF!+#REF!+#REF!+#REF!+#REF!+#REF!+#REF!+#REF!+#REF!+#REF!+#REF!+#REF!+#REF!</f>
        <v>#REF!</v>
      </c>
      <c r="N8" s="5" t="e">
        <f>#REF!+#REF!+#REF!+#REF!+#REF!+#REF!+#REF!+#REF!+#REF!+#REF!+#REF!+#REF!+#REF!+#REF!</f>
        <v>#REF!</v>
      </c>
      <c r="O8" s="5" t="e">
        <f>#REF!+#REF!+#REF!+#REF!+#REF!+#REF!+#REF!+#REF!+#REF!+#REF!+#REF!+#REF!+#REF!+#REF!</f>
        <v>#REF!</v>
      </c>
      <c r="P8" s="5" t="e">
        <f>#REF!+#REF!+#REF!+#REF!+#REF!+#REF!+#REF!+#REF!+#REF!+#REF!+#REF!+#REF!+#REF!+#REF!</f>
        <v>#REF!</v>
      </c>
      <c r="Q8" s="5" t="e">
        <f>#REF!+#REF!+#REF!+#REF!+#REF!+#REF!+#REF!+#REF!+#REF!+#REF!+#REF!+#REF!+#REF!+#REF!</f>
        <v>#REF!</v>
      </c>
      <c r="R8" s="5" t="e">
        <f>#REF!+#REF!+#REF!+#REF!+#REF!+#REF!+#REF!+#REF!+#REF!+#REF!+#REF!+#REF!+#REF!+#REF!</f>
        <v>#REF!</v>
      </c>
      <c r="S8" s="5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35">
      <c r="A9" s="1" t="s">
        <v>154</v>
      </c>
      <c r="B9" s="1" t="str">
        <f>VLOOKUP(A9,[30]LISTADHERENT!A$5:H$60,3,0)</f>
        <v>DJOMOU TCHANDA</v>
      </c>
      <c r="C9" s="5" t="e">
        <f>#REF!+#REF!+#REF!+#REF!+#REF!+#REF!+#REF!+#REF!+#REF!+#REF!+#REF!+#REF!+#REF!+#REF!</f>
        <v>#REF!</v>
      </c>
      <c r="D9" s="5" t="e">
        <f>#REF!+#REF!+#REF!+#REF!+#REF!+#REF!+#REF!+#REF!+#REF!+#REF!+#REF!+#REF!+#REF!+#REF!</f>
        <v>#REF!</v>
      </c>
      <c r="E9" s="5" t="e">
        <f>#REF!+#REF!+#REF!+#REF!+#REF!+#REF!+#REF!+#REF!+#REF!+#REF!+#REF!+#REF!+#REF!+#REF!</f>
        <v>#REF!</v>
      </c>
      <c r="F9" s="5" t="e">
        <f>#REF!+#REF!+#REF!+#REF!+#REF!+#REF!+#REF!+#REF!+#REF!+#REF!+#REF!+#REF!+#REF!+#REF!</f>
        <v>#REF!</v>
      </c>
      <c r="G9" s="5" t="e">
        <f>#REF!+#REF!+#REF!+#REF!+#REF!+#REF!+#REF!+#REF!+#REF!+#REF!+#REF!+#REF!+#REF!+#REF!</f>
        <v>#REF!</v>
      </c>
      <c r="H9" s="5" t="e">
        <f>#REF!+#REF!+#REF!+#REF!+#REF!+#REF!+#REF!+#REF!+#REF!+#REF!+#REF!+#REF!+#REF!+#REF!</f>
        <v>#REF!</v>
      </c>
      <c r="I9" s="5" t="e">
        <f>#REF!+#REF!+#REF!+#REF!+#REF!+#REF!+#REF!+#REF!+#REF!+#REF!+#REF!+#REF!+#REF!+#REF!</f>
        <v>#REF!</v>
      </c>
      <c r="J9" s="5" t="e">
        <f>#REF!+#REF!+#REF!+#REF!+#REF!+#REF!+#REF!+#REF!+#REF!+#REF!+#REF!+#REF!+#REF!+#REF!</f>
        <v>#REF!</v>
      </c>
      <c r="K9" s="5" t="e">
        <f>#REF!+#REF!+#REF!+#REF!+#REF!+#REF!+#REF!+#REF!+#REF!+#REF!+#REF!+#REF!+#REF!+#REF!</f>
        <v>#REF!</v>
      </c>
      <c r="L9" s="5" t="e">
        <f>#REF!+#REF!+#REF!+#REF!+#REF!+#REF!+#REF!+#REF!+#REF!+#REF!+#REF!+#REF!+#REF!+#REF!</f>
        <v>#REF!</v>
      </c>
      <c r="M9" s="5" t="e">
        <f>#REF!+#REF!+#REF!+#REF!+#REF!+#REF!+#REF!+#REF!+#REF!+#REF!+#REF!+#REF!+#REF!+#REF!</f>
        <v>#REF!</v>
      </c>
      <c r="N9" s="5" t="e">
        <f>#REF!+#REF!+#REF!+#REF!+#REF!+#REF!+#REF!+#REF!+#REF!+#REF!+#REF!+#REF!+#REF!+#REF!</f>
        <v>#REF!</v>
      </c>
      <c r="O9" s="5" t="e">
        <f>#REF!+#REF!+#REF!+#REF!+#REF!+#REF!+#REF!+#REF!+#REF!+#REF!+#REF!+#REF!+#REF!+#REF!</f>
        <v>#REF!</v>
      </c>
      <c r="P9" s="5" t="e">
        <f>#REF!+#REF!+#REF!+#REF!+#REF!+#REF!+#REF!+#REF!+#REF!+#REF!+#REF!+#REF!+#REF!+#REF!</f>
        <v>#REF!</v>
      </c>
      <c r="Q9" s="5" t="e">
        <f>#REF!+#REF!+#REF!+#REF!+#REF!+#REF!+#REF!+#REF!+#REF!+#REF!+#REF!+#REF!+#REF!+#REF!</f>
        <v>#REF!</v>
      </c>
      <c r="R9" s="5" t="e">
        <f>#REF!+#REF!+#REF!+#REF!+#REF!+#REF!+#REF!+#REF!+#REF!+#REF!+#REF!+#REF!+#REF!+#REF!</f>
        <v>#REF!</v>
      </c>
      <c r="S9" s="5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35">
      <c r="A10" s="1" t="s">
        <v>24</v>
      </c>
      <c r="B10" s="1" t="str">
        <f>VLOOKUP(A10,[30]LISTADHERENT!A$5:H$60,3,0)</f>
        <v>DJOUKWE NANGUEN GUY BLAISE</v>
      </c>
      <c r="C10" s="5" t="e">
        <f>#REF!+#REF!+#REF!+#REF!+#REF!+#REF!+#REF!+#REF!+#REF!+#REF!+#REF!+#REF!+#REF!+#REF!</f>
        <v>#REF!</v>
      </c>
      <c r="D10" s="5" t="e">
        <f>#REF!+#REF!+#REF!+#REF!+#REF!+#REF!+#REF!+#REF!+#REF!+#REF!+#REF!+#REF!+#REF!+#REF!</f>
        <v>#REF!</v>
      </c>
      <c r="E10" s="5" t="e">
        <f>#REF!+#REF!+#REF!+#REF!+#REF!+#REF!+#REF!+#REF!+#REF!+#REF!+#REF!+#REF!+#REF!+#REF!</f>
        <v>#REF!</v>
      </c>
      <c r="F10" s="5" t="e">
        <f>#REF!+#REF!+#REF!+#REF!+#REF!+#REF!+#REF!+#REF!+#REF!+#REF!+#REF!+#REF!+#REF!+#REF!</f>
        <v>#REF!</v>
      </c>
      <c r="G10" s="5" t="e">
        <f>#REF!+#REF!+#REF!+#REF!+#REF!+#REF!+#REF!+#REF!+#REF!+#REF!+#REF!+#REF!+#REF!+#REF!</f>
        <v>#REF!</v>
      </c>
      <c r="H10" s="5" t="e">
        <f>#REF!+#REF!+#REF!+#REF!+#REF!+#REF!+#REF!+#REF!+#REF!+#REF!+#REF!+#REF!+#REF!+#REF!</f>
        <v>#REF!</v>
      </c>
      <c r="I10" s="5" t="e">
        <f>#REF!+#REF!+#REF!+#REF!+#REF!+#REF!+#REF!+#REF!+#REF!+#REF!+#REF!+#REF!+#REF!+#REF!</f>
        <v>#REF!</v>
      </c>
      <c r="J10" s="5" t="e">
        <f>#REF!+#REF!+#REF!+#REF!+#REF!+#REF!+#REF!+#REF!+#REF!+#REF!+#REF!+#REF!+#REF!+#REF!</f>
        <v>#REF!</v>
      </c>
      <c r="K10" s="5" t="e">
        <f>#REF!+#REF!+#REF!+#REF!+#REF!+#REF!+#REF!+#REF!+#REF!+#REF!+#REF!+#REF!+#REF!+#REF!</f>
        <v>#REF!</v>
      </c>
      <c r="L10" s="5" t="e">
        <f>#REF!+#REF!+#REF!+#REF!+#REF!+#REF!+#REF!+#REF!+#REF!+#REF!+#REF!+#REF!+#REF!+#REF!</f>
        <v>#REF!</v>
      </c>
      <c r="M10" s="5" t="e">
        <f>#REF!+#REF!+#REF!+#REF!+#REF!+#REF!+#REF!+#REF!+#REF!+#REF!+#REF!+#REF!+#REF!+#REF!</f>
        <v>#REF!</v>
      </c>
      <c r="N10" s="5" t="e">
        <f>#REF!+#REF!+#REF!+#REF!+#REF!+#REF!+#REF!+#REF!+#REF!+#REF!+#REF!+#REF!+#REF!+#REF!</f>
        <v>#REF!</v>
      </c>
      <c r="O10" s="5" t="e">
        <f>#REF!+#REF!+#REF!+#REF!+#REF!+#REF!+#REF!+#REF!+#REF!+#REF!+#REF!+#REF!+#REF!+#REF!</f>
        <v>#REF!</v>
      </c>
      <c r="P10" s="5" t="e">
        <f>#REF!+#REF!+#REF!+#REF!+#REF!+#REF!+#REF!+#REF!+#REF!+#REF!+#REF!+#REF!+#REF!+#REF!</f>
        <v>#REF!</v>
      </c>
      <c r="Q10" s="5" t="e">
        <f>#REF!+#REF!+#REF!+#REF!+#REF!+#REF!+#REF!+#REF!+#REF!+#REF!+#REF!+#REF!+#REF!+#REF!</f>
        <v>#REF!</v>
      </c>
      <c r="R10" s="5" t="e">
        <f>#REF!+#REF!+#REF!+#REF!+#REF!+#REF!+#REF!+#REF!+#REF!+#REF!+#REF!+#REF!+#REF!+#REF!</f>
        <v>#REF!</v>
      </c>
      <c r="S10" s="5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35">
      <c r="A11" s="1" t="s">
        <v>25</v>
      </c>
      <c r="B11" s="1" t="str">
        <f>VLOOKUP(A11,[30]LISTADHERENT!A$5:H$60,3,0)</f>
        <v>DJUOMBESSY ANTOINE</v>
      </c>
      <c r="C11" s="5" t="e">
        <f>#REF!+#REF!+#REF!+#REF!+#REF!+#REF!+#REF!+#REF!+#REF!+#REF!+#REF!+#REF!+#REF!+#REF!</f>
        <v>#REF!</v>
      </c>
      <c r="D11" s="5" t="e">
        <f>#REF!+#REF!+#REF!+#REF!+#REF!+#REF!+#REF!+#REF!+#REF!+#REF!+#REF!+#REF!+#REF!+#REF!</f>
        <v>#REF!</v>
      </c>
      <c r="E11" s="5" t="e">
        <f>#REF!+#REF!+#REF!+#REF!+#REF!+#REF!+#REF!+#REF!+#REF!+#REF!+#REF!+#REF!+#REF!+#REF!</f>
        <v>#REF!</v>
      </c>
      <c r="F11" s="5" t="e">
        <f>#REF!+#REF!+#REF!+#REF!+#REF!+#REF!+#REF!+#REF!+#REF!+#REF!+#REF!+#REF!+#REF!+#REF!</f>
        <v>#REF!</v>
      </c>
      <c r="G11" s="5" t="e">
        <f>#REF!+#REF!+#REF!+#REF!+#REF!+#REF!+#REF!+#REF!+#REF!+#REF!+#REF!+#REF!+#REF!+#REF!</f>
        <v>#REF!</v>
      </c>
      <c r="H11" s="5" t="e">
        <f>#REF!+#REF!+#REF!+#REF!+#REF!+#REF!+#REF!+#REF!+#REF!+#REF!+#REF!+#REF!+#REF!+#REF!</f>
        <v>#REF!</v>
      </c>
      <c r="I11" s="5" t="e">
        <f>#REF!+#REF!+#REF!+#REF!+#REF!+#REF!+#REF!+#REF!+#REF!+#REF!+#REF!+#REF!+#REF!+#REF!</f>
        <v>#REF!</v>
      </c>
      <c r="J11" s="5" t="e">
        <f>#REF!+#REF!+#REF!+#REF!+#REF!+#REF!+#REF!+#REF!+#REF!+#REF!+#REF!+#REF!+#REF!+#REF!</f>
        <v>#REF!</v>
      </c>
      <c r="K11" s="5" t="e">
        <f>#REF!+#REF!+#REF!+#REF!+#REF!+#REF!+#REF!+#REF!+#REF!+#REF!+#REF!+#REF!+#REF!+#REF!</f>
        <v>#REF!</v>
      </c>
      <c r="L11" s="5" t="e">
        <f>#REF!+#REF!+#REF!+#REF!+#REF!+#REF!+#REF!+#REF!+#REF!+#REF!+#REF!+#REF!+#REF!+#REF!</f>
        <v>#REF!</v>
      </c>
      <c r="M11" s="5" t="e">
        <f>#REF!+#REF!+#REF!+#REF!+#REF!+#REF!+#REF!+#REF!+#REF!+#REF!+#REF!+#REF!+#REF!+#REF!</f>
        <v>#REF!</v>
      </c>
      <c r="N11" s="5" t="e">
        <f>#REF!+#REF!+#REF!+#REF!+#REF!+#REF!+#REF!+#REF!+#REF!+#REF!+#REF!+#REF!+#REF!+#REF!</f>
        <v>#REF!</v>
      </c>
      <c r="O11" s="5" t="e">
        <f>#REF!+#REF!+#REF!+#REF!+#REF!+#REF!+#REF!+#REF!+#REF!+#REF!+#REF!+#REF!+#REF!+#REF!</f>
        <v>#REF!</v>
      </c>
      <c r="P11" s="5" t="e">
        <f>#REF!+#REF!+#REF!+#REF!+#REF!+#REF!+#REF!+#REF!+#REF!+#REF!+#REF!+#REF!+#REF!+#REF!</f>
        <v>#REF!</v>
      </c>
      <c r="Q11" s="5" t="e">
        <f>#REF!+#REF!+#REF!+#REF!+#REF!+#REF!+#REF!+#REF!+#REF!+#REF!+#REF!+#REF!+#REF!+#REF!</f>
        <v>#REF!</v>
      </c>
      <c r="R11" s="5" t="e">
        <f>#REF!+#REF!+#REF!+#REF!+#REF!+#REF!+#REF!+#REF!+#REF!+#REF!+#REF!+#REF!+#REF!+#REF!</f>
        <v>#REF!</v>
      </c>
      <c r="S11" s="5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35">
      <c r="A12" s="1" t="s">
        <v>79</v>
      </c>
      <c r="B12" s="1" t="str">
        <f>VLOOKUP(A12,[30]LISTADHERENT!A$5:H$60,3,0)</f>
        <v>DOMOU FABIEN</v>
      </c>
      <c r="C12" s="5" t="e">
        <f>#REF!+#REF!+#REF!+#REF!+#REF!+#REF!+#REF!+#REF!+#REF!+#REF!+#REF!+#REF!+#REF!+#REF!</f>
        <v>#REF!</v>
      </c>
      <c r="D12" s="5" t="e">
        <f>#REF!+#REF!+#REF!+#REF!+#REF!+#REF!+#REF!+#REF!+#REF!+#REF!+#REF!+#REF!+#REF!+#REF!</f>
        <v>#REF!</v>
      </c>
      <c r="E12" s="5" t="e">
        <f>#REF!+#REF!+#REF!+#REF!+#REF!+#REF!+#REF!+#REF!+#REF!+#REF!+#REF!+#REF!+#REF!+#REF!</f>
        <v>#REF!</v>
      </c>
      <c r="F12" s="5" t="e">
        <f>#REF!+#REF!+#REF!+#REF!+#REF!+#REF!+#REF!+#REF!+#REF!+#REF!+#REF!+#REF!+#REF!+#REF!</f>
        <v>#REF!</v>
      </c>
      <c r="G12" s="5" t="e">
        <f>#REF!+#REF!+#REF!+#REF!+#REF!+#REF!+#REF!+#REF!+#REF!+#REF!+#REF!+#REF!+#REF!+#REF!</f>
        <v>#REF!</v>
      </c>
      <c r="H12" s="5" t="e">
        <f>#REF!+#REF!+#REF!+#REF!+#REF!+#REF!+#REF!+#REF!+#REF!+#REF!+#REF!+#REF!+#REF!+#REF!</f>
        <v>#REF!</v>
      </c>
      <c r="I12" s="5" t="e">
        <f>#REF!+#REF!+#REF!+#REF!+#REF!+#REF!+#REF!+#REF!+#REF!+#REF!+#REF!+#REF!+#REF!+#REF!</f>
        <v>#REF!</v>
      </c>
      <c r="J12" s="5" t="e">
        <f>#REF!+#REF!+#REF!+#REF!+#REF!+#REF!+#REF!+#REF!+#REF!+#REF!+#REF!+#REF!+#REF!+#REF!</f>
        <v>#REF!</v>
      </c>
      <c r="K12" s="5" t="e">
        <f>#REF!+#REF!+#REF!+#REF!+#REF!+#REF!+#REF!+#REF!+#REF!+#REF!+#REF!+#REF!+#REF!+#REF!</f>
        <v>#REF!</v>
      </c>
      <c r="L12" s="5" t="e">
        <f>#REF!+#REF!+#REF!+#REF!+#REF!+#REF!+#REF!+#REF!+#REF!+#REF!+#REF!+#REF!+#REF!+#REF!</f>
        <v>#REF!</v>
      </c>
      <c r="M12" s="5" t="e">
        <f>#REF!+#REF!+#REF!+#REF!+#REF!+#REF!+#REF!+#REF!+#REF!+#REF!+#REF!+#REF!+#REF!+#REF!</f>
        <v>#REF!</v>
      </c>
      <c r="N12" s="5" t="e">
        <f>#REF!+#REF!+#REF!+#REF!+#REF!+#REF!+#REF!+#REF!+#REF!+#REF!+#REF!+#REF!+#REF!+#REF!</f>
        <v>#REF!</v>
      </c>
      <c r="O12" s="5" t="e">
        <f>#REF!+#REF!+#REF!+#REF!+#REF!+#REF!+#REF!+#REF!+#REF!+#REF!+#REF!+#REF!+#REF!+#REF!</f>
        <v>#REF!</v>
      </c>
      <c r="P12" s="5" t="e">
        <f>#REF!+#REF!+#REF!+#REF!+#REF!+#REF!+#REF!+#REF!+#REF!+#REF!+#REF!+#REF!+#REF!+#REF!</f>
        <v>#REF!</v>
      </c>
      <c r="Q12" s="5" t="e">
        <f>#REF!+#REF!+#REF!+#REF!+#REF!+#REF!+#REF!+#REF!+#REF!+#REF!+#REF!+#REF!+#REF!+#REF!</f>
        <v>#REF!</v>
      </c>
      <c r="R12" s="5" t="e">
        <f>#REF!+#REF!+#REF!+#REF!+#REF!+#REF!+#REF!+#REF!+#REF!+#REF!+#REF!+#REF!+#REF!+#REF!</f>
        <v>#REF!</v>
      </c>
      <c r="V12" s="2"/>
      <c r="W12" s="2"/>
      <c r="X12" s="2"/>
      <c r="Y12" s="2"/>
      <c r="Z12" s="2"/>
      <c r="AA12" s="2"/>
      <c r="AB12" s="2"/>
    </row>
    <row r="13" spans="1:28" x14ac:dyDescent="0.35">
      <c r="A13" s="1" t="s">
        <v>26</v>
      </c>
      <c r="B13" s="1" t="str">
        <f>VLOOKUP(A13,[30]LISTADHERENT!A$5:H$60,3,0)</f>
        <v>DONHOU DAVID</v>
      </c>
      <c r="C13" s="5" t="e">
        <f>#REF!+#REF!+#REF!+#REF!+#REF!+#REF!+#REF!+#REF!+#REF!+#REF!+#REF!+#REF!+#REF!+#REF!</f>
        <v>#REF!</v>
      </c>
      <c r="D13" s="5" t="e">
        <f>#REF!+#REF!+#REF!+#REF!+#REF!+#REF!+#REF!+#REF!+#REF!+#REF!+#REF!+#REF!+#REF!+#REF!</f>
        <v>#REF!</v>
      </c>
      <c r="E13" s="5" t="e">
        <f>#REF!+#REF!+#REF!+#REF!+#REF!+#REF!+#REF!+#REF!+#REF!+#REF!+#REF!+#REF!+#REF!+#REF!</f>
        <v>#REF!</v>
      </c>
      <c r="F13" s="5" t="e">
        <f>#REF!+#REF!+#REF!+#REF!+#REF!+#REF!+#REF!+#REF!+#REF!+#REF!+#REF!+#REF!+#REF!+#REF!</f>
        <v>#REF!</v>
      </c>
      <c r="G13" s="5" t="e">
        <f>#REF!+#REF!+#REF!+#REF!+#REF!+#REF!+#REF!+#REF!+#REF!+#REF!+#REF!+#REF!+#REF!+#REF!</f>
        <v>#REF!</v>
      </c>
      <c r="H13" s="5" t="e">
        <f>#REF!+#REF!+#REF!+#REF!+#REF!+#REF!+#REF!+#REF!+#REF!+#REF!+#REF!+#REF!+#REF!+#REF!</f>
        <v>#REF!</v>
      </c>
      <c r="I13" s="5" t="e">
        <f>#REF!+#REF!+#REF!+#REF!+#REF!+#REF!+#REF!+#REF!+#REF!+#REF!+#REF!+#REF!+#REF!+#REF!</f>
        <v>#REF!</v>
      </c>
      <c r="J13" s="5" t="e">
        <f>#REF!+#REF!+#REF!+#REF!+#REF!+#REF!+#REF!+#REF!+#REF!+#REF!+#REF!+#REF!+#REF!+#REF!</f>
        <v>#REF!</v>
      </c>
      <c r="K13" s="5" t="e">
        <f>#REF!+#REF!+#REF!+#REF!+#REF!+#REF!+#REF!+#REF!+#REF!+#REF!+#REF!+#REF!+#REF!+#REF!</f>
        <v>#REF!</v>
      </c>
      <c r="L13" s="5" t="e">
        <f>#REF!+#REF!+#REF!+#REF!+#REF!+#REF!+#REF!+#REF!+#REF!+#REF!+#REF!+#REF!+#REF!+#REF!</f>
        <v>#REF!</v>
      </c>
      <c r="M13" s="5" t="e">
        <f>#REF!+#REF!+#REF!+#REF!+#REF!+#REF!+#REF!+#REF!+#REF!+#REF!+#REF!+#REF!+#REF!+#REF!</f>
        <v>#REF!</v>
      </c>
      <c r="N13" s="5" t="e">
        <f>#REF!+#REF!+#REF!+#REF!+#REF!+#REF!+#REF!+#REF!+#REF!+#REF!+#REF!+#REF!+#REF!+#REF!</f>
        <v>#REF!</v>
      </c>
      <c r="O13" s="5" t="e">
        <f>#REF!+#REF!+#REF!+#REF!+#REF!+#REF!+#REF!+#REF!+#REF!+#REF!+#REF!+#REF!+#REF!+#REF!</f>
        <v>#REF!</v>
      </c>
      <c r="P13" s="5" t="e">
        <f>#REF!+#REF!+#REF!+#REF!+#REF!+#REF!+#REF!+#REF!+#REF!+#REF!+#REF!+#REF!+#REF!+#REF!</f>
        <v>#REF!</v>
      </c>
      <c r="Q13" s="5" t="e">
        <f>#REF!+#REF!+#REF!+#REF!+#REF!+#REF!+#REF!+#REF!+#REF!+#REF!+#REF!+#REF!+#REF!+#REF!</f>
        <v>#REF!</v>
      </c>
      <c r="R13" s="5" t="e">
        <f>#REF!+#REF!+#REF!+#REF!+#REF!+#REF!+#REF!+#REF!+#REF!+#REF!+#REF!+#REF!+#REF!+#REF!</f>
        <v>#REF!</v>
      </c>
      <c r="S13" s="5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35">
      <c r="A14" s="1" t="s">
        <v>27</v>
      </c>
      <c r="B14" s="1" t="str">
        <f>VLOOKUP(A14,[30]LISTADHERENT!A$5:H$60,3,0)</f>
        <v>FOTSO THOMAS</v>
      </c>
      <c r="C14" s="5" t="e">
        <f>#REF!+#REF!+#REF!+#REF!+#REF!+#REF!+#REF!+#REF!+#REF!+#REF!+#REF!+#REF!+#REF!+#REF!</f>
        <v>#REF!</v>
      </c>
      <c r="D14" s="5" t="e">
        <f>#REF!+#REF!+#REF!+#REF!+#REF!+#REF!+#REF!+#REF!+#REF!+#REF!+#REF!+#REF!+#REF!+#REF!</f>
        <v>#REF!</v>
      </c>
      <c r="E14" s="5" t="e">
        <f>#REF!+#REF!+#REF!+#REF!+#REF!+#REF!+#REF!+#REF!+#REF!+#REF!+#REF!+#REF!+#REF!+#REF!</f>
        <v>#REF!</v>
      </c>
      <c r="F14" s="5" t="e">
        <f>#REF!+#REF!+#REF!+#REF!+#REF!+#REF!+#REF!+#REF!+#REF!+#REF!+#REF!+#REF!+#REF!+#REF!</f>
        <v>#REF!</v>
      </c>
      <c r="G14" s="5" t="e">
        <f>#REF!+#REF!+#REF!+#REF!+#REF!+#REF!+#REF!+#REF!+#REF!+#REF!+#REF!+#REF!+#REF!+#REF!</f>
        <v>#REF!</v>
      </c>
      <c r="H14" s="5" t="e">
        <f>#REF!+#REF!+#REF!+#REF!+#REF!+#REF!+#REF!+#REF!+#REF!+#REF!+#REF!+#REF!+#REF!+#REF!</f>
        <v>#REF!</v>
      </c>
      <c r="I14" s="5" t="e">
        <f>#REF!+#REF!+#REF!+#REF!+#REF!+#REF!+#REF!+#REF!+#REF!+#REF!+#REF!+#REF!+#REF!+#REF!</f>
        <v>#REF!</v>
      </c>
      <c r="J14" s="5" t="e">
        <f>#REF!+#REF!+#REF!+#REF!+#REF!+#REF!+#REF!+#REF!+#REF!+#REF!+#REF!+#REF!+#REF!+#REF!</f>
        <v>#REF!</v>
      </c>
      <c r="K14" s="5" t="e">
        <f>#REF!+#REF!+#REF!+#REF!+#REF!+#REF!+#REF!+#REF!+#REF!+#REF!+#REF!+#REF!+#REF!+#REF!</f>
        <v>#REF!</v>
      </c>
      <c r="L14" s="5" t="e">
        <f>#REF!+#REF!+#REF!+#REF!+#REF!+#REF!+#REF!+#REF!+#REF!+#REF!+#REF!+#REF!+#REF!+#REF!</f>
        <v>#REF!</v>
      </c>
      <c r="M14" s="5" t="e">
        <f>#REF!+#REF!+#REF!+#REF!+#REF!+#REF!+#REF!+#REF!+#REF!+#REF!+#REF!+#REF!+#REF!+#REF!</f>
        <v>#REF!</v>
      </c>
      <c r="N14" s="5" t="e">
        <f>#REF!+#REF!+#REF!+#REF!+#REF!+#REF!+#REF!+#REF!+#REF!+#REF!+#REF!+#REF!+#REF!+#REF!</f>
        <v>#REF!</v>
      </c>
      <c r="O14" s="5" t="e">
        <f>#REF!+#REF!+#REF!+#REF!+#REF!+#REF!+#REF!+#REF!+#REF!+#REF!+#REF!+#REF!+#REF!+#REF!</f>
        <v>#REF!</v>
      </c>
      <c r="P14" s="5" t="e">
        <f>#REF!+#REF!+#REF!+#REF!+#REF!+#REF!+#REF!+#REF!+#REF!+#REF!+#REF!+#REF!+#REF!+#REF!</f>
        <v>#REF!</v>
      </c>
      <c r="Q14" s="5" t="e">
        <f>#REF!+#REF!+#REF!+#REF!+#REF!+#REF!+#REF!+#REF!+#REF!+#REF!+#REF!+#REF!+#REF!+#REF!</f>
        <v>#REF!</v>
      </c>
      <c r="R14" s="5" t="e">
        <f>#REF!+#REF!+#REF!+#REF!+#REF!+#REF!+#REF!+#REF!+#REF!+#REF!+#REF!+#REF!+#REF!+#REF!</f>
        <v>#REF!</v>
      </c>
      <c r="S14" s="5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5">
      <c r="A15" s="1" t="s">
        <v>28</v>
      </c>
      <c r="B15" s="1" t="str">
        <f>VLOOKUP(A15,[30]LISTADHERENT!A$5:H$60,3,0)</f>
        <v>HENGUE PAUL OMER</v>
      </c>
      <c r="C15" s="5" t="e">
        <f>#REF!+#REF!+#REF!+#REF!+#REF!+#REF!+#REF!+#REF!+#REF!+#REF!+#REF!+#REF!+#REF!+#REF!</f>
        <v>#REF!</v>
      </c>
      <c r="D15" s="5" t="e">
        <f>#REF!+#REF!+#REF!+#REF!+#REF!+#REF!+#REF!+#REF!+#REF!+#REF!+#REF!+#REF!+#REF!+#REF!</f>
        <v>#REF!</v>
      </c>
      <c r="E15" s="5" t="e">
        <f>#REF!+#REF!+#REF!+#REF!+#REF!+#REF!+#REF!+#REF!+#REF!+#REF!+#REF!+#REF!+#REF!+#REF!</f>
        <v>#REF!</v>
      </c>
      <c r="F15" s="5" t="e">
        <f>#REF!+#REF!+#REF!+#REF!+#REF!+#REF!+#REF!+#REF!+#REF!+#REF!+#REF!+#REF!+#REF!+#REF!</f>
        <v>#REF!</v>
      </c>
      <c r="G15" s="5" t="e">
        <f>#REF!+#REF!+#REF!+#REF!+#REF!+#REF!+#REF!+#REF!+#REF!+#REF!+#REF!+#REF!+#REF!+#REF!</f>
        <v>#REF!</v>
      </c>
      <c r="H15" s="5" t="e">
        <f>#REF!+#REF!+#REF!+#REF!+#REF!+#REF!+#REF!+#REF!+#REF!+#REF!+#REF!+#REF!+#REF!+#REF!</f>
        <v>#REF!</v>
      </c>
      <c r="I15" s="5" t="e">
        <f>#REF!+#REF!+#REF!+#REF!+#REF!+#REF!+#REF!+#REF!+#REF!+#REF!+#REF!+#REF!+#REF!+#REF!</f>
        <v>#REF!</v>
      </c>
      <c r="J15" s="5" t="e">
        <f>#REF!+#REF!+#REF!+#REF!+#REF!+#REF!+#REF!+#REF!+#REF!+#REF!+#REF!+#REF!+#REF!+#REF!</f>
        <v>#REF!</v>
      </c>
      <c r="K15" s="5" t="e">
        <f>#REF!+#REF!+#REF!+#REF!+#REF!+#REF!+#REF!+#REF!+#REF!+#REF!+#REF!+#REF!+#REF!+#REF!</f>
        <v>#REF!</v>
      </c>
      <c r="L15" s="5" t="e">
        <f>#REF!+#REF!+#REF!+#REF!+#REF!+#REF!+#REF!+#REF!+#REF!+#REF!+#REF!+#REF!+#REF!+#REF!</f>
        <v>#REF!</v>
      </c>
      <c r="M15" s="5" t="e">
        <f>#REF!+#REF!+#REF!+#REF!+#REF!+#REF!+#REF!+#REF!+#REF!+#REF!+#REF!+#REF!+#REF!+#REF!</f>
        <v>#REF!</v>
      </c>
      <c r="N15" s="5" t="e">
        <f>#REF!+#REF!+#REF!+#REF!+#REF!+#REF!+#REF!+#REF!+#REF!+#REF!+#REF!+#REF!+#REF!+#REF!</f>
        <v>#REF!</v>
      </c>
      <c r="O15" s="5" t="e">
        <f>#REF!+#REF!+#REF!+#REF!+#REF!+#REF!+#REF!+#REF!+#REF!+#REF!+#REF!+#REF!+#REF!+#REF!</f>
        <v>#REF!</v>
      </c>
      <c r="P15" s="5" t="e">
        <f>#REF!+#REF!+#REF!+#REF!+#REF!+#REF!+#REF!+#REF!+#REF!+#REF!+#REF!+#REF!+#REF!+#REF!</f>
        <v>#REF!</v>
      </c>
      <c r="Q15" s="5" t="e">
        <f>#REF!+#REF!+#REF!+#REF!+#REF!+#REF!+#REF!+#REF!+#REF!+#REF!+#REF!+#REF!+#REF!+#REF!</f>
        <v>#REF!</v>
      </c>
      <c r="R15" s="5" t="e">
        <f>#REF!+#REF!+#REF!+#REF!+#REF!+#REF!+#REF!+#REF!+#REF!+#REF!+#REF!+#REF!+#REF!+#REF!</f>
        <v>#REF!</v>
      </c>
      <c r="S15" s="5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35">
      <c r="A16" s="1" t="s">
        <v>29</v>
      </c>
      <c r="B16" s="1" t="str">
        <f>VLOOKUP(A16,[30]LISTADHERENT!A$5:H$60,3,0)</f>
        <v>HOTCHO BENJAMIN</v>
      </c>
      <c r="C16" s="5" t="e">
        <f>#REF!+#REF!+#REF!+#REF!+#REF!+#REF!+#REF!+#REF!+#REF!+#REF!+#REF!+#REF!+#REF!+#REF!</f>
        <v>#REF!</v>
      </c>
      <c r="D16" s="5" t="e">
        <f>#REF!+#REF!+#REF!+#REF!+#REF!+#REF!+#REF!+#REF!+#REF!+#REF!+#REF!+#REF!+#REF!+#REF!</f>
        <v>#REF!</v>
      </c>
      <c r="E16" s="5" t="e">
        <f>#REF!+#REF!+#REF!+#REF!+#REF!+#REF!+#REF!+#REF!+#REF!+#REF!+#REF!+#REF!+#REF!+#REF!</f>
        <v>#REF!</v>
      </c>
      <c r="F16" s="5" t="e">
        <f>#REF!+#REF!+#REF!+#REF!+#REF!+#REF!+#REF!+#REF!+#REF!+#REF!+#REF!+#REF!+#REF!+#REF!</f>
        <v>#REF!</v>
      </c>
      <c r="G16" s="5" t="e">
        <f>#REF!+#REF!+#REF!+#REF!+#REF!+#REF!+#REF!+#REF!+#REF!+#REF!+#REF!+#REF!+#REF!+#REF!</f>
        <v>#REF!</v>
      </c>
      <c r="H16" s="5" t="e">
        <f>#REF!+#REF!+#REF!+#REF!+#REF!+#REF!+#REF!+#REF!+#REF!+#REF!+#REF!+#REF!+#REF!+#REF!</f>
        <v>#REF!</v>
      </c>
      <c r="I16" s="5" t="e">
        <f>#REF!+#REF!+#REF!+#REF!+#REF!+#REF!+#REF!+#REF!+#REF!+#REF!+#REF!+#REF!+#REF!+#REF!</f>
        <v>#REF!</v>
      </c>
      <c r="J16" s="5" t="e">
        <f>#REF!+#REF!+#REF!+#REF!+#REF!+#REF!+#REF!+#REF!+#REF!+#REF!+#REF!+#REF!+#REF!+#REF!</f>
        <v>#REF!</v>
      </c>
      <c r="K16" s="5" t="e">
        <f>#REF!+#REF!+#REF!+#REF!+#REF!+#REF!+#REF!+#REF!+#REF!+#REF!+#REF!+#REF!+#REF!+#REF!</f>
        <v>#REF!</v>
      </c>
      <c r="L16" s="5" t="e">
        <f>#REF!+#REF!+#REF!+#REF!+#REF!+#REF!+#REF!+#REF!+#REF!+#REF!+#REF!+#REF!+#REF!+#REF!</f>
        <v>#REF!</v>
      </c>
      <c r="M16" s="5" t="e">
        <f>#REF!+#REF!+#REF!+#REF!+#REF!+#REF!+#REF!+#REF!+#REF!+#REF!+#REF!+#REF!+#REF!+#REF!</f>
        <v>#REF!</v>
      </c>
      <c r="N16" s="5" t="e">
        <f>#REF!+#REF!+#REF!+#REF!+#REF!+#REF!+#REF!+#REF!+#REF!+#REF!+#REF!+#REF!+#REF!+#REF!</f>
        <v>#REF!</v>
      </c>
      <c r="O16" s="5" t="e">
        <f>#REF!+#REF!+#REF!+#REF!+#REF!+#REF!+#REF!+#REF!+#REF!+#REF!+#REF!+#REF!+#REF!+#REF!</f>
        <v>#REF!</v>
      </c>
      <c r="P16" s="5" t="e">
        <f>#REF!+#REF!+#REF!+#REF!+#REF!+#REF!+#REF!+#REF!+#REF!+#REF!+#REF!+#REF!+#REF!+#REF!</f>
        <v>#REF!</v>
      </c>
      <c r="Q16" s="5" t="e">
        <f>#REF!+#REF!+#REF!+#REF!+#REF!+#REF!+#REF!+#REF!+#REF!+#REF!+#REF!+#REF!+#REF!+#REF!</f>
        <v>#REF!</v>
      </c>
      <c r="R16" s="5" t="e">
        <f>#REF!+#REF!+#REF!+#REF!+#REF!+#REF!+#REF!+#REF!+#REF!+#REF!+#REF!+#REF!+#REF!+#REF!</f>
        <v>#REF!</v>
      </c>
      <c r="S16" s="5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35">
      <c r="A17" s="1" t="s">
        <v>31</v>
      </c>
      <c r="B17" s="1" t="str">
        <f>VLOOKUP(A17,[30]LISTADHERENT!A$5:H$60,3,0)</f>
        <v>KEPSEU FRANCIS</v>
      </c>
      <c r="C17" s="5" t="e">
        <f>#REF!+#REF!+#REF!+#REF!+#REF!+#REF!+#REF!+#REF!+#REF!+#REF!+#REF!+#REF!+#REF!+#REF!</f>
        <v>#REF!</v>
      </c>
      <c r="D17" s="5" t="e">
        <f>#REF!+#REF!+#REF!+#REF!+#REF!+#REF!+#REF!+#REF!+#REF!+#REF!+#REF!+#REF!+#REF!+#REF!</f>
        <v>#REF!</v>
      </c>
      <c r="E17" s="5" t="e">
        <f>#REF!+#REF!+#REF!+#REF!+#REF!+#REF!+#REF!+#REF!+#REF!+#REF!+#REF!+#REF!+#REF!+#REF!</f>
        <v>#REF!</v>
      </c>
      <c r="F17" s="5" t="e">
        <f>#REF!+#REF!+#REF!+#REF!+#REF!+#REF!+#REF!+#REF!+#REF!+#REF!+#REF!+#REF!+#REF!+#REF!</f>
        <v>#REF!</v>
      </c>
      <c r="G17" s="5" t="e">
        <f>#REF!+#REF!+#REF!+#REF!+#REF!+#REF!+#REF!+#REF!+#REF!+#REF!+#REF!+#REF!+#REF!+#REF!</f>
        <v>#REF!</v>
      </c>
      <c r="H17" s="5" t="e">
        <f>#REF!+#REF!+#REF!+#REF!+#REF!+#REF!+#REF!+#REF!+#REF!+#REF!+#REF!+#REF!+#REF!+#REF!</f>
        <v>#REF!</v>
      </c>
      <c r="I17" s="5" t="e">
        <f>#REF!+#REF!+#REF!+#REF!+#REF!+#REF!+#REF!+#REF!+#REF!+#REF!+#REF!+#REF!+#REF!+#REF!</f>
        <v>#REF!</v>
      </c>
      <c r="J17" s="5" t="e">
        <f>#REF!+#REF!+#REF!+#REF!+#REF!+#REF!+#REF!+#REF!+#REF!+#REF!+#REF!+#REF!+#REF!+#REF!</f>
        <v>#REF!</v>
      </c>
      <c r="K17" s="5" t="e">
        <f>#REF!+#REF!+#REF!+#REF!+#REF!+#REF!+#REF!+#REF!+#REF!+#REF!+#REF!+#REF!+#REF!+#REF!</f>
        <v>#REF!</v>
      </c>
      <c r="L17" s="5" t="e">
        <f>#REF!+#REF!+#REF!+#REF!+#REF!+#REF!+#REF!+#REF!+#REF!+#REF!+#REF!+#REF!+#REF!+#REF!</f>
        <v>#REF!</v>
      </c>
      <c r="M17" s="5" t="e">
        <f>#REF!+#REF!+#REF!+#REF!+#REF!+#REF!+#REF!+#REF!+#REF!+#REF!+#REF!+#REF!+#REF!+#REF!</f>
        <v>#REF!</v>
      </c>
      <c r="N17" s="5" t="e">
        <f>#REF!+#REF!+#REF!+#REF!+#REF!+#REF!+#REF!+#REF!+#REF!+#REF!+#REF!+#REF!+#REF!+#REF!</f>
        <v>#REF!</v>
      </c>
      <c r="O17" s="5" t="e">
        <f>#REF!+#REF!+#REF!+#REF!+#REF!+#REF!+#REF!+#REF!+#REF!+#REF!+#REF!+#REF!+#REF!+#REF!</f>
        <v>#REF!</v>
      </c>
      <c r="P17" s="5" t="e">
        <f>#REF!+#REF!+#REF!+#REF!+#REF!+#REF!+#REF!+#REF!+#REF!+#REF!+#REF!+#REF!+#REF!+#REF!</f>
        <v>#REF!</v>
      </c>
      <c r="Q17" s="5" t="e">
        <f>#REF!+#REF!+#REF!+#REF!+#REF!+#REF!+#REF!+#REF!+#REF!+#REF!+#REF!+#REF!+#REF!+#REF!</f>
        <v>#REF!</v>
      </c>
      <c r="R17" s="5" t="e">
        <f>#REF!+#REF!+#REF!+#REF!+#REF!+#REF!+#REF!+#REF!+#REF!+#REF!+#REF!+#REF!+#REF!+#REF!</f>
        <v>#REF!</v>
      </c>
      <c r="S17" s="5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5">
      <c r="A18" s="1" t="s">
        <v>34</v>
      </c>
      <c r="B18" s="1" t="str">
        <f>VLOOKUP(A18,[30]LISTADHERENT!A$5:H$60,3,0)</f>
        <v>KOUAMO VICTOR PEGUY</v>
      </c>
      <c r="C18" s="5" t="e">
        <f>#REF!+#REF!+#REF!+#REF!+#REF!+#REF!+#REF!+#REF!+#REF!+#REF!+#REF!+#REF!+#REF!+#REF!</f>
        <v>#REF!</v>
      </c>
      <c r="D18" s="5" t="e">
        <f>#REF!+#REF!+#REF!+#REF!+#REF!+#REF!+#REF!+#REF!+#REF!+#REF!+#REF!+#REF!+#REF!+#REF!</f>
        <v>#REF!</v>
      </c>
      <c r="E18" s="5" t="e">
        <f>#REF!+#REF!+#REF!+#REF!+#REF!+#REF!+#REF!+#REF!+#REF!+#REF!+#REF!+#REF!+#REF!+#REF!</f>
        <v>#REF!</v>
      </c>
      <c r="F18" s="5" t="e">
        <f>#REF!+#REF!+#REF!+#REF!+#REF!+#REF!+#REF!+#REF!+#REF!+#REF!+#REF!+#REF!+#REF!+#REF!</f>
        <v>#REF!</v>
      </c>
      <c r="G18" s="5" t="e">
        <f>#REF!+#REF!+#REF!+#REF!+#REF!+#REF!+#REF!+#REF!+#REF!+#REF!+#REF!+#REF!+#REF!+#REF!</f>
        <v>#REF!</v>
      </c>
      <c r="H18" s="5" t="e">
        <f>#REF!+#REF!+#REF!+#REF!+#REF!+#REF!+#REF!+#REF!+#REF!+#REF!+#REF!+#REF!+#REF!+#REF!</f>
        <v>#REF!</v>
      </c>
      <c r="I18" s="5" t="e">
        <f>#REF!+#REF!+#REF!+#REF!+#REF!+#REF!+#REF!+#REF!+#REF!+#REF!+#REF!+#REF!+#REF!+#REF!</f>
        <v>#REF!</v>
      </c>
      <c r="J18" s="5" t="e">
        <f>#REF!+#REF!+#REF!+#REF!+#REF!+#REF!+#REF!+#REF!+#REF!+#REF!+#REF!+#REF!+#REF!+#REF!</f>
        <v>#REF!</v>
      </c>
      <c r="K18" s="5" t="e">
        <f>#REF!+#REF!+#REF!+#REF!+#REF!+#REF!+#REF!+#REF!+#REF!+#REF!+#REF!+#REF!+#REF!+#REF!</f>
        <v>#REF!</v>
      </c>
      <c r="L18" s="5" t="e">
        <f>#REF!+#REF!+#REF!+#REF!+#REF!+#REF!+#REF!+#REF!+#REF!+#REF!+#REF!+#REF!+#REF!+#REF!</f>
        <v>#REF!</v>
      </c>
      <c r="M18" s="5" t="e">
        <f>#REF!+#REF!+#REF!+#REF!+#REF!+#REF!+#REF!+#REF!+#REF!+#REF!+#REF!+#REF!+#REF!+#REF!</f>
        <v>#REF!</v>
      </c>
      <c r="N18" s="5" t="e">
        <f>#REF!+#REF!+#REF!+#REF!+#REF!+#REF!+#REF!+#REF!+#REF!+#REF!+#REF!+#REF!+#REF!+#REF!</f>
        <v>#REF!</v>
      </c>
      <c r="O18" s="5" t="e">
        <f>#REF!+#REF!+#REF!+#REF!+#REF!+#REF!+#REF!+#REF!+#REF!+#REF!+#REF!+#REF!+#REF!+#REF!</f>
        <v>#REF!</v>
      </c>
      <c r="P18" s="5" t="e">
        <f>#REF!+#REF!+#REF!+#REF!+#REF!+#REF!+#REF!+#REF!+#REF!+#REF!+#REF!+#REF!+#REF!+#REF!</f>
        <v>#REF!</v>
      </c>
      <c r="Q18" s="5" t="e">
        <f>#REF!+#REF!+#REF!+#REF!+#REF!+#REF!+#REF!+#REF!+#REF!+#REF!+#REF!+#REF!+#REF!+#REF!</f>
        <v>#REF!</v>
      </c>
      <c r="R18" s="5" t="e">
        <f>#REF!+#REF!+#REF!+#REF!+#REF!+#REF!+#REF!+#REF!+#REF!+#REF!+#REF!+#REF!+#REF!+#REF!</f>
        <v>#REF!</v>
      </c>
      <c r="S18" s="5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35">
      <c r="A19" s="1" t="s">
        <v>33</v>
      </c>
      <c r="B19" s="1" t="str">
        <f>VLOOKUP(A19,[30]LISTADHERENT!A$5:H$60,3,0)</f>
        <v>KOUAMOU MOISE</v>
      </c>
      <c r="C19" s="5" t="e">
        <f>#REF!+#REF!+#REF!+#REF!+#REF!+#REF!+#REF!+#REF!+#REF!+#REF!+#REF!+#REF!+#REF!+#REF!</f>
        <v>#REF!</v>
      </c>
      <c r="D19" s="5" t="e">
        <f>#REF!+#REF!+#REF!+#REF!+#REF!+#REF!+#REF!+#REF!+#REF!+#REF!+#REF!+#REF!+#REF!+#REF!</f>
        <v>#REF!</v>
      </c>
      <c r="E19" s="5" t="e">
        <f>#REF!+#REF!+#REF!+#REF!+#REF!+#REF!+#REF!+#REF!+#REF!+#REF!+#REF!+#REF!+#REF!+#REF!</f>
        <v>#REF!</v>
      </c>
      <c r="F19" s="5" t="e">
        <f>#REF!+#REF!+#REF!+#REF!+#REF!+#REF!+#REF!+#REF!+#REF!+#REF!+#REF!+#REF!+#REF!+#REF!</f>
        <v>#REF!</v>
      </c>
      <c r="G19" s="5" t="e">
        <f>#REF!+#REF!+#REF!+#REF!+#REF!+#REF!+#REF!+#REF!+#REF!+#REF!+#REF!+#REF!+#REF!+#REF!</f>
        <v>#REF!</v>
      </c>
      <c r="H19" s="5" t="e">
        <f>#REF!+#REF!+#REF!+#REF!+#REF!+#REF!+#REF!+#REF!+#REF!+#REF!+#REF!+#REF!+#REF!+#REF!</f>
        <v>#REF!</v>
      </c>
      <c r="I19" s="5" t="e">
        <f>#REF!+#REF!+#REF!+#REF!+#REF!+#REF!+#REF!+#REF!+#REF!+#REF!+#REF!+#REF!+#REF!+#REF!</f>
        <v>#REF!</v>
      </c>
      <c r="J19" s="5" t="e">
        <f>#REF!+#REF!+#REF!+#REF!+#REF!+#REF!+#REF!+#REF!+#REF!+#REF!+#REF!+#REF!+#REF!+#REF!</f>
        <v>#REF!</v>
      </c>
      <c r="K19" s="5" t="e">
        <f>#REF!+#REF!+#REF!+#REF!+#REF!+#REF!+#REF!+#REF!+#REF!+#REF!+#REF!+#REF!+#REF!+#REF!</f>
        <v>#REF!</v>
      </c>
      <c r="L19" s="5" t="e">
        <f>#REF!+#REF!+#REF!+#REF!+#REF!+#REF!+#REF!+#REF!+#REF!+#REF!+#REF!+#REF!+#REF!+#REF!</f>
        <v>#REF!</v>
      </c>
      <c r="M19" s="5" t="e">
        <f>#REF!+#REF!+#REF!+#REF!+#REF!+#REF!+#REF!+#REF!+#REF!+#REF!+#REF!+#REF!+#REF!+#REF!</f>
        <v>#REF!</v>
      </c>
      <c r="N19" s="5" t="e">
        <f>#REF!+#REF!+#REF!+#REF!+#REF!+#REF!+#REF!+#REF!+#REF!+#REF!+#REF!+#REF!+#REF!+#REF!</f>
        <v>#REF!</v>
      </c>
      <c r="O19" s="5" t="e">
        <f>#REF!+#REF!+#REF!+#REF!+#REF!+#REF!+#REF!+#REF!+#REF!+#REF!+#REF!+#REF!+#REF!+#REF!</f>
        <v>#REF!</v>
      </c>
      <c r="P19" s="5" t="e">
        <f>#REF!+#REF!+#REF!+#REF!+#REF!+#REF!+#REF!+#REF!+#REF!+#REF!+#REF!+#REF!+#REF!+#REF!</f>
        <v>#REF!</v>
      </c>
      <c r="Q19" s="5" t="e">
        <f>#REF!+#REF!+#REF!+#REF!+#REF!+#REF!+#REF!+#REF!+#REF!+#REF!+#REF!+#REF!+#REF!+#REF!</f>
        <v>#REF!</v>
      </c>
      <c r="R19" s="5" t="e">
        <f>#REF!+#REF!+#REF!+#REF!+#REF!+#REF!+#REF!+#REF!+#REF!+#REF!+#REF!+#REF!+#REF!+#REF!</f>
        <v>#REF!</v>
      </c>
      <c r="S19" s="5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35">
      <c r="A20" s="1" t="s">
        <v>35</v>
      </c>
      <c r="B20" s="1" t="str">
        <f>VLOOKUP(A20,[30]LISTADHERENT!A$5:H$60,3,0)</f>
        <v>KOUATCHO MESSACK</v>
      </c>
      <c r="C20" s="5" t="e">
        <f>#REF!+#REF!+#REF!+#REF!+#REF!+#REF!+#REF!+#REF!+#REF!+#REF!+#REF!+#REF!+#REF!+#REF!</f>
        <v>#REF!</v>
      </c>
      <c r="D20" s="5" t="e">
        <f>#REF!+#REF!+#REF!+#REF!+#REF!+#REF!+#REF!+#REF!+#REF!+#REF!+#REF!+#REF!+#REF!+#REF!</f>
        <v>#REF!</v>
      </c>
      <c r="E20" s="5" t="e">
        <f>#REF!+#REF!+#REF!+#REF!+#REF!+#REF!+#REF!+#REF!+#REF!+#REF!+#REF!+#REF!+#REF!+#REF!</f>
        <v>#REF!</v>
      </c>
      <c r="F20" s="5" t="e">
        <f>#REF!+#REF!+#REF!+#REF!+#REF!+#REF!+#REF!+#REF!+#REF!+#REF!+#REF!+#REF!+#REF!+#REF!</f>
        <v>#REF!</v>
      </c>
      <c r="G20" s="5" t="e">
        <f>#REF!+#REF!+#REF!+#REF!+#REF!+#REF!+#REF!+#REF!+#REF!+#REF!+#REF!+#REF!+#REF!+#REF!</f>
        <v>#REF!</v>
      </c>
      <c r="H20" s="5" t="e">
        <f>#REF!+#REF!+#REF!+#REF!+#REF!+#REF!+#REF!+#REF!+#REF!+#REF!+#REF!+#REF!+#REF!+#REF!</f>
        <v>#REF!</v>
      </c>
      <c r="I20" s="5" t="e">
        <f>#REF!+#REF!+#REF!+#REF!+#REF!+#REF!+#REF!+#REF!+#REF!+#REF!+#REF!+#REF!+#REF!+#REF!</f>
        <v>#REF!</v>
      </c>
      <c r="J20" s="5" t="e">
        <f>#REF!+#REF!+#REF!+#REF!+#REF!+#REF!+#REF!+#REF!+#REF!+#REF!+#REF!+#REF!+#REF!+#REF!</f>
        <v>#REF!</v>
      </c>
      <c r="K20" s="5" t="e">
        <f>#REF!+#REF!+#REF!+#REF!+#REF!+#REF!+#REF!+#REF!+#REF!+#REF!+#REF!+#REF!+#REF!+#REF!</f>
        <v>#REF!</v>
      </c>
      <c r="L20" s="5" t="e">
        <f>#REF!+#REF!+#REF!+#REF!+#REF!+#REF!+#REF!+#REF!+#REF!+#REF!+#REF!+#REF!+#REF!+#REF!</f>
        <v>#REF!</v>
      </c>
      <c r="M20" s="5" t="e">
        <f>#REF!+#REF!+#REF!+#REF!+#REF!+#REF!+#REF!+#REF!+#REF!+#REF!+#REF!+#REF!+#REF!+#REF!</f>
        <v>#REF!</v>
      </c>
      <c r="N20" s="5" t="e">
        <f>#REF!+#REF!+#REF!+#REF!+#REF!+#REF!+#REF!+#REF!+#REF!+#REF!+#REF!+#REF!+#REF!+#REF!</f>
        <v>#REF!</v>
      </c>
      <c r="O20" s="5" t="e">
        <f>#REF!+#REF!+#REF!+#REF!+#REF!+#REF!+#REF!+#REF!+#REF!+#REF!+#REF!+#REF!+#REF!+#REF!</f>
        <v>#REF!</v>
      </c>
      <c r="P20" s="5" t="e">
        <f>#REF!+#REF!+#REF!+#REF!+#REF!+#REF!+#REF!+#REF!+#REF!+#REF!+#REF!+#REF!+#REF!+#REF!</f>
        <v>#REF!</v>
      </c>
      <c r="Q20" s="5" t="e">
        <f>#REF!+#REF!+#REF!+#REF!+#REF!+#REF!+#REF!+#REF!+#REF!+#REF!+#REF!+#REF!+#REF!+#REF!</f>
        <v>#REF!</v>
      </c>
      <c r="R20" s="5" t="e">
        <f>#REF!+#REF!+#REF!+#REF!+#REF!+#REF!+#REF!+#REF!+#REF!+#REF!+#REF!+#REF!+#REF!+#REF!</f>
        <v>#REF!</v>
      </c>
      <c r="S20" s="5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35">
      <c r="A21" s="1" t="s">
        <v>36</v>
      </c>
      <c r="B21" s="1" t="str">
        <f>VLOOKUP(A21,[30]LISTADHERENT!A$5:H$60,3,0)</f>
        <v>LOWE JEAN</v>
      </c>
      <c r="C21" s="5" t="e">
        <f>#REF!+#REF!+#REF!+#REF!+#REF!+#REF!+#REF!+#REF!+#REF!+#REF!+#REF!+#REF!+#REF!+#REF!</f>
        <v>#REF!</v>
      </c>
      <c r="D21" s="5" t="e">
        <f>#REF!+#REF!+#REF!+#REF!+#REF!+#REF!+#REF!+#REF!+#REF!+#REF!+#REF!+#REF!+#REF!+#REF!</f>
        <v>#REF!</v>
      </c>
      <c r="E21" s="5" t="e">
        <f>#REF!+#REF!+#REF!+#REF!+#REF!+#REF!+#REF!+#REF!+#REF!+#REF!+#REF!+#REF!+#REF!+#REF!</f>
        <v>#REF!</v>
      </c>
      <c r="F21" s="5" t="e">
        <f>#REF!+#REF!+#REF!+#REF!+#REF!+#REF!+#REF!+#REF!+#REF!+#REF!+#REF!+#REF!+#REF!+#REF!</f>
        <v>#REF!</v>
      </c>
      <c r="G21" s="5" t="e">
        <f>#REF!+#REF!+#REF!+#REF!+#REF!+#REF!+#REF!+#REF!+#REF!+#REF!+#REF!+#REF!+#REF!+#REF!</f>
        <v>#REF!</v>
      </c>
      <c r="H21" s="5" t="e">
        <f>#REF!+#REF!+#REF!+#REF!+#REF!+#REF!+#REF!+#REF!+#REF!+#REF!+#REF!+#REF!+#REF!+#REF!</f>
        <v>#REF!</v>
      </c>
      <c r="I21" s="5" t="e">
        <f>#REF!+#REF!+#REF!+#REF!+#REF!+#REF!+#REF!+#REF!+#REF!+#REF!+#REF!+#REF!+#REF!+#REF!</f>
        <v>#REF!</v>
      </c>
      <c r="J21" s="5" t="e">
        <f>#REF!+#REF!+#REF!+#REF!+#REF!+#REF!+#REF!+#REF!+#REF!+#REF!+#REF!+#REF!+#REF!+#REF!</f>
        <v>#REF!</v>
      </c>
      <c r="K21" s="5" t="e">
        <f>#REF!+#REF!+#REF!+#REF!+#REF!+#REF!+#REF!+#REF!+#REF!+#REF!+#REF!+#REF!+#REF!+#REF!</f>
        <v>#REF!</v>
      </c>
      <c r="L21" s="5" t="e">
        <f>#REF!+#REF!+#REF!+#REF!+#REF!+#REF!+#REF!+#REF!+#REF!+#REF!+#REF!+#REF!+#REF!+#REF!</f>
        <v>#REF!</v>
      </c>
      <c r="M21" s="5" t="e">
        <f>#REF!+#REF!+#REF!+#REF!+#REF!+#REF!+#REF!+#REF!+#REF!+#REF!+#REF!+#REF!+#REF!+#REF!</f>
        <v>#REF!</v>
      </c>
      <c r="N21" s="5" t="e">
        <f>#REF!+#REF!+#REF!+#REF!+#REF!+#REF!+#REF!+#REF!+#REF!+#REF!+#REF!+#REF!+#REF!+#REF!</f>
        <v>#REF!</v>
      </c>
      <c r="O21" s="5" t="e">
        <f>#REF!+#REF!+#REF!+#REF!+#REF!+#REF!+#REF!+#REF!+#REF!+#REF!+#REF!+#REF!+#REF!+#REF!</f>
        <v>#REF!</v>
      </c>
      <c r="P21" s="5" t="e">
        <f>#REF!+#REF!+#REF!+#REF!+#REF!+#REF!+#REF!+#REF!+#REF!+#REF!+#REF!+#REF!+#REF!+#REF!</f>
        <v>#REF!</v>
      </c>
      <c r="Q21" s="5" t="e">
        <f>#REF!+#REF!+#REF!+#REF!+#REF!+#REF!+#REF!+#REF!+#REF!+#REF!+#REF!+#REF!+#REF!+#REF!</f>
        <v>#REF!</v>
      </c>
      <c r="R21" s="5" t="e">
        <f>#REF!+#REF!+#REF!+#REF!+#REF!+#REF!+#REF!+#REF!+#REF!+#REF!+#REF!+#REF!+#REF!+#REF!</f>
        <v>#REF!</v>
      </c>
      <c r="S21" s="5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1" t="s">
        <v>75</v>
      </c>
      <c r="B22" s="1" t="str">
        <f>VLOOKUP(A22,[30]LISTADHERENT!A$5:H$60,3,0)</f>
        <v>MBOGNING TUGMA GUY</v>
      </c>
      <c r="C22" s="5" t="e">
        <f>#REF!+#REF!+#REF!+#REF!+#REF!+#REF!+#REF!+#REF!+#REF!+#REF!+#REF!+#REF!+#REF!+#REF!</f>
        <v>#REF!</v>
      </c>
      <c r="D22" s="5" t="e">
        <f>#REF!+#REF!+#REF!+#REF!+#REF!+#REF!+#REF!+#REF!+#REF!+#REF!+#REF!+#REF!+#REF!+#REF!</f>
        <v>#REF!</v>
      </c>
      <c r="E22" s="5" t="e">
        <f>#REF!+#REF!+#REF!+#REF!+#REF!+#REF!+#REF!+#REF!+#REF!+#REF!+#REF!+#REF!+#REF!+#REF!</f>
        <v>#REF!</v>
      </c>
      <c r="F22" s="5" t="e">
        <f>#REF!+#REF!+#REF!+#REF!+#REF!+#REF!+#REF!+#REF!+#REF!+#REF!+#REF!+#REF!+#REF!+#REF!</f>
        <v>#REF!</v>
      </c>
      <c r="G22" s="5" t="e">
        <f>#REF!+#REF!+#REF!+#REF!+#REF!+#REF!+#REF!+#REF!+#REF!+#REF!+#REF!+#REF!+#REF!+#REF!</f>
        <v>#REF!</v>
      </c>
      <c r="H22" s="5" t="e">
        <f>#REF!+#REF!+#REF!+#REF!+#REF!+#REF!+#REF!+#REF!+#REF!+#REF!+#REF!+#REF!+#REF!+#REF!</f>
        <v>#REF!</v>
      </c>
      <c r="I22" s="5" t="e">
        <f>#REF!+#REF!+#REF!+#REF!+#REF!+#REF!+#REF!+#REF!+#REF!+#REF!+#REF!+#REF!+#REF!+#REF!</f>
        <v>#REF!</v>
      </c>
      <c r="J22" s="5" t="e">
        <f>#REF!+#REF!+#REF!+#REF!+#REF!+#REF!+#REF!+#REF!+#REF!+#REF!+#REF!+#REF!+#REF!+#REF!</f>
        <v>#REF!</v>
      </c>
      <c r="K22" s="5" t="e">
        <f>#REF!+#REF!+#REF!+#REF!+#REF!+#REF!+#REF!+#REF!+#REF!+#REF!+#REF!+#REF!+#REF!+#REF!</f>
        <v>#REF!</v>
      </c>
      <c r="L22" s="5" t="e">
        <f>#REF!+#REF!+#REF!+#REF!+#REF!+#REF!+#REF!+#REF!+#REF!+#REF!+#REF!+#REF!+#REF!+#REF!</f>
        <v>#REF!</v>
      </c>
      <c r="M22" s="5" t="e">
        <f>#REF!+#REF!+#REF!+#REF!+#REF!+#REF!+#REF!+#REF!+#REF!+#REF!+#REF!+#REF!+#REF!+#REF!</f>
        <v>#REF!</v>
      </c>
      <c r="N22" s="5" t="e">
        <f>#REF!+#REF!+#REF!+#REF!+#REF!+#REF!+#REF!+#REF!+#REF!+#REF!+#REF!+#REF!+#REF!+#REF!</f>
        <v>#REF!</v>
      </c>
      <c r="O22" s="5" t="e">
        <f>#REF!+#REF!+#REF!+#REF!+#REF!+#REF!+#REF!+#REF!+#REF!+#REF!+#REF!+#REF!+#REF!+#REF!</f>
        <v>#REF!</v>
      </c>
      <c r="P22" s="5" t="e">
        <f>#REF!+#REF!+#REF!+#REF!+#REF!+#REF!+#REF!+#REF!+#REF!+#REF!+#REF!+#REF!+#REF!+#REF!</f>
        <v>#REF!</v>
      </c>
      <c r="Q22" s="5" t="e">
        <f>#REF!+#REF!+#REF!+#REF!+#REF!+#REF!+#REF!+#REF!+#REF!+#REF!+#REF!+#REF!+#REF!+#REF!</f>
        <v>#REF!</v>
      </c>
      <c r="R22" s="5" t="e">
        <f>#REF!+#REF!+#REF!+#REF!+#REF!+#REF!+#REF!+#REF!+#REF!+#REF!+#REF!+#REF!+#REF!+#REF!</f>
        <v>#REF!</v>
      </c>
      <c r="V22" s="2"/>
      <c r="W22" s="2"/>
      <c r="X22" s="2"/>
      <c r="Y22" s="2"/>
      <c r="Z22" s="2"/>
      <c r="AA22" s="2"/>
      <c r="AB22" s="2"/>
    </row>
    <row r="23" spans="1:28" x14ac:dyDescent="0.35">
      <c r="A23" s="1" t="s">
        <v>50</v>
      </c>
      <c r="B23" s="1" t="str">
        <f>VLOOKUP(A23,[30]LISTADHERENT!A$5:H$60,3,0)</f>
        <v>NANGUEN MARTIN</v>
      </c>
      <c r="C23" s="5" t="e">
        <f>#REF!+#REF!+#REF!+#REF!+#REF!+#REF!+#REF!+#REF!+#REF!+#REF!+#REF!+#REF!+#REF!+#REF!</f>
        <v>#REF!</v>
      </c>
      <c r="D23" s="5" t="e">
        <f>#REF!+#REF!+#REF!+#REF!+#REF!+#REF!+#REF!+#REF!+#REF!+#REF!+#REF!+#REF!+#REF!+#REF!</f>
        <v>#REF!</v>
      </c>
      <c r="E23" s="5" t="e">
        <f>#REF!+#REF!+#REF!+#REF!+#REF!+#REF!+#REF!+#REF!+#REF!+#REF!+#REF!+#REF!+#REF!+#REF!</f>
        <v>#REF!</v>
      </c>
      <c r="F23" s="5" t="e">
        <f>#REF!+#REF!+#REF!+#REF!+#REF!+#REF!+#REF!+#REF!+#REF!+#REF!+#REF!+#REF!+#REF!+#REF!</f>
        <v>#REF!</v>
      </c>
      <c r="G23" s="5" t="e">
        <f>#REF!+#REF!+#REF!+#REF!+#REF!+#REF!+#REF!+#REF!+#REF!+#REF!+#REF!+#REF!+#REF!+#REF!</f>
        <v>#REF!</v>
      </c>
      <c r="H23" s="5" t="e">
        <f>#REF!+#REF!+#REF!+#REF!+#REF!+#REF!+#REF!+#REF!+#REF!+#REF!+#REF!+#REF!+#REF!+#REF!</f>
        <v>#REF!</v>
      </c>
      <c r="I23" s="5" t="e">
        <f>#REF!+#REF!+#REF!+#REF!+#REF!+#REF!+#REF!+#REF!+#REF!+#REF!+#REF!+#REF!+#REF!+#REF!</f>
        <v>#REF!</v>
      </c>
      <c r="J23" s="5" t="e">
        <f>#REF!+#REF!+#REF!+#REF!+#REF!+#REF!+#REF!+#REF!+#REF!+#REF!+#REF!+#REF!+#REF!+#REF!</f>
        <v>#REF!</v>
      </c>
      <c r="K23" s="5" t="e">
        <f>#REF!+#REF!+#REF!+#REF!+#REF!+#REF!+#REF!+#REF!+#REF!+#REF!+#REF!+#REF!+#REF!+#REF!</f>
        <v>#REF!</v>
      </c>
      <c r="L23" s="5" t="e">
        <f>#REF!+#REF!+#REF!+#REF!+#REF!+#REF!+#REF!+#REF!+#REF!+#REF!+#REF!+#REF!+#REF!+#REF!</f>
        <v>#REF!</v>
      </c>
      <c r="M23" s="5" t="e">
        <f>#REF!+#REF!+#REF!+#REF!+#REF!+#REF!+#REF!+#REF!+#REF!+#REF!+#REF!+#REF!+#REF!+#REF!</f>
        <v>#REF!</v>
      </c>
      <c r="N23" s="5" t="e">
        <f>#REF!+#REF!+#REF!+#REF!+#REF!+#REF!+#REF!+#REF!+#REF!+#REF!+#REF!+#REF!+#REF!+#REF!</f>
        <v>#REF!</v>
      </c>
      <c r="O23" s="5" t="e">
        <f>#REF!+#REF!+#REF!+#REF!+#REF!+#REF!+#REF!+#REF!+#REF!+#REF!+#REF!+#REF!+#REF!+#REF!</f>
        <v>#REF!</v>
      </c>
      <c r="P23" s="5" t="e">
        <f>#REF!+#REF!+#REF!+#REF!+#REF!+#REF!+#REF!+#REF!+#REF!+#REF!+#REF!+#REF!+#REF!+#REF!</f>
        <v>#REF!</v>
      </c>
      <c r="Q23" s="5" t="e">
        <f>#REF!+#REF!+#REF!+#REF!+#REF!+#REF!+#REF!+#REF!+#REF!+#REF!+#REF!+#REF!+#REF!+#REF!</f>
        <v>#REF!</v>
      </c>
      <c r="R23" s="5" t="e">
        <f>#REF!+#REF!+#REF!+#REF!+#REF!+#REF!+#REF!+#REF!+#REF!+#REF!+#REF!+#REF!+#REF!+#REF!</f>
        <v>#REF!</v>
      </c>
      <c r="S23" s="5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35">
      <c r="A24" s="1" t="s">
        <v>37</v>
      </c>
      <c r="B24" s="1" t="str">
        <f>VLOOKUP(A24,[30]LISTADHERENT!A$5:H$60,3,0)</f>
        <v>NANKAM APPOLINAIRE</v>
      </c>
      <c r="C24" s="5" t="e">
        <f>#REF!+#REF!+#REF!+#REF!+#REF!+#REF!+#REF!+#REF!+#REF!+#REF!+#REF!+#REF!+#REF!+#REF!</f>
        <v>#REF!</v>
      </c>
      <c r="D24" s="5" t="e">
        <f>#REF!+#REF!+#REF!+#REF!+#REF!+#REF!+#REF!+#REF!+#REF!+#REF!+#REF!+#REF!+#REF!+#REF!</f>
        <v>#REF!</v>
      </c>
      <c r="E24" s="5" t="e">
        <f>#REF!+#REF!+#REF!+#REF!+#REF!+#REF!+#REF!+#REF!+#REF!+#REF!+#REF!+#REF!+#REF!+#REF!</f>
        <v>#REF!</v>
      </c>
      <c r="F24" s="5" t="e">
        <f>#REF!+#REF!+#REF!+#REF!+#REF!+#REF!+#REF!+#REF!+#REF!+#REF!+#REF!+#REF!+#REF!+#REF!</f>
        <v>#REF!</v>
      </c>
      <c r="G24" s="5" t="e">
        <f>#REF!+#REF!+#REF!+#REF!+#REF!+#REF!+#REF!+#REF!+#REF!+#REF!+#REF!+#REF!+#REF!+#REF!</f>
        <v>#REF!</v>
      </c>
      <c r="H24" s="5" t="e">
        <f>#REF!+#REF!+#REF!+#REF!+#REF!+#REF!+#REF!+#REF!+#REF!+#REF!+#REF!+#REF!+#REF!+#REF!</f>
        <v>#REF!</v>
      </c>
      <c r="I24" s="5" t="e">
        <f>#REF!+#REF!+#REF!+#REF!+#REF!+#REF!+#REF!+#REF!+#REF!+#REF!+#REF!+#REF!+#REF!+#REF!</f>
        <v>#REF!</v>
      </c>
      <c r="J24" s="5" t="e">
        <f>#REF!+#REF!+#REF!+#REF!+#REF!+#REF!+#REF!+#REF!+#REF!+#REF!+#REF!+#REF!+#REF!+#REF!</f>
        <v>#REF!</v>
      </c>
      <c r="K24" s="5" t="e">
        <f>#REF!+#REF!+#REF!+#REF!+#REF!+#REF!+#REF!+#REF!+#REF!+#REF!+#REF!+#REF!+#REF!+#REF!</f>
        <v>#REF!</v>
      </c>
      <c r="L24" s="5" t="e">
        <f>#REF!+#REF!+#REF!+#REF!+#REF!+#REF!+#REF!+#REF!+#REF!+#REF!+#REF!+#REF!+#REF!+#REF!</f>
        <v>#REF!</v>
      </c>
      <c r="M24" s="5" t="e">
        <f>#REF!+#REF!+#REF!+#REF!+#REF!+#REF!+#REF!+#REF!+#REF!+#REF!+#REF!+#REF!+#REF!+#REF!</f>
        <v>#REF!</v>
      </c>
      <c r="N24" s="5" t="e">
        <f>#REF!+#REF!+#REF!+#REF!+#REF!+#REF!+#REF!+#REF!+#REF!+#REF!+#REF!+#REF!+#REF!+#REF!</f>
        <v>#REF!</v>
      </c>
      <c r="O24" s="5" t="e">
        <f>#REF!+#REF!+#REF!+#REF!+#REF!+#REF!+#REF!+#REF!+#REF!+#REF!+#REF!+#REF!+#REF!+#REF!</f>
        <v>#REF!</v>
      </c>
      <c r="P24" s="5" t="e">
        <f>#REF!+#REF!+#REF!+#REF!+#REF!+#REF!+#REF!+#REF!+#REF!+#REF!+#REF!+#REF!+#REF!+#REF!</f>
        <v>#REF!</v>
      </c>
      <c r="Q24" s="5" t="e">
        <f>#REF!+#REF!+#REF!+#REF!+#REF!+#REF!+#REF!+#REF!+#REF!+#REF!+#REF!+#REF!+#REF!+#REF!</f>
        <v>#REF!</v>
      </c>
      <c r="R24" s="5" t="e">
        <f>#REF!+#REF!+#REF!+#REF!+#REF!+#REF!+#REF!+#REF!+#REF!+#REF!+#REF!+#REF!+#REF!+#REF!</f>
        <v>#REF!</v>
      </c>
      <c r="S24" s="5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5">
      <c r="A25" s="1" t="s">
        <v>38</v>
      </c>
      <c r="B25" s="1" t="str">
        <f>VLOOKUP(A25,[30]LISTADHERENT!A$5:H$60,3,0)</f>
        <v>NDJOMO ETIENNE</v>
      </c>
      <c r="C25" s="5" t="e">
        <f>#REF!+#REF!+#REF!+#REF!+#REF!+#REF!+#REF!+#REF!+#REF!+#REF!+#REF!+#REF!+#REF!+#REF!</f>
        <v>#REF!</v>
      </c>
      <c r="D25" s="5" t="e">
        <f>#REF!+#REF!+#REF!+#REF!+#REF!+#REF!+#REF!+#REF!+#REF!+#REF!+#REF!+#REF!+#REF!+#REF!</f>
        <v>#REF!</v>
      </c>
      <c r="E25" s="5" t="e">
        <f>#REF!+#REF!+#REF!+#REF!+#REF!+#REF!+#REF!+#REF!+#REF!+#REF!+#REF!+#REF!+#REF!+#REF!</f>
        <v>#REF!</v>
      </c>
      <c r="F25" s="5" t="e">
        <f>#REF!+#REF!+#REF!+#REF!+#REF!+#REF!+#REF!+#REF!+#REF!+#REF!+#REF!+#REF!+#REF!+#REF!</f>
        <v>#REF!</v>
      </c>
      <c r="G25" s="5" t="e">
        <f>#REF!+#REF!+#REF!+#REF!+#REF!+#REF!+#REF!+#REF!+#REF!+#REF!+#REF!+#REF!+#REF!+#REF!</f>
        <v>#REF!</v>
      </c>
      <c r="H25" s="5" t="e">
        <f>#REF!+#REF!+#REF!+#REF!+#REF!+#REF!+#REF!+#REF!+#REF!+#REF!+#REF!+#REF!+#REF!+#REF!</f>
        <v>#REF!</v>
      </c>
      <c r="I25" s="5" t="e">
        <f>#REF!+#REF!+#REF!+#REF!+#REF!+#REF!+#REF!+#REF!+#REF!+#REF!+#REF!+#REF!+#REF!+#REF!</f>
        <v>#REF!</v>
      </c>
      <c r="J25" s="5" t="e">
        <f>#REF!+#REF!+#REF!+#REF!+#REF!+#REF!+#REF!+#REF!+#REF!+#REF!+#REF!+#REF!+#REF!+#REF!</f>
        <v>#REF!</v>
      </c>
      <c r="K25" s="5" t="e">
        <f>#REF!+#REF!+#REF!+#REF!+#REF!+#REF!+#REF!+#REF!+#REF!+#REF!+#REF!+#REF!+#REF!+#REF!</f>
        <v>#REF!</v>
      </c>
      <c r="L25" s="5" t="e">
        <f>#REF!+#REF!+#REF!+#REF!+#REF!+#REF!+#REF!+#REF!+#REF!+#REF!+#REF!+#REF!+#REF!+#REF!</f>
        <v>#REF!</v>
      </c>
      <c r="M25" s="5" t="e">
        <f>#REF!+#REF!+#REF!+#REF!+#REF!+#REF!+#REF!+#REF!+#REF!+#REF!+#REF!+#REF!+#REF!+#REF!</f>
        <v>#REF!</v>
      </c>
      <c r="N25" s="5" t="e">
        <f>#REF!+#REF!+#REF!+#REF!+#REF!+#REF!+#REF!+#REF!+#REF!+#REF!+#REF!+#REF!+#REF!+#REF!</f>
        <v>#REF!</v>
      </c>
      <c r="O25" s="5" t="e">
        <f>#REF!+#REF!+#REF!+#REF!+#REF!+#REF!+#REF!+#REF!+#REF!+#REF!+#REF!+#REF!+#REF!+#REF!</f>
        <v>#REF!</v>
      </c>
      <c r="P25" s="5" t="e">
        <f>#REF!+#REF!+#REF!+#REF!+#REF!+#REF!+#REF!+#REF!+#REF!+#REF!+#REF!+#REF!+#REF!+#REF!</f>
        <v>#REF!</v>
      </c>
      <c r="Q25" s="5" t="e">
        <f>#REF!+#REF!+#REF!+#REF!+#REF!+#REF!+#REF!+#REF!+#REF!+#REF!+#REF!+#REF!+#REF!+#REF!</f>
        <v>#REF!</v>
      </c>
      <c r="R25" s="5" t="e">
        <f>#REF!+#REF!+#REF!+#REF!+#REF!+#REF!+#REF!+#REF!+#REF!+#REF!+#REF!+#REF!+#REF!+#REF!</f>
        <v>#REF!</v>
      </c>
      <c r="S25" s="5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5">
      <c r="A26" s="1" t="s">
        <v>39</v>
      </c>
      <c r="B26" s="1" t="str">
        <f>VLOOKUP(A26,[30]LISTADHERENT!A$5:H$60,3,0)</f>
        <v>NGONDIEP CLAUDE</v>
      </c>
      <c r="C26" s="5" t="e">
        <f>#REF!+#REF!+#REF!+#REF!+#REF!+#REF!+#REF!+#REF!+#REF!+#REF!+#REF!+#REF!+#REF!+#REF!</f>
        <v>#REF!</v>
      </c>
      <c r="D26" s="5" t="e">
        <f>#REF!+#REF!+#REF!+#REF!+#REF!+#REF!+#REF!+#REF!+#REF!+#REF!+#REF!+#REF!+#REF!+#REF!</f>
        <v>#REF!</v>
      </c>
      <c r="E26" s="5" t="e">
        <f>#REF!+#REF!+#REF!+#REF!+#REF!+#REF!+#REF!+#REF!+#REF!+#REF!+#REF!+#REF!+#REF!+#REF!</f>
        <v>#REF!</v>
      </c>
      <c r="F26" s="5" t="e">
        <f>#REF!+#REF!+#REF!+#REF!+#REF!+#REF!+#REF!+#REF!+#REF!+#REF!+#REF!+#REF!+#REF!+#REF!</f>
        <v>#REF!</v>
      </c>
      <c r="G26" s="5" t="e">
        <f>#REF!+#REF!+#REF!+#REF!+#REF!+#REF!+#REF!+#REF!+#REF!+#REF!+#REF!+#REF!+#REF!+#REF!</f>
        <v>#REF!</v>
      </c>
      <c r="H26" s="5" t="e">
        <f>#REF!+#REF!+#REF!+#REF!+#REF!+#REF!+#REF!+#REF!+#REF!+#REF!+#REF!+#REF!+#REF!+#REF!</f>
        <v>#REF!</v>
      </c>
      <c r="I26" s="5" t="e">
        <f>#REF!+#REF!+#REF!+#REF!+#REF!+#REF!+#REF!+#REF!+#REF!+#REF!+#REF!+#REF!+#REF!+#REF!</f>
        <v>#REF!</v>
      </c>
      <c r="J26" s="5" t="e">
        <f>#REF!+#REF!+#REF!+#REF!+#REF!+#REF!+#REF!+#REF!+#REF!+#REF!+#REF!+#REF!+#REF!+#REF!</f>
        <v>#REF!</v>
      </c>
      <c r="K26" s="5" t="e">
        <f>#REF!+#REF!+#REF!+#REF!+#REF!+#REF!+#REF!+#REF!+#REF!+#REF!+#REF!+#REF!+#REF!+#REF!</f>
        <v>#REF!</v>
      </c>
      <c r="L26" s="5" t="e">
        <f>#REF!+#REF!+#REF!+#REF!+#REF!+#REF!+#REF!+#REF!+#REF!+#REF!+#REF!+#REF!+#REF!+#REF!</f>
        <v>#REF!</v>
      </c>
      <c r="M26" s="5" t="e">
        <f>#REF!+#REF!+#REF!+#REF!+#REF!+#REF!+#REF!+#REF!+#REF!+#REF!+#REF!+#REF!+#REF!+#REF!</f>
        <v>#REF!</v>
      </c>
      <c r="N26" s="5" t="e">
        <f>#REF!+#REF!+#REF!+#REF!+#REF!+#REF!+#REF!+#REF!+#REF!+#REF!+#REF!+#REF!+#REF!+#REF!</f>
        <v>#REF!</v>
      </c>
      <c r="O26" s="5" t="e">
        <f>#REF!+#REF!+#REF!+#REF!+#REF!+#REF!+#REF!+#REF!+#REF!+#REF!+#REF!+#REF!+#REF!+#REF!</f>
        <v>#REF!</v>
      </c>
      <c r="P26" s="5" t="e">
        <f>#REF!+#REF!+#REF!+#REF!+#REF!+#REF!+#REF!+#REF!+#REF!+#REF!+#REF!+#REF!+#REF!+#REF!</f>
        <v>#REF!</v>
      </c>
      <c r="Q26" s="5" t="e">
        <f>#REF!+#REF!+#REF!+#REF!+#REF!+#REF!+#REF!+#REF!+#REF!+#REF!+#REF!+#REF!+#REF!+#REF!</f>
        <v>#REF!</v>
      </c>
      <c r="R26" s="5" t="e">
        <f>#REF!+#REF!+#REF!+#REF!+#REF!+#REF!+#REF!+#REF!+#REF!+#REF!+#REF!+#REF!+#REF!+#REF!</f>
        <v>#REF!</v>
      </c>
      <c r="S26" s="5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5">
      <c r="A27" s="1" t="s">
        <v>41</v>
      </c>
      <c r="B27" s="1" t="str">
        <f>VLOOKUP(A27,[30]LISTADHERENT!A$5:H$60,3,0)</f>
        <v>NGUIEMEGNI MATHIEU BLAISE</v>
      </c>
      <c r="C27" s="5" t="e">
        <f>#REF!+#REF!+#REF!+#REF!+#REF!+#REF!+#REF!+#REF!+#REF!+#REF!+#REF!+#REF!+#REF!+#REF!</f>
        <v>#REF!</v>
      </c>
      <c r="D27" s="5" t="e">
        <f>#REF!+#REF!+#REF!+#REF!+#REF!+#REF!+#REF!+#REF!+#REF!+#REF!+#REF!+#REF!+#REF!+#REF!</f>
        <v>#REF!</v>
      </c>
      <c r="E27" s="5" t="e">
        <f>#REF!+#REF!+#REF!+#REF!+#REF!+#REF!+#REF!+#REF!+#REF!+#REF!+#REF!+#REF!+#REF!+#REF!</f>
        <v>#REF!</v>
      </c>
      <c r="F27" s="5" t="e">
        <f>#REF!+#REF!+#REF!+#REF!+#REF!+#REF!+#REF!+#REF!+#REF!+#REF!+#REF!+#REF!+#REF!+#REF!</f>
        <v>#REF!</v>
      </c>
      <c r="G27" s="5" t="e">
        <f>#REF!+#REF!+#REF!+#REF!+#REF!+#REF!+#REF!+#REF!+#REF!+#REF!+#REF!+#REF!+#REF!+#REF!</f>
        <v>#REF!</v>
      </c>
      <c r="H27" s="5" t="e">
        <f>#REF!+#REF!+#REF!+#REF!+#REF!+#REF!+#REF!+#REF!+#REF!+#REF!+#REF!+#REF!+#REF!+#REF!</f>
        <v>#REF!</v>
      </c>
      <c r="I27" s="5" t="e">
        <f>#REF!+#REF!+#REF!+#REF!+#REF!+#REF!+#REF!+#REF!+#REF!+#REF!+#REF!+#REF!+#REF!+#REF!</f>
        <v>#REF!</v>
      </c>
      <c r="J27" s="5" t="e">
        <f>#REF!+#REF!+#REF!+#REF!+#REF!+#REF!+#REF!+#REF!+#REF!+#REF!+#REF!+#REF!+#REF!+#REF!</f>
        <v>#REF!</v>
      </c>
      <c r="K27" s="5" t="e">
        <f>#REF!+#REF!+#REF!+#REF!+#REF!+#REF!+#REF!+#REF!+#REF!+#REF!+#REF!+#REF!+#REF!+#REF!</f>
        <v>#REF!</v>
      </c>
      <c r="L27" s="5" t="e">
        <f>#REF!+#REF!+#REF!+#REF!+#REF!+#REF!+#REF!+#REF!+#REF!+#REF!+#REF!+#REF!+#REF!+#REF!</f>
        <v>#REF!</v>
      </c>
      <c r="M27" s="5" t="e">
        <f>#REF!+#REF!+#REF!+#REF!+#REF!+#REF!+#REF!+#REF!+#REF!+#REF!+#REF!+#REF!+#REF!+#REF!</f>
        <v>#REF!</v>
      </c>
      <c r="N27" s="5" t="e">
        <f>#REF!+#REF!+#REF!+#REF!+#REF!+#REF!+#REF!+#REF!+#REF!+#REF!+#REF!+#REF!+#REF!+#REF!</f>
        <v>#REF!</v>
      </c>
      <c r="O27" s="5" t="e">
        <f>#REF!+#REF!+#REF!+#REF!+#REF!+#REF!+#REF!+#REF!+#REF!+#REF!+#REF!+#REF!+#REF!+#REF!</f>
        <v>#REF!</v>
      </c>
      <c r="P27" s="5" t="e">
        <f>#REF!+#REF!+#REF!+#REF!+#REF!+#REF!+#REF!+#REF!+#REF!+#REF!+#REF!+#REF!+#REF!+#REF!</f>
        <v>#REF!</v>
      </c>
      <c r="Q27" s="5" t="e">
        <f>#REF!+#REF!+#REF!+#REF!+#REF!+#REF!+#REF!+#REF!+#REF!+#REF!+#REF!+#REF!+#REF!+#REF!</f>
        <v>#REF!</v>
      </c>
      <c r="R27" s="5" t="e">
        <f>#REF!+#REF!+#REF!+#REF!+#REF!+#REF!+#REF!+#REF!+#REF!+#REF!+#REF!+#REF!+#REF!+#REF!</f>
        <v>#REF!</v>
      </c>
      <c r="S27" s="5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5">
      <c r="A28" s="1" t="s">
        <v>43</v>
      </c>
      <c r="B28" s="1" t="str">
        <f>VLOOKUP(A28,[30]LISTADHERENT!A$5:H$60,3,0)</f>
        <v>NKAMGANG JUSTIN DEJOLIE</v>
      </c>
      <c r="C28" s="5" t="e">
        <f>#REF!+#REF!+#REF!+#REF!+#REF!+#REF!+#REF!+#REF!+#REF!+#REF!+#REF!+#REF!+#REF!+#REF!</f>
        <v>#REF!</v>
      </c>
      <c r="D28" s="5" t="e">
        <f>#REF!+#REF!+#REF!+#REF!+#REF!+#REF!+#REF!+#REF!+#REF!+#REF!+#REF!+#REF!+#REF!+#REF!</f>
        <v>#REF!</v>
      </c>
      <c r="E28" s="5" t="e">
        <f>#REF!+#REF!+#REF!+#REF!+#REF!+#REF!+#REF!+#REF!+#REF!+#REF!+#REF!+#REF!+#REF!+#REF!</f>
        <v>#REF!</v>
      </c>
      <c r="F28" s="5" t="e">
        <f>#REF!+#REF!+#REF!+#REF!+#REF!+#REF!+#REF!+#REF!+#REF!+#REF!+#REF!+#REF!+#REF!+#REF!</f>
        <v>#REF!</v>
      </c>
      <c r="G28" s="5" t="e">
        <f>#REF!+#REF!+#REF!+#REF!+#REF!+#REF!+#REF!+#REF!+#REF!+#REF!+#REF!+#REF!+#REF!+#REF!</f>
        <v>#REF!</v>
      </c>
      <c r="H28" s="5" t="e">
        <f>#REF!+#REF!+#REF!+#REF!+#REF!+#REF!+#REF!+#REF!+#REF!+#REF!+#REF!+#REF!+#REF!+#REF!</f>
        <v>#REF!</v>
      </c>
      <c r="I28" s="5" t="e">
        <f>#REF!+#REF!+#REF!+#REF!+#REF!+#REF!+#REF!+#REF!+#REF!+#REF!+#REF!+#REF!+#REF!+#REF!</f>
        <v>#REF!</v>
      </c>
      <c r="J28" s="5" t="e">
        <f>#REF!+#REF!+#REF!+#REF!+#REF!+#REF!+#REF!+#REF!+#REF!+#REF!+#REF!+#REF!+#REF!+#REF!</f>
        <v>#REF!</v>
      </c>
      <c r="K28" s="5" t="e">
        <f>#REF!+#REF!+#REF!+#REF!+#REF!+#REF!+#REF!+#REF!+#REF!+#REF!+#REF!+#REF!+#REF!+#REF!</f>
        <v>#REF!</v>
      </c>
      <c r="L28" s="5" t="e">
        <f>#REF!+#REF!+#REF!+#REF!+#REF!+#REF!+#REF!+#REF!+#REF!+#REF!+#REF!+#REF!+#REF!+#REF!</f>
        <v>#REF!</v>
      </c>
      <c r="M28" s="5" t="e">
        <f>#REF!+#REF!+#REF!+#REF!+#REF!+#REF!+#REF!+#REF!+#REF!+#REF!+#REF!+#REF!+#REF!+#REF!</f>
        <v>#REF!</v>
      </c>
      <c r="N28" s="5" t="e">
        <f>#REF!+#REF!+#REF!+#REF!+#REF!+#REF!+#REF!+#REF!+#REF!+#REF!+#REF!+#REF!+#REF!+#REF!</f>
        <v>#REF!</v>
      </c>
      <c r="O28" s="5" t="e">
        <f>#REF!+#REF!+#REF!+#REF!+#REF!+#REF!+#REF!+#REF!+#REF!+#REF!+#REF!+#REF!+#REF!+#REF!</f>
        <v>#REF!</v>
      </c>
      <c r="P28" s="5" t="e">
        <f>#REF!+#REF!+#REF!+#REF!+#REF!+#REF!+#REF!+#REF!+#REF!+#REF!+#REF!+#REF!+#REF!+#REF!</f>
        <v>#REF!</v>
      </c>
      <c r="Q28" s="5" t="e">
        <f>#REF!+#REF!+#REF!+#REF!+#REF!+#REF!+#REF!+#REF!+#REF!+#REF!+#REF!+#REF!+#REF!+#REF!</f>
        <v>#REF!</v>
      </c>
      <c r="R28" s="5" t="e">
        <f>#REF!+#REF!+#REF!+#REF!+#REF!+#REF!+#REF!+#REF!+#REF!+#REF!+#REF!+#REF!+#REF!+#REF!</f>
        <v>#REF!</v>
      </c>
      <c r="S28" s="5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5">
      <c r="A29" s="1" t="s">
        <v>30</v>
      </c>
      <c r="B29" s="1" t="str">
        <f>VLOOKUP(A29,[30]LISTADHERENT!A$5:H$60,3,0)</f>
        <v>NKEHE DAVID</v>
      </c>
      <c r="C29" s="5" t="e">
        <f>#REF!+#REF!+#REF!+#REF!+#REF!+#REF!+#REF!+#REF!+#REF!+#REF!+#REF!+#REF!+#REF!+#REF!</f>
        <v>#REF!</v>
      </c>
      <c r="D29" s="5" t="e">
        <f>#REF!+#REF!+#REF!+#REF!+#REF!+#REF!+#REF!+#REF!+#REF!+#REF!+#REF!+#REF!+#REF!+#REF!</f>
        <v>#REF!</v>
      </c>
      <c r="E29" s="5" t="e">
        <f>#REF!+#REF!+#REF!+#REF!+#REF!+#REF!+#REF!+#REF!+#REF!+#REF!+#REF!+#REF!+#REF!+#REF!</f>
        <v>#REF!</v>
      </c>
      <c r="F29" s="5" t="e">
        <f>#REF!+#REF!+#REF!+#REF!+#REF!+#REF!+#REF!+#REF!+#REF!+#REF!+#REF!+#REF!+#REF!+#REF!</f>
        <v>#REF!</v>
      </c>
      <c r="G29" s="5" t="e">
        <f>#REF!+#REF!+#REF!+#REF!+#REF!+#REF!+#REF!+#REF!+#REF!+#REF!+#REF!+#REF!+#REF!+#REF!</f>
        <v>#REF!</v>
      </c>
      <c r="H29" s="5" t="e">
        <f>#REF!+#REF!+#REF!+#REF!+#REF!+#REF!+#REF!+#REF!+#REF!+#REF!+#REF!+#REF!+#REF!+#REF!</f>
        <v>#REF!</v>
      </c>
      <c r="I29" s="5" t="e">
        <f>#REF!+#REF!+#REF!+#REF!+#REF!+#REF!+#REF!+#REF!+#REF!+#REF!+#REF!+#REF!+#REF!+#REF!</f>
        <v>#REF!</v>
      </c>
      <c r="J29" s="5" t="e">
        <f>#REF!+#REF!+#REF!+#REF!+#REF!+#REF!+#REF!+#REF!+#REF!+#REF!+#REF!+#REF!+#REF!+#REF!</f>
        <v>#REF!</v>
      </c>
      <c r="K29" s="5" t="e">
        <f>#REF!+#REF!+#REF!+#REF!+#REF!+#REF!+#REF!+#REF!+#REF!+#REF!+#REF!+#REF!+#REF!+#REF!</f>
        <v>#REF!</v>
      </c>
      <c r="L29" s="5" t="e">
        <f>#REF!+#REF!+#REF!+#REF!+#REF!+#REF!+#REF!+#REF!+#REF!+#REF!+#REF!+#REF!+#REF!+#REF!</f>
        <v>#REF!</v>
      </c>
      <c r="M29" s="5" t="e">
        <f>#REF!+#REF!+#REF!+#REF!+#REF!+#REF!+#REF!+#REF!+#REF!+#REF!+#REF!+#REF!+#REF!+#REF!</f>
        <v>#REF!</v>
      </c>
      <c r="N29" s="5" t="e">
        <f>#REF!+#REF!+#REF!+#REF!+#REF!+#REF!+#REF!+#REF!+#REF!+#REF!+#REF!+#REF!+#REF!+#REF!</f>
        <v>#REF!</v>
      </c>
      <c r="O29" s="5" t="e">
        <f>#REF!+#REF!+#REF!+#REF!+#REF!+#REF!+#REF!+#REF!+#REF!+#REF!+#REF!+#REF!+#REF!+#REF!</f>
        <v>#REF!</v>
      </c>
      <c r="P29" s="5" t="e">
        <f>#REF!+#REF!+#REF!+#REF!+#REF!+#REF!+#REF!+#REF!+#REF!+#REF!+#REF!+#REF!+#REF!+#REF!</f>
        <v>#REF!</v>
      </c>
      <c r="Q29" s="5" t="e">
        <f>#REF!+#REF!+#REF!+#REF!+#REF!+#REF!+#REF!+#REF!+#REF!+#REF!+#REF!+#REF!+#REF!+#REF!</f>
        <v>#REF!</v>
      </c>
      <c r="R29" s="5" t="e">
        <f>#REF!+#REF!+#REF!+#REF!+#REF!+#REF!+#REF!+#REF!+#REF!+#REF!+#REF!+#REF!+#REF!+#REF!</f>
        <v>#REF!</v>
      </c>
      <c r="S29" s="5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1" t="s">
        <v>44</v>
      </c>
      <c r="B30" s="1" t="str">
        <f>VLOOKUP(A30,[30]LISTADHERENT!A$5:H$60,3,0)</f>
        <v>NKEPSEU DIEUDONNE</v>
      </c>
      <c r="C30" s="5" t="e">
        <f>#REF!+#REF!+#REF!+#REF!+#REF!+#REF!+#REF!+#REF!+#REF!+#REF!+#REF!+#REF!+#REF!+#REF!</f>
        <v>#REF!</v>
      </c>
      <c r="D30" s="5" t="e">
        <f>#REF!+#REF!+#REF!+#REF!+#REF!+#REF!+#REF!+#REF!+#REF!+#REF!+#REF!+#REF!+#REF!+#REF!</f>
        <v>#REF!</v>
      </c>
      <c r="E30" s="5" t="e">
        <f>#REF!+#REF!+#REF!+#REF!+#REF!+#REF!+#REF!+#REF!+#REF!+#REF!+#REF!+#REF!+#REF!+#REF!</f>
        <v>#REF!</v>
      </c>
      <c r="F30" s="5" t="e">
        <f>#REF!+#REF!+#REF!+#REF!+#REF!+#REF!+#REF!+#REF!+#REF!+#REF!+#REF!+#REF!+#REF!+#REF!</f>
        <v>#REF!</v>
      </c>
      <c r="G30" s="5" t="e">
        <f>#REF!+#REF!+#REF!+#REF!+#REF!+#REF!+#REF!+#REF!+#REF!+#REF!+#REF!+#REF!+#REF!+#REF!</f>
        <v>#REF!</v>
      </c>
      <c r="H30" s="5" t="e">
        <f>#REF!+#REF!+#REF!+#REF!+#REF!+#REF!+#REF!+#REF!+#REF!+#REF!+#REF!+#REF!+#REF!+#REF!</f>
        <v>#REF!</v>
      </c>
      <c r="I30" s="5" t="e">
        <f>#REF!+#REF!+#REF!+#REF!+#REF!+#REF!+#REF!+#REF!+#REF!+#REF!+#REF!+#REF!+#REF!+#REF!</f>
        <v>#REF!</v>
      </c>
      <c r="J30" s="5" t="e">
        <f>#REF!+#REF!+#REF!+#REF!+#REF!+#REF!+#REF!+#REF!+#REF!+#REF!+#REF!+#REF!+#REF!+#REF!</f>
        <v>#REF!</v>
      </c>
      <c r="K30" s="5" t="e">
        <f>#REF!+#REF!+#REF!+#REF!+#REF!+#REF!+#REF!+#REF!+#REF!+#REF!+#REF!+#REF!+#REF!+#REF!</f>
        <v>#REF!</v>
      </c>
      <c r="L30" s="5" t="e">
        <f>#REF!+#REF!+#REF!+#REF!+#REF!+#REF!+#REF!+#REF!+#REF!+#REF!+#REF!+#REF!+#REF!+#REF!</f>
        <v>#REF!</v>
      </c>
      <c r="M30" s="5" t="e">
        <f>#REF!+#REF!+#REF!+#REF!+#REF!+#REF!+#REF!+#REF!+#REF!+#REF!+#REF!+#REF!+#REF!+#REF!</f>
        <v>#REF!</v>
      </c>
      <c r="N30" s="5" t="e">
        <f>#REF!+#REF!+#REF!+#REF!+#REF!+#REF!+#REF!+#REF!+#REF!+#REF!+#REF!+#REF!+#REF!+#REF!</f>
        <v>#REF!</v>
      </c>
      <c r="O30" s="5" t="e">
        <f>#REF!+#REF!+#REF!+#REF!+#REF!+#REF!+#REF!+#REF!+#REF!+#REF!+#REF!+#REF!+#REF!+#REF!</f>
        <v>#REF!</v>
      </c>
      <c r="P30" s="5" t="e">
        <f>#REF!+#REF!+#REF!+#REF!+#REF!+#REF!+#REF!+#REF!+#REF!+#REF!+#REF!+#REF!+#REF!+#REF!</f>
        <v>#REF!</v>
      </c>
      <c r="Q30" s="5" t="e">
        <f>#REF!+#REF!+#REF!+#REF!+#REF!+#REF!+#REF!+#REF!+#REF!+#REF!+#REF!+#REF!+#REF!+#REF!</f>
        <v>#REF!</v>
      </c>
      <c r="R30" s="5" t="e">
        <f>#REF!+#REF!+#REF!+#REF!+#REF!+#REF!+#REF!+#REF!+#REF!+#REF!+#REF!+#REF!+#REF!+#REF!</f>
        <v>#REF!</v>
      </c>
      <c r="S30" s="5"/>
      <c r="T30" s="7"/>
      <c r="U30" s="7"/>
      <c r="V30" s="2"/>
      <c r="W30" s="2"/>
      <c r="X30" s="2"/>
      <c r="Y30" s="2"/>
      <c r="Z30" s="2"/>
      <c r="AA30" s="2"/>
      <c r="AB30" s="2"/>
    </row>
    <row r="31" spans="1:28" x14ac:dyDescent="0.35">
      <c r="A31" s="1" t="s">
        <v>45</v>
      </c>
      <c r="B31" s="1" t="str">
        <f>VLOOKUP(A31,[30]LISTADHERENT!A$5:H$60,3,0)</f>
        <v>PATEGO NJOSSU GUSTAVE</v>
      </c>
      <c r="C31" s="5" t="e">
        <f>#REF!+#REF!+#REF!+#REF!+#REF!+#REF!+#REF!+#REF!+#REF!+#REF!+#REF!+#REF!+#REF!+#REF!</f>
        <v>#REF!</v>
      </c>
      <c r="D31" s="5" t="e">
        <f>#REF!+#REF!+#REF!+#REF!+#REF!+#REF!+#REF!+#REF!+#REF!+#REF!+#REF!+#REF!+#REF!+#REF!</f>
        <v>#REF!</v>
      </c>
      <c r="E31" s="5" t="e">
        <f>#REF!+#REF!+#REF!+#REF!+#REF!+#REF!+#REF!+#REF!+#REF!+#REF!+#REF!+#REF!+#REF!+#REF!</f>
        <v>#REF!</v>
      </c>
      <c r="F31" s="5" t="e">
        <f>#REF!+#REF!+#REF!+#REF!+#REF!+#REF!+#REF!+#REF!+#REF!+#REF!+#REF!+#REF!+#REF!+#REF!</f>
        <v>#REF!</v>
      </c>
      <c r="G31" s="5" t="e">
        <f>#REF!+#REF!+#REF!+#REF!+#REF!+#REF!+#REF!+#REF!+#REF!+#REF!+#REF!+#REF!+#REF!+#REF!</f>
        <v>#REF!</v>
      </c>
      <c r="H31" s="5" t="e">
        <f>#REF!+#REF!+#REF!+#REF!+#REF!+#REF!+#REF!+#REF!+#REF!+#REF!+#REF!+#REF!+#REF!+#REF!</f>
        <v>#REF!</v>
      </c>
      <c r="I31" s="5" t="e">
        <f>#REF!+#REF!+#REF!+#REF!+#REF!+#REF!+#REF!+#REF!+#REF!+#REF!+#REF!+#REF!+#REF!+#REF!</f>
        <v>#REF!</v>
      </c>
      <c r="J31" s="5" t="e">
        <f>#REF!+#REF!+#REF!+#REF!+#REF!+#REF!+#REF!+#REF!+#REF!+#REF!+#REF!+#REF!+#REF!+#REF!</f>
        <v>#REF!</v>
      </c>
      <c r="K31" s="5" t="e">
        <f>#REF!+#REF!+#REF!+#REF!+#REF!+#REF!+#REF!+#REF!+#REF!+#REF!+#REF!+#REF!+#REF!+#REF!</f>
        <v>#REF!</v>
      </c>
      <c r="L31" s="5" t="e">
        <f>#REF!+#REF!+#REF!+#REF!+#REF!+#REF!+#REF!+#REF!+#REF!+#REF!+#REF!+#REF!+#REF!+#REF!</f>
        <v>#REF!</v>
      </c>
      <c r="M31" s="5" t="e">
        <f>#REF!+#REF!+#REF!+#REF!+#REF!+#REF!+#REF!+#REF!+#REF!+#REF!+#REF!+#REF!+#REF!+#REF!</f>
        <v>#REF!</v>
      </c>
      <c r="N31" s="5" t="e">
        <f>#REF!+#REF!+#REF!+#REF!+#REF!+#REF!+#REF!+#REF!+#REF!+#REF!+#REF!+#REF!+#REF!+#REF!</f>
        <v>#REF!</v>
      </c>
      <c r="O31" s="5" t="e">
        <f>#REF!+#REF!+#REF!+#REF!+#REF!+#REF!+#REF!+#REF!+#REF!+#REF!+#REF!+#REF!+#REF!+#REF!</f>
        <v>#REF!</v>
      </c>
      <c r="P31" s="5" t="e">
        <f>#REF!+#REF!+#REF!+#REF!+#REF!+#REF!+#REF!+#REF!+#REF!+#REF!+#REF!+#REF!+#REF!+#REF!</f>
        <v>#REF!</v>
      </c>
      <c r="Q31" s="5" t="e">
        <f>#REF!+#REF!+#REF!+#REF!+#REF!+#REF!+#REF!+#REF!+#REF!+#REF!+#REF!+#REF!+#REF!+#REF!</f>
        <v>#REF!</v>
      </c>
      <c r="R31" s="5" t="e">
        <f>#REF!+#REF!+#REF!+#REF!+#REF!+#REF!+#REF!+#REF!+#REF!+#REF!+#REF!+#REF!+#REF!+#REF!</f>
        <v>#REF!</v>
      </c>
      <c r="S31" s="5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1" t="s">
        <v>81</v>
      </c>
      <c r="B32" s="1" t="str">
        <f>VLOOKUP(A32,[30]LISTADHERENT!A$5:H$60,3,0)</f>
        <v>SIME BRICE</v>
      </c>
      <c r="C32" s="5" t="e">
        <f>#REF!+#REF!+#REF!+#REF!+#REF!+#REF!+#REF!+#REF!+#REF!+#REF!+#REF!+#REF!+#REF!+#REF!</f>
        <v>#REF!</v>
      </c>
      <c r="D32" s="5" t="e">
        <f>#REF!+#REF!+#REF!+#REF!+#REF!+#REF!+#REF!+#REF!+#REF!+#REF!+#REF!+#REF!+#REF!+#REF!</f>
        <v>#REF!</v>
      </c>
      <c r="E32" s="5" t="e">
        <f>#REF!+#REF!+#REF!+#REF!+#REF!+#REF!+#REF!+#REF!+#REF!+#REF!+#REF!+#REF!+#REF!+#REF!</f>
        <v>#REF!</v>
      </c>
      <c r="F32" s="5" t="e">
        <f>#REF!+#REF!+#REF!+#REF!+#REF!+#REF!+#REF!+#REF!+#REF!+#REF!+#REF!+#REF!+#REF!+#REF!</f>
        <v>#REF!</v>
      </c>
      <c r="G32" s="5" t="e">
        <f>#REF!+#REF!+#REF!+#REF!+#REF!+#REF!+#REF!+#REF!+#REF!+#REF!+#REF!+#REF!+#REF!+#REF!</f>
        <v>#REF!</v>
      </c>
      <c r="H32" s="5" t="e">
        <f>#REF!+#REF!+#REF!+#REF!+#REF!+#REF!+#REF!+#REF!+#REF!+#REF!+#REF!+#REF!+#REF!+#REF!</f>
        <v>#REF!</v>
      </c>
      <c r="I32" s="5" t="e">
        <f>#REF!+#REF!+#REF!+#REF!+#REF!+#REF!+#REF!+#REF!+#REF!+#REF!+#REF!+#REF!+#REF!+#REF!</f>
        <v>#REF!</v>
      </c>
      <c r="J32" s="5" t="e">
        <f>#REF!+#REF!+#REF!+#REF!+#REF!+#REF!+#REF!+#REF!+#REF!+#REF!+#REF!+#REF!+#REF!+#REF!</f>
        <v>#REF!</v>
      </c>
      <c r="K32" s="5" t="e">
        <f>#REF!+#REF!+#REF!+#REF!+#REF!+#REF!+#REF!+#REF!+#REF!+#REF!+#REF!+#REF!+#REF!+#REF!</f>
        <v>#REF!</v>
      </c>
      <c r="L32" s="5" t="e">
        <f>#REF!+#REF!+#REF!+#REF!+#REF!+#REF!+#REF!+#REF!+#REF!+#REF!+#REF!+#REF!+#REF!+#REF!</f>
        <v>#REF!</v>
      </c>
      <c r="M32" s="5" t="e">
        <f>#REF!+#REF!+#REF!+#REF!+#REF!+#REF!+#REF!+#REF!+#REF!+#REF!+#REF!+#REF!+#REF!+#REF!</f>
        <v>#REF!</v>
      </c>
      <c r="N32" s="5" t="e">
        <f>#REF!+#REF!+#REF!+#REF!+#REF!+#REF!+#REF!+#REF!+#REF!+#REF!+#REF!+#REF!+#REF!+#REF!</f>
        <v>#REF!</v>
      </c>
      <c r="O32" s="5" t="e">
        <f>#REF!+#REF!+#REF!+#REF!+#REF!+#REF!+#REF!+#REF!+#REF!+#REF!+#REF!+#REF!+#REF!+#REF!</f>
        <v>#REF!</v>
      </c>
      <c r="P32" s="5" t="e">
        <f>#REF!+#REF!+#REF!+#REF!+#REF!+#REF!+#REF!+#REF!+#REF!+#REF!+#REF!+#REF!+#REF!+#REF!</f>
        <v>#REF!</v>
      </c>
      <c r="Q32" s="5" t="e">
        <f>#REF!+#REF!+#REF!+#REF!+#REF!+#REF!+#REF!+#REF!+#REF!+#REF!+#REF!+#REF!+#REF!+#REF!</f>
        <v>#REF!</v>
      </c>
      <c r="R32" s="5" t="e">
        <f>#REF!+#REF!+#REF!+#REF!+#REF!+#REF!+#REF!+#REF!+#REF!+#REF!+#REF!+#REF!+#REF!+#REF!</f>
        <v>#REF!</v>
      </c>
      <c r="V32" s="2"/>
      <c r="W32" s="2"/>
      <c r="X32" s="2"/>
      <c r="Y32" s="2"/>
      <c r="Z32" s="2"/>
      <c r="AA32" s="2"/>
      <c r="AB32" s="2"/>
    </row>
    <row r="33" spans="1:28" x14ac:dyDescent="0.35">
      <c r="A33" s="1" t="s">
        <v>47</v>
      </c>
      <c r="B33" s="1" t="str">
        <f>VLOOKUP(A33,[30]LISTADHERENT!A$5:H$60,3,0)</f>
        <v>SIMO FONGANG ERIC</v>
      </c>
      <c r="C33" s="5" t="e">
        <f>#REF!+#REF!+#REF!+#REF!+#REF!+#REF!+#REF!+#REF!+#REF!+#REF!+#REF!+#REF!+#REF!+#REF!</f>
        <v>#REF!</v>
      </c>
      <c r="D33" s="5" t="e">
        <f>#REF!+#REF!+#REF!+#REF!+#REF!+#REF!+#REF!+#REF!+#REF!+#REF!+#REF!+#REF!+#REF!+#REF!</f>
        <v>#REF!</v>
      </c>
      <c r="E33" s="5" t="e">
        <f>#REF!+#REF!+#REF!+#REF!+#REF!+#REF!+#REF!+#REF!+#REF!+#REF!+#REF!+#REF!+#REF!+#REF!</f>
        <v>#REF!</v>
      </c>
      <c r="F33" s="5" t="e">
        <f>#REF!+#REF!+#REF!+#REF!+#REF!+#REF!+#REF!+#REF!+#REF!+#REF!+#REF!+#REF!+#REF!+#REF!</f>
        <v>#REF!</v>
      </c>
      <c r="G33" s="5" t="e">
        <f>#REF!+#REF!+#REF!+#REF!+#REF!+#REF!+#REF!+#REF!+#REF!+#REF!+#REF!+#REF!+#REF!+#REF!</f>
        <v>#REF!</v>
      </c>
      <c r="H33" s="5" t="e">
        <f>#REF!+#REF!+#REF!+#REF!+#REF!+#REF!+#REF!+#REF!+#REF!+#REF!+#REF!+#REF!+#REF!+#REF!</f>
        <v>#REF!</v>
      </c>
      <c r="I33" s="5" t="e">
        <f>#REF!+#REF!+#REF!+#REF!+#REF!+#REF!+#REF!+#REF!+#REF!+#REF!+#REF!+#REF!+#REF!+#REF!</f>
        <v>#REF!</v>
      </c>
      <c r="J33" s="5" t="e">
        <f>#REF!+#REF!+#REF!+#REF!+#REF!+#REF!+#REF!+#REF!+#REF!+#REF!+#REF!+#REF!+#REF!+#REF!</f>
        <v>#REF!</v>
      </c>
      <c r="K33" s="5" t="e">
        <f>#REF!+#REF!+#REF!+#REF!+#REF!+#REF!+#REF!+#REF!+#REF!+#REF!+#REF!+#REF!+#REF!+#REF!</f>
        <v>#REF!</v>
      </c>
      <c r="L33" s="5" t="e">
        <f>#REF!+#REF!+#REF!+#REF!+#REF!+#REF!+#REF!+#REF!+#REF!+#REF!+#REF!+#REF!+#REF!+#REF!</f>
        <v>#REF!</v>
      </c>
      <c r="M33" s="5" t="e">
        <f>#REF!+#REF!+#REF!+#REF!+#REF!+#REF!+#REF!+#REF!+#REF!+#REF!+#REF!+#REF!+#REF!+#REF!</f>
        <v>#REF!</v>
      </c>
      <c r="N33" s="5" t="e">
        <f>#REF!+#REF!+#REF!+#REF!+#REF!+#REF!+#REF!+#REF!+#REF!+#REF!+#REF!+#REF!+#REF!+#REF!</f>
        <v>#REF!</v>
      </c>
      <c r="O33" s="5" t="e">
        <f>#REF!+#REF!+#REF!+#REF!+#REF!+#REF!+#REF!+#REF!+#REF!+#REF!+#REF!+#REF!+#REF!+#REF!</f>
        <v>#REF!</v>
      </c>
      <c r="P33" s="5" t="e">
        <f>#REF!+#REF!+#REF!+#REF!+#REF!+#REF!+#REF!+#REF!+#REF!+#REF!+#REF!+#REF!+#REF!+#REF!</f>
        <v>#REF!</v>
      </c>
      <c r="Q33" s="5" t="e">
        <f>#REF!+#REF!+#REF!+#REF!+#REF!+#REF!+#REF!+#REF!+#REF!+#REF!+#REF!+#REF!+#REF!+#REF!</f>
        <v>#REF!</v>
      </c>
      <c r="R33" s="5" t="e">
        <f>#REF!+#REF!+#REF!+#REF!+#REF!+#REF!+#REF!+#REF!+#REF!+#REF!+#REF!+#REF!+#REF!+#REF!</f>
        <v>#REF!</v>
      </c>
      <c r="S33" s="5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35">
      <c r="A34" s="1" t="s">
        <v>48</v>
      </c>
      <c r="B34" s="1" t="str">
        <f>VLOOKUP(A34,[30]LISTADHERENT!A$5:H$60,3,0)</f>
        <v>SIME MATHIEU</v>
      </c>
      <c r="C34" s="5" t="e">
        <f>#REF!+#REF!+#REF!+#REF!+#REF!+#REF!+#REF!+#REF!+#REF!+#REF!+#REF!+#REF!+#REF!+#REF!</f>
        <v>#REF!</v>
      </c>
      <c r="D34" s="5" t="e">
        <f>#REF!+#REF!+#REF!+#REF!+#REF!+#REF!+#REF!+#REF!+#REF!+#REF!+#REF!+#REF!+#REF!+#REF!</f>
        <v>#REF!</v>
      </c>
      <c r="E34" s="5" t="e">
        <f>#REF!+#REF!+#REF!+#REF!+#REF!+#REF!+#REF!+#REF!+#REF!+#REF!+#REF!+#REF!+#REF!+#REF!</f>
        <v>#REF!</v>
      </c>
      <c r="F34" s="5" t="e">
        <f>#REF!+#REF!+#REF!+#REF!+#REF!+#REF!+#REF!+#REF!+#REF!+#REF!+#REF!+#REF!+#REF!+#REF!</f>
        <v>#REF!</v>
      </c>
      <c r="G34" s="5" t="e">
        <f>#REF!+#REF!+#REF!+#REF!+#REF!+#REF!+#REF!+#REF!+#REF!+#REF!+#REF!+#REF!+#REF!+#REF!</f>
        <v>#REF!</v>
      </c>
      <c r="H34" s="5" t="e">
        <f>#REF!+#REF!+#REF!+#REF!+#REF!+#REF!+#REF!+#REF!+#REF!+#REF!+#REF!+#REF!+#REF!+#REF!</f>
        <v>#REF!</v>
      </c>
      <c r="I34" s="5" t="e">
        <f>#REF!+#REF!+#REF!+#REF!+#REF!+#REF!+#REF!+#REF!+#REF!+#REF!+#REF!+#REF!+#REF!+#REF!</f>
        <v>#REF!</v>
      </c>
      <c r="J34" s="5" t="e">
        <f>#REF!+#REF!+#REF!+#REF!+#REF!+#REF!+#REF!+#REF!+#REF!+#REF!+#REF!+#REF!+#REF!+#REF!</f>
        <v>#REF!</v>
      </c>
      <c r="K34" s="5" t="e">
        <f>#REF!+#REF!+#REF!+#REF!+#REF!+#REF!+#REF!+#REF!+#REF!+#REF!+#REF!+#REF!+#REF!+#REF!</f>
        <v>#REF!</v>
      </c>
      <c r="L34" s="5" t="e">
        <f>#REF!+#REF!+#REF!+#REF!+#REF!+#REF!+#REF!+#REF!+#REF!+#REF!+#REF!+#REF!+#REF!+#REF!</f>
        <v>#REF!</v>
      </c>
      <c r="M34" s="5" t="e">
        <f>#REF!+#REF!+#REF!+#REF!+#REF!+#REF!+#REF!+#REF!+#REF!+#REF!+#REF!+#REF!+#REF!+#REF!</f>
        <v>#REF!</v>
      </c>
      <c r="N34" s="5" t="e">
        <f>#REF!+#REF!+#REF!+#REF!+#REF!+#REF!+#REF!+#REF!+#REF!+#REF!+#REF!+#REF!+#REF!+#REF!</f>
        <v>#REF!</v>
      </c>
      <c r="O34" s="5" t="e">
        <f>#REF!+#REF!+#REF!+#REF!+#REF!+#REF!+#REF!+#REF!+#REF!+#REF!+#REF!+#REF!+#REF!+#REF!</f>
        <v>#REF!</v>
      </c>
      <c r="P34" s="5" t="e">
        <f>#REF!+#REF!+#REF!+#REF!+#REF!+#REF!+#REF!+#REF!+#REF!+#REF!+#REF!+#REF!+#REF!+#REF!</f>
        <v>#REF!</v>
      </c>
      <c r="Q34" s="5" t="e">
        <f>#REF!+#REF!+#REF!+#REF!+#REF!+#REF!+#REF!+#REF!+#REF!+#REF!+#REF!+#REF!+#REF!+#REF!</f>
        <v>#REF!</v>
      </c>
      <c r="R34" s="5" t="e">
        <f>#REF!+#REF!+#REF!+#REF!+#REF!+#REF!+#REF!+#REF!+#REF!+#REF!+#REF!+#REF!+#REF!+#REF!</f>
        <v>#REF!</v>
      </c>
      <c r="S34" s="5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35">
      <c r="A35" s="1" t="s">
        <v>49</v>
      </c>
      <c r="B35" s="1" t="str">
        <f>VLOOKUP(A35,[30]LISTADHERENT!A$5:H$60,3,0)</f>
        <v>SIMO PIERRE</v>
      </c>
      <c r="C35" s="5" t="e">
        <f>#REF!+#REF!+#REF!+#REF!+#REF!+#REF!+#REF!+#REF!+#REF!+#REF!+#REF!+#REF!+#REF!+#REF!</f>
        <v>#REF!</v>
      </c>
      <c r="D35" s="5" t="e">
        <f>#REF!+#REF!+#REF!+#REF!+#REF!+#REF!+#REF!+#REF!+#REF!+#REF!+#REF!+#REF!+#REF!+#REF!</f>
        <v>#REF!</v>
      </c>
      <c r="E35" s="5" t="e">
        <f>#REF!+#REF!+#REF!+#REF!+#REF!+#REF!+#REF!+#REF!+#REF!+#REF!+#REF!+#REF!+#REF!+#REF!</f>
        <v>#REF!</v>
      </c>
      <c r="F35" s="5" t="e">
        <f>#REF!+#REF!+#REF!+#REF!+#REF!+#REF!+#REF!+#REF!+#REF!+#REF!+#REF!+#REF!+#REF!+#REF!</f>
        <v>#REF!</v>
      </c>
      <c r="G35" s="5" t="e">
        <f>#REF!+#REF!+#REF!+#REF!+#REF!+#REF!+#REF!+#REF!+#REF!+#REF!+#REF!+#REF!+#REF!+#REF!</f>
        <v>#REF!</v>
      </c>
      <c r="H35" s="5" t="e">
        <f>#REF!+#REF!+#REF!+#REF!+#REF!+#REF!+#REF!+#REF!+#REF!+#REF!+#REF!+#REF!+#REF!+#REF!</f>
        <v>#REF!</v>
      </c>
      <c r="I35" s="5" t="e">
        <f>#REF!+#REF!+#REF!+#REF!+#REF!+#REF!+#REF!+#REF!+#REF!+#REF!+#REF!+#REF!+#REF!+#REF!</f>
        <v>#REF!</v>
      </c>
      <c r="J35" s="5" t="e">
        <f>#REF!+#REF!+#REF!+#REF!+#REF!+#REF!+#REF!+#REF!+#REF!+#REF!+#REF!+#REF!+#REF!+#REF!</f>
        <v>#REF!</v>
      </c>
      <c r="K35" s="5" t="e">
        <f>#REF!+#REF!+#REF!+#REF!+#REF!+#REF!+#REF!+#REF!+#REF!+#REF!+#REF!+#REF!+#REF!+#REF!</f>
        <v>#REF!</v>
      </c>
      <c r="L35" s="5" t="e">
        <f>#REF!+#REF!+#REF!+#REF!+#REF!+#REF!+#REF!+#REF!+#REF!+#REF!+#REF!+#REF!+#REF!+#REF!</f>
        <v>#REF!</v>
      </c>
      <c r="M35" s="5" t="e">
        <f>#REF!+#REF!+#REF!+#REF!+#REF!+#REF!+#REF!+#REF!+#REF!+#REF!+#REF!+#REF!+#REF!+#REF!</f>
        <v>#REF!</v>
      </c>
      <c r="N35" s="5" t="e">
        <f>#REF!+#REF!+#REF!+#REF!+#REF!+#REF!+#REF!+#REF!+#REF!+#REF!+#REF!+#REF!+#REF!+#REF!</f>
        <v>#REF!</v>
      </c>
      <c r="O35" s="5" t="e">
        <f>#REF!+#REF!+#REF!+#REF!+#REF!+#REF!+#REF!+#REF!+#REF!+#REF!+#REF!+#REF!+#REF!+#REF!</f>
        <v>#REF!</v>
      </c>
      <c r="P35" s="5" t="e">
        <f>#REF!+#REF!+#REF!+#REF!+#REF!+#REF!+#REF!+#REF!+#REF!+#REF!+#REF!+#REF!+#REF!+#REF!</f>
        <v>#REF!</v>
      </c>
      <c r="Q35" s="5" t="e">
        <f>#REF!+#REF!+#REF!+#REF!+#REF!+#REF!+#REF!+#REF!+#REF!+#REF!+#REF!+#REF!+#REF!+#REF!</f>
        <v>#REF!</v>
      </c>
      <c r="R35" s="5" t="e">
        <f>#REF!+#REF!+#REF!+#REF!+#REF!+#REF!+#REF!+#REF!+#REF!+#REF!+#REF!+#REF!+#REF!+#REF!</f>
        <v>#REF!</v>
      </c>
      <c r="S35" s="5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35">
      <c r="A36" s="1" t="s">
        <v>51</v>
      </c>
      <c r="B36" s="1" t="str">
        <f>VLOOKUP(A36,[30]LISTADHERENT!A$5:H$60,3,0)</f>
        <v>TCHOUAMOU MATHIEU</v>
      </c>
      <c r="C36" s="5" t="e">
        <f>#REF!+#REF!+#REF!+#REF!+#REF!+#REF!+#REF!+#REF!+#REF!+#REF!+#REF!+#REF!+#REF!+#REF!</f>
        <v>#REF!</v>
      </c>
      <c r="D36" s="5" t="e">
        <f>#REF!+#REF!+#REF!+#REF!+#REF!+#REF!+#REF!+#REF!+#REF!+#REF!+#REF!+#REF!+#REF!+#REF!</f>
        <v>#REF!</v>
      </c>
      <c r="E36" s="5" t="e">
        <f>#REF!+#REF!+#REF!+#REF!+#REF!+#REF!+#REF!+#REF!+#REF!+#REF!+#REF!+#REF!+#REF!+#REF!</f>
        <v>#REF!</v>
      </c>
      <c r="F36" s="5" t="e">
        <f>#REF!+#REF!+#REF!+#REF!+#REF!+#REF!+#REF!+#REF!+#REF!+#REF!+#REF!+#REF!+#REF!+#REF!</f>
        <v>#REF!</v>
      </c>
      <c r="G36" s="5" t="e">
        <f>#REF!+#REF!+#REF!+#REF!+#REF!+#REF!+#REF!+#REF!+#REF!+#REF!+#REF!+#REF!+#REF!+#REF!</f>
        <v>#REF!</v>
      </c>
      <c r="H36" s="5" t="e">
        <f>#REF!+#REF!+#REF!+#REF!+#REF!+#REF!+#REF!+#REF!+#REF!+#REF!+#REF!+#REF!+#REF!+#REF!</f>
        <v>#REF!</v>
      </c>
      <c r="I36" s="5" t="e">
        <f>#REF!+#REF!+#REF!+#REF!+#REF!+#REF!+#REF!+#REF!+#REF!+#REF!+#REF!+#REF!+#REF!+#REF!</f>
        <v>#REF!</v>
      </c>
      <c r="J36" s="5" t="e">
        <f>#REF!+#REF!+#REF!+#REF!+#REF!+#REF!+#REF!+#REF!+#REF!+#REF!+#REF!+#REF!+#REF!+#REF!</f>
        <v>#REF!</v>
      </c>
      <c r="K36" s="5" t="e">
        <f>#REF!+#REF!+#REF!+#REF!+#REF!+#REF!+#REF!+#REF!+#REF!+#REF!+#REF!+#REF!+#REF!+#REF!</f>
        <v>#REF!</v>
      </c>
      <c r="L36" s="5" t="e">
        <f>#REF!+#REF!+#REF!+#REF!+#REF!+#REF!+#REF!+#REF!+#REF!+#REF!+#REF!+#REF!+#REF!+#REF!</f>
        <v>#REF!</v>
      </c>
      <c r="M36" s="5" t="e">
        <f>#REF!+#REF!+#REF!+#REF!+#REF!+#REF!+#REF!+#REF!+#REF!+#REF!+#REF!+#REF!+#REF!+#REF!</f>
        <v>#REF!</v>
      </c>
      <c r="N36" s="5" t="e">
        <f>#REF!+#REF!+#REF!+#REF!+#REF!+#REF!+#REF!+#REF!+#REF!+#REF!+#REF!+#REF!+#REF!+#REF!</f>
        <v>#REF!</v>
      </c>
      <c r="O36" s="5" t="e">
        <f>#REF!+#REF!+#REF!+#REF!+#REF!+#REF!+#REF!+#REF!+#REF!+#REF!+#REF!+#REF!+#REF!+#REF!</f>
        <v>#REF!</v>
      </c>
      <c r="P36" s="5" t="e">
        <f>#REF!+#REF!+#REF!+#REF!+#REF!+#REF!+#REF!+#REF!+#REF!+#REF!+#REF!+#REF!+#REF!+#REF!</f>
        <v>#REF!</v>
      </c>
      <c r="Q36" s="5" t="e">
        <f>#REF!+#REF!+#REF!+#REF!+#REF!+#REF!+#REF!+#REF!+#REF!+#REF!+#REF!+#REF!+#REF!+#REF!</f>
        <v>#REF!</v>
      </c>
      <c r="R36" s="5" t="e">
        <f>#REF!+#REF!+#REF!+#REF!+#REF!+#REF!+#REF!+#REF!+#REF!+#REF!+#REF!+#REF!+#REF!+#REF!</f>
        <v>#REF!</v>
      </c>
      <c r="S36" s="5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35">
      <c r="A37" s="1" t="s">
        <v>54</v>
      </c>
      <c r="B37" s="1" t="str">
        <f>VLOOKUP(A37,[30]LISTADHERENT!A$5:H$60,3,0)</f>
        <v>TIEYAM ERNEST</v>
      </c>
      <c r="C37" s="5" t="e">
        <f>#REF!+#REF!+#REF!+#REF!+#REF!+#REF!+#REF!+#REF!+#REF!+#REF!+#REF!+#REF!+#REF!+#REF!</f>
        <v>#REF!</v>
      </c>
      <c r="D37" s="5" t="e">
        <f>#REF!+#REF!+#REF!+#REF!+#REF!+#REF!+#REF!+#REF!+#REF!+#REF!+#REF!+#REF!+#REF!+#REF!</f>
        <v>#REF!</v>
      </c>
      <c r="E37" s="5" t="e">
        <f>#REF!+#REF!+#REF!+#REF!+#REF!+#REF!+#REF!+#REF!+#REF!+#REF!+#REF!+#REF!+#REF!+#REF!</f>
        <v>#REF!</v>
      </c>
      <c r="F37" s="5" t="e">
        <f>#REF!+#REF!+#REF!+#REF!+#REF!+#REF!+#REF!+#REF!+#REF!+#REF!+#REF!+#REF!+#REF!+#REF!</f>
        <v>#REF!</v>
      </c>
      <c r="G37" s="5" t="e">
        <f>#REF!+#REF!+#REF!+#REF!+#REF!+#REF!+#REF!+#REF!+#REF!+#REF!+#REF!+#REF!+#REF!+#REF!</f>
        <v>#REF!</v>
      </c>
      <c r="H37" s="5" t="e">
        <f>#REF!+#REF!+#REF!+#REF!+#REF!+#REF!+#REF!+#REF!+#REF!+#REF!+#REF!+#REF!+#REF!+#REF!</f>
        <v>#REF!</v>
      </c>
      <c r="I37" s="5" t="e">
        <f>#REF!+#REF!+#REF!+#REF!+#REF!+#REF!+#REF!+#REF!+#REF!+#REF!+#REF!+#REF!+#REF!+#REF!</f>
        <v>#REF!</v>
      </c>
      <c r="J37" s="5" t="e">
        <f>#REF!+#REF!+#REF!+#REF!+#REF!+#REF!+#REF!+#REF!+#REF!+#REF!+#REF!+#REF!+#REF!+#REF!</f>
        <v>#REF!</v>
      </c>
      <c r="K37" s="5" t="e">
        <f>#REF!+#REF!+#REF!+#REF!+#REF!+#REF!+#REF!+#REF!+#REF!+#REF!+#REF!+#REF!+#REF!+#REF!</f>
        <v>#REF!</v>
      </c>
      <c r="L37" s="5" t="e">
        <f>#REF!+#REF!+#REF!+#REF!+#REF!+#REF!+#REF!+#REF!+#REF!+#REF!+#REF!+#REF!+#REF!+#REF!</f>
        <v>#REF!</v>
      </c>
      <c r="M37" s="5" t="e">
        <f>#REF!+#REF!+#REF!+#REF!+#REF!+#REF!+#REF!+#REF!+#REF!+#REF!+#REF!+#REF!+#REF!+#REF!</f>
        <v>#REF!</v>
      </c>
      <c r="N37" s="5" t="e">
        <f>#REF!+#REF!+#REF!+#REF!+#REF!+#REF!+#REF!+#REF!+#REF!+#REF!+#REF!+#REF!+#REF!+#REF!</f>
        <v>#REF!</v>
      </c>
      <c r="O37" s="5" t="e">
        <f>#REF!+#REF!+#REF!+#REF!+#REF!+#REF!+#REF!+#REF!+#REF!+#REF!+#REF!+#REF!+#REF!+#REF!</f>
        <v>#REF!</v>
      </c>
      <c r="P37" s="5" t="e">
        <f>#REF!+#REF!+#REF!+#REF!+#REF!+#REF!+#REF!+#REF!+#REF!+#REF!+#REF!+#REF!+#REF!+#REF!</f>
        <v>#REF!</v>
      </c>
      <c r="Q37" s="5" t="e">
        <f>#REF!+#REF!+#REF!+#REF!+#REF!+#REF!+#REF!+#REF!+#REF!+#REF!+#REF!+#REF!+#REF!+#REF!</f>
        <v>#REF!</v>
      </c>
      <c r="R37" s="5" t="e">
        <f>#REF!+#REF!+#REF!+#REF!+#REF!+#REF!+#REF!+#REF!+#REF!+#REF!+#REF!+#REF!+#REF!+#REF!</f>
        <v>#REF!</v>
      </c>
      <c r="S37" s="5"/>
      <c r="T37" s="2"/>
      <c r="U37" s="2"/>
    </row>
    <row r="38" spans="1:28" x14ac:dyDescent="0.35">
      <c r="A38" s="1" t="s">
        <v>55</v>
      </c>
      <c r="B38" s="1" t="str">
        <f>VLOOKUP(A38,[30]LISTADHERENT!A$5:H$60,3,0)</f>
        <v>YEPMOU JEAN JACQUES</v>
      </c>
      <c r="C38" s="5" t="e">
        <f>#REF!+#REF!+#REF!+#REF!+#REF!+#REF!+#REF!+#REF!+#REF!+#REF!+#REF!+#REF!+#REF!+#REF!</f>
        <v>#REF!</v>
      </c>
      <c r="D38" s="5" t="e">
        <f>#REF!+#REF!+#REF!+#REF!+#REF!+#REF!+#REF!+#REF!+#REF!+#REF!+#REF!+#REF!+#REF!+#REF!</f>
        <v>#REF!</v>
      </c>
      <c r="E38" s="5" t="e">
        <f>#REF!+#REF!+#REF!+#REF!+#REF!+#REF!+#REF!+#REF!+#REF!+#REF!+#REF!+#REF!+#REF!+#REF!</f>
        <v>#REF!</v>
      </c>
      <c r="F38" s="5" t="e">
        <f>#REF!+#REF!+#REF!+#REF!+#REF!+#REF!+#REF!+#REF!+#REF!+#REF!+#REF!+#REF!+#REF!+#REF!</f>
        <v>#REF!</v>
      </c>
      <c r="G38" s="5" t="e">
        <f>#REF!+#REF!+#REF!+#REF!+#REF!+#REF!+#REF!+#REF!+#REF!+#REF!+#REF!+#REF!+#REF!+#REF!</f>
        <v>#REF!</v>
      </c>
      <c r="H38" s="5" t="e">
        <f>#REF!+#REF!+#REF!+#REF!+#REF!+#REF!+#REF!+#REF!+#REF!+#REF!+#REF!+#REF!+#REF!+#REF!</f>
        <v>#REF!</v>
      </c>
      <c r="I38" s="5" t="e">
        <f>#REF!+#REF!+#REF!+#REF!+#REF!+#REF!+#REF!+#REF!+#REF!+#REF!+#REF!+#REF!+#REF!+#REF!</f>
        <v>#REF!</v>
      </c>
      <c r="J38" s="5" t="e">
        <f>#REF!+#REF!+#REF!+#REF!+#REF!+#REF!+#REF!+#REF!+#REF!+#REF!+#REF!+#REF!+#REF!+#REF!</f>
        <v>#REF!</v>
      </c>
      <c r="K38" s="5" t="e">
        <f>#REF!+#REF!+#REF!+#REF!+#REF!+#REF!+#REF!+#REF!+#REF!+#REF!+#REF!+#REF!+#REF!+#REF!</f>
        <v>#REF!</v>
      </c>
      <c r="L38" s="5" t="e">
        <f>#REF!+#REF!+#REF!+#REF!+#REF!+#REF!+#REF!+#REF!+#REF!+#REF!+#REF!+#REF!+#REF!+#REF!</f>
        <v>#REF!</v>
      </c>
      <c r="M38" s="5" t="e">
        <f>#REF!+#REF!+#REF!+#REF!+#REF!+#REF!+#REF!+#REF!+#REF!+#REF!+#REF!+#REF!+#REF!+#REF!</f>
        <v>#REF!</v>
      </c>
      <c r="N38" s="5" t="e">
        <f>#REF!+#REF!+#REF!+#REF!+#REF!+#REF!+#REF!+#REF!+#REF!+#REF!+#REF!+#REF!+#REF!+#REF!</f>
        <v>#REF!</v>
      </c>
      <c r="O38" s="5" t="e">
        <f>#REF!+#REF!+#REF!+#REF!+#REF!+#REF!+#REF!+#REF!+#REF!+#REF!+#REF!+#REF!+#REF!+#REF!</f>
        <v>#REF!</v>
      </c>
      <c r="P38" s="5" t="e">
        <f>#REF!+#REF!+#REF!+#REF!+#REF!+#REF!+#REF!+#REF!+#REF!+#REF!+#REF!+#REF!+#REF!+#REF!</f>
        <v>#REF!</v>
      </c>
      <c r="Q38" s="5" t="e">
        <f>#REF!+#REF!+#REF!+#REF!+#REF!+#REF!+#REF!+#REF!+#REF!+#REF!+#REF!+#REF!+#REF!+#REF!</f>
        <v>#REF!</v>
      </c>
      <c r="R38" s="5" t="e">
        <f>#REF!+#REF!+#REF!+#REF!+#REF!+#REF!+#REF!+#REF!+#REF!+#REF!+#REF!+#REF!+#REF!+#REF!</f>
        <v>#REF!</v>
      </c>
      <c r="S38" s="5"/>
      <c r="T38" s="2"/>
      <c r="U38" s="2"/>
    </row>
    <row r="39" spans="1:28" x14ac:dyDescent="0.35">
      <c r="A39" s="1" t="s">
        <v>56</v>
      </c>
      <c r="B39" s="1" t="str">
        <f>VLOOKUP(A39,[30]LISTADHERENT!A$5:H$60,3,0)</f>
        <v>YOUMBI EMMANUEL</v>
      </c>
      <c r="C39" s="5" t="e">
        <f>#REF!+#REF!+#REF!+#REF!+#REF!+#REF!+#REF!+#REF!+#REF!+#REF!+#REF!+#REF!+#REF!+#REF!</f>
        <v>#REF!</v>
      </c>
      <c r="D39" s="5" t="e">
        <f>#REF!+#REF!+#REF!+#REF!+#REF!+#REF!+#REF!+#REF!+#REF!+#REF!+#REF!+#REF!+#REF!+#REF!</f>
        <v>#REF!</v>
      </c>
      <c r="E39" s="5" t="e">
        <f>#REF!+#REF!+#REF!+#REF!+#REF!+#REF!+#REF!+#REF!+#REF!+#REF!+#REF!+#REF!+#REF!+#REF!</f>
        <v>#REF!</v>
      </c>
      <c r="F39" s="5" t="e">
        <f>#REF!+#REF!+#REF!+#REF!+#REF!+#REF!+#REF!+#REF!+#REF!+#REF!+#REF!+#REF!+#REF!+#REF!</f>
        <v>#REF!</v>
      </c>
      <c r="G39" s="5" t="e">
        <f>#REF!+#REF!+#REF!+#REF!+#REF!+#REF!+#REF!+#REF!+#REF!+#REF!+#REF!+#REF!+#REF!+#REF!</f>
        <v>#REF!</v>
      </c>
      <c r="H39" s="5" t="e">
        <f>#REF!+#REF!+#REF!+#REF!+#REF!+#REF!+#REF!+#REF!+#REF!+#REF!+#REF!+#REF!+#REF!+#REF!</f>
        <v>#REF!</v>
      </c>
      <c r="I39" s="5" t="e">
        <f>#REF!+#REF!+#REF!+#REF!+#REF!+#REF!+#REF!+#REF!+#REF!+#REF!+#REF!+#REF!+#REF!+#REF!</f>
        <v>#REF!</v>
      </c>
      <c r="J39" s="5" t="e">
        <f>#REF!+#REF!+#REF!+#REF!+#REF!+#REF!+#REF!+#REF!+#REF!+#REF!+#REF!+#REF!+#REF!+#REF!</f>
        <v>#REF!</v>
      </c>
      <c r="K39" s="5" t="e">
        <f>#REF!+#REF!+#REF!+#REF!+#REF!+#REF!+#REF!+#REF!+#REF!+#REF!+#REF!+#REF!+#REF!+#REF!</f>
        <v>#REF!</v>
      </c>
      <c r="L39" s="5" t="e">
        <f>#REF!+#REF!+#REF!+#REF!+#REF!+#REF!+#REF!+#REF!+#REF!+#REF!+#REF!+#REF!+#REF!+#REF!</f>
        <v>#REF!</v>
      </c>
      <c r="M39" s="5" t="e">
        <f>#REF!+#REF!+#REF!+#REF!+#REF!+#REF!+#REF!+#REF!+#REF!+#REF!+#REF!+#REF!+#REF!+#REF!</f>
        <v>#REF!</v>
      </c>
      <c r="N39" s="5" t="e">
        <f>#REF!+#REF!+#REF!+#REF!+#REF!+#REF!+#REF!+#REF!+#REF!+#REF!+#REF!+#REF!+#REF!+#REF!</f>
        <v>#REF!</v>
      </c>
      <c r="O39" s="5" t="e">
        <f>#REF!+#REF!+#REF!+#REF!+#REF!+#REF!+#REF!+#REF!+#REF!+#REF!+#REF!+#REF!+#REF!+#REF!</f>
        <v>#REF!</v>
      </c>
      <c r="P39" s="5" t="e">
        <f>#REF!+#REF!+#REF!+#REF!+#REF!+#REF!+#REF!+#REF!+#REF!+#REF!+#REF!+#REF!+#REF!+#REF!</f>
        <v>#REF!</v>
      </c>
      <c r="Q39" s="5" t="e">
        <f>#REF!+#REF!+#REF!+#REF!+#REF!+#REF!+#REF!+#REF!+#REF!+#REF!+#REF!+#REF!+#REF!+#REF!</f>
        <v>#REF!</v>
      </c>
      <c r="R39" s="5" t="e">
        <f>#REF!+#REF!+#REF!+#REF!+#REF!+#REF!+#REF!+#REF!+#REF!+#REF!+#REF!+#REF!+#REF!+#REF!</f>
        <v>#REF!</v>
      </c>
      <c r="S39" s="5"/>
      <c r="T39" s="2"/>
      <c r="U39" s="2"/>
    </row>
    <row r="40" spans="1:28" x14ac:dyDescent="0.35">
      <c r="A40" s="15"/>
      <c r="B40" s="1"/>
      <c r="C40" s="5"/>
      <c r="D40" s="5"/>
      <c r="E40" s="6"/>
      <c r="F40" s="6"/>
      <c r="G40" s="6"/>
      <c r="H40" s="6"/>
      <c r="I40" s="6"/>
      <c r="J40" s="6"/>
      <c r="K40" s="6"/>
      <c r="N40" s="6"/>
      <c r="O40" s="6"/>
      <c r="P40" s="6"/>
      <c r="Q40" s="2"/>
    </row>
    <row r="41" spans="1:28" x14ac:dyDescent="0.35">
      <c r="A41" s="15"/>
      <c r="B41" s="1"/>
      <c r="C41" s="5"/>
      <c r="D41" s="5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  <c r="Q41" s="2"/>
    </row>
    <row r="42" spans="1:28" x14ac:dyDescent="0.35">
      <c r="A42" s="15"/>
      <c r="B42" s="1"/>
      <c r="C42" s="5"/>
      <c r="D42" s="5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  <c r="Q42" s="2"/>
    </row>
    <row r="43" spans="1:28" x14ac:dyDescent="0.35">
      <c r="A43" s="1"/>
      <c r="B43" s="1"/>
      <c r="C43" s="1"/>
      <c r="D43" s="1"/>
      <c r="E43" s="1"/>
    </row>
    <row r="44" spans="1:28" ht="17.5" x14ac:dyDescent="0.35">
      <c r="A44" s="1" t="s">
        <v>57</v>
      </c>
      <c r="B44" s="1"/>
      <c r="C44" s="9" t="e">
        <f t="shared" ref="C44:L44" si="0">SUM(C6:C40)</f>
        <v>#REF!</v>
      </c>
      <c r="D44" s="9" t="e">
        <f t="shared" si="0"/>
        <v>#REF!</v>
      </c>
      <c r="E44" s="9" t="e">
        <f t="shared" si="0"/>
        <v>#REF!</v>
      </c>
      <c r="F44" s="9" t="e">
        <f t="shared" si="0"/>
        <v>#REF!</v>
      </c>
      <c r="G44" s="9" t="e">
        <f t="shared" si="0"/>
        <v>#REF!</v>
      </c>
      <c r="H44" s="9" t="e">
        <f t="shared" si="0"/>
        <v>#REF!</v>
      </c>
      <c r="I44" s="9" t="e">
        <f t="shared" si="0"/>
        <v>#REF!</v>
      </c>
      <c r="J44" s="9" t="e">
        <f t="shared" si="0"/>
        <v>#REF!</v>
      </c>
      <c r="K44" s="9" t="e">
        <f t="shared" si="0"/>
        <v>#REF!</v>
      </c>
      <c r="L44" s="9" t="e">
        <f t="shared" si="0"/>
        <v>#REF!</v>
      </c>
      <c r="M44" s="9" t="e">
        <f>SUM(M6:M38)</f>
        <v>#REF!</v>
      </c>
      <c r="N44" s="9" t="e">
        <f>SUM(N6:N40)</f>
        <v>#REF!</v>
      </c>
      <c r="O44" s="9"/>
      <c r="P44" s="9" t="e">
        <f>SUM(P6:P40)</f>
        <v>#REF!</v>
      </c>
      <c r="Q44" s="9" t="e">
        <f>SUM(Q6:Q37)</f>
        <v>#REF!</v>
      </c>
      <c r="R44" s="9" t="e">
        <f>SUM(R6:R37)</f>
        <v>#REF!</v>
      </c>
    </row>
  </sheetData>
  <autoFilter ref="A5:P39" xr:uid="{00000000-0009-0000-0000-000029000000}">
    <sortState ref="A5:L48">
      <sortCondition ref="B5:B48"/>
    </sortState>
  </autoFilter>
  <mergeCells count="1"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Q20"/>
  <sheetViews>
    <sheetView workbookViewId="0">
      <pane xSplit="1" ySplit="4" topLeftCell="AF8" activePane="bottomRight" state="frozen"/>
      <selection pane="topRight" activeCell="B1" sqref="B1"/>
      <selection pane="bottomLeft" activeCell="A5" sqref="A5"/>
      <selection pane="bottomRight" activeCell="AQ17" sqref="AQ17"/>
    </sheetView>
  </sheetViews>
  <sheetFormatPr baseColWidth="10" defaultRowHeight="14.5" x14ac:dyDescent="0.35"/>
  <cols>
    <col min="2" max="2" width="12.453125" bestFit="1" customWidth="1"/>
    <col min="3" max="3" width="11.54296875" bestFit="1" customWidth="1"/>
    <col min="4" max="4" width="12.453125" bestFit="1" customWidth="1"/>
    <col min="5" max="5" width="11.54296875" bestFit="1" customWidth="1"/>
    <col min="6" max="6" width="14.7265625" bestFit="1" customWidth="1"/>
    <col min="7" max="7" width="14.453125" bestFit="1" customWidth="1"/>
    <col min="8" max="10" width="12.453125" bestFit="1" customWidth="1"/>
    <col min="12" max="12" width="13.26953125" bestFit="1" customWidth="1"/>
    <col min="13" max="16" width="12.453125" bestFit="1" customWidth="1"/>
    <col min="19" max="19" width="12.453125" bestFit="1" customWidth="1"/>
    <col min="20" max="20" width="13.81640625" bestFit="1" customWidth="1"/>
    <col min="21" max="21" width="12.453125" bestFit="1" customWidth="1"/>
    <col min="22" max="22" width="13.81640625" bestFit="1" customWidth="1"/>
    <col min="24" max="24" width="13.26953125" bestFit="1" customWidth="1"/>
    <col min="25" max="28" width="12.453125" bestFit="1" customWidth="1"/>
    <col min="30" max="30" width="13.26953125" bestFit="1" customWidth="1"/>
    <col min="31" max="31" width="12.453125" bestFit="1" customWidth="1"/>
    <col min="32" max="32" width="13.81640625" bestFit="1" customWidth="1"/>
    <col min="33" max="33" width="12.453125" bestFit="1" customWidth="1"/>
    <col min="34" max="34" width="13.81640625" bestFit="1" customWidth="1"/>
    <col min="36" max="36" width="13.26953125" bestFit="1" customWidth="1"/>
    <col min="37" max="37" width="12.453125" bestFit="1" customWidth="1"/>
    <col min="38" max="40" width="13.81640625" bestFit="1" customWidth="1"/>
    <col min="42" max="42" width="15.54296875" customWidth="1"/>
    <col min="43" max="43" width="13.81640625" bestFit="1" customWidth="1"/>
  </cols>
  <sheetData>
    <row r="1" spans="1:43" ht="15" thickBot="1" x14ac:dyDescent="0.4"/>
    <row r="2" spans="1:43" ht="15" thickTop="1" x14ac:dyDescent="0.35">
      <c r="A2" s="74"/>
      <c r="B2" s="205" t="s">
        <v>187</v>
      </c>
      <c r="C2" s="205"/>
      <c r="D2" s="205"/>
      <c r="E2" s="205"/>
      <c r="F2" s="205"/>
      <c r="G2" s="206"/>
      <c r="H2" s="205" t="s">
        <v>188</v>
      </c>
      <c r="I2" s="205"/>
      <c r="J2" s="205"/>
      <c r="K2" s="205"/>
      <c r="L2" s="205"/>
      <c r="M2" s="206"/>
      <c r="N2" s="205" t="s">
        <v>131</v>
      </c>
      <c r="O2" s="205"/>
      <c r="P2" s="205"/>
      <c r="Q2" s="205"/>
      <c r="R2" s="205"/>
      <c r="S2" s="206"/>
      <c r="T2" s="205" t="s">
        <v>189</v>
      </c>
      <c r="U2" s="205"/>
      <c r="V2" s="205"/>
      <c r="W2" s="205"/>
      <c r="X2" s="205"/>
      <c r="Y2" s="206"/>
      <c r="Z2" s="205" t="s">
        <v>139</v>
      </c>
      <c r="AA2" s="205"/>
      <c r="AB2" s="205"/>
      <c r="AC2" s="205"/>
      <c r="AD2" s="205"/>
      <c r="AE2" s="206"/>
      <c r="AF2" s="205" t="s">
        <v>190</v>
      </c>
      <c r="AG2" s="205"/>
      <c r="AH2" s="205"/>
      <c r="AI2" s="205"/>
      <c r="AJ2" s="205"/>
      <c r="AK2" s="206"/>
      <c r="AL2" s="205" t="s">
        <v>191</v>
      </c>
      <c r="AM2" s="205"/>
      <c r="AN2" s="205"/>
      <c r="AO2" s="205"/>
      <c r="AP2" s="205"/>
      <c r="AQ2" s="206"/>
    </row>
    <row r="3" spans="1:43" x14ac:dyDescent="0.35">
      <c r="A3" s="75"/>
      <c r="B3" s="203" t="s">
        <v>192</v>
      </c>
      <c r="C3" s="203"/>
      <c r="D3" s="203" t="s">
        <v>193</v>
      </c>
      <c r="E3" s="203"/>
      <c r="F3" s="203" t="s">
        <v>194</v>
      </c>
      <c r="G3" s="204"/>
      <c r="H3" s="203" t="s">
        <v>192</v>
      </c>
      <c r="I3" s="203"/>
      <c r="J3" s="203" t="s">
        <v>193</v>
      </c>
      <c r="K3" s="203"/>
      <c r="L3" s="203" t="s">
        <v>194</v>
      </c>
      <c r="M3" s="204"/>
      <c r="N3" s="203" t="s">
        <v>192</v>
      </c>
      <c r="O3" s="203"/>
      <c r="P3" s="203" t="s">
        <v>193</v>
      </c>
      <c r="Q3" s="203"/>
      <c r="R3" s="203" t="s">
        <v>194</v>
      </c>
      <c r="S3" s="204"/>
      <c r="T3" s="203" t="s">
        <v>192</v>
      </c>
      <c r="U3" s="203"/>
      <c r="V3" s="203" t="s">
        <v>193</v>
      </c>
      <c r="W3" s="203"/>
      <c r="X3" s="203" t="s">
        <v>194</v>
      </c>
      <c r="Y3" s="204"/>
      <c r="Z3" s="203" t="s">
        <v>192</v>
      </c>
      <c r="AA3" s="203"/>
      <c r="AB3" s="203" t="s">
        <v>193</v>
      </c>
      <c r="AC3" s="203"/>
      <c r="AD3" s="203" t="s">
        <v>194</v>
      </c>
      <c r="AE3" s="204"/>
      <c r="AF3" s="203" t="s">
        <v>192</v>
      </c>
      <c r="AG3" s="203"/>
      <c r="AH3" s="203" t="s">
        <v>193</v>
      </c>
      <c r="AI3" s="203"/>
      <c r="AJ3" s="203" t="s">
        <v>194</v>
      </c>
      <c r="AK3" s="204"/>
      <c r="AL3" s="203" t="s">
        <v>192</v>
      </c>
      <c r="AM3" s="203"/>
      <c r="AN3" s="203" t="s">
        <v>193</v>
      </c>
      <c r="AO3" s="203"/>
      <c r="AP3" s="203" t="s">
        <v>194</v>
      </c>
      <c r="AQ3" s="204"/>
    </row>
    <row r="4" spans="1:43" x14ac:dyDescent="0.35">
      <c r="A4" s="75" t="s">
        <v>195</v>
      </c>
      <c r="B4" s="76" t="s">
        <v>22</v>
      </c>
      <c r="C4" s="76" t="s">
        <v>20</v>
      </c>
      <c r="D4" s="76" t="s">
        <v>22</v>
      </c>
      <c r="E4" s="76" t="s">
        <v>20</v>
      </c>
      <c r="F4" s="76" t="s">
        <v>22</v>
      </c>
      <c r="G4" s="77" t="s">
        <v>20</v>
      </c>
      <c r="H4" s="76" t="s">
        <v>22</v>
      </c>
      <c r="I4" s="76" t="s">
        <v>20</v>
      </c>
      <c r="J4" s="76" t="s">
        <v>22</v>
      </c>
      <c r="K4" s="76" t="s">
        <v>20</v>
      </c>
      <c r="L4" s="76" t="s">
        <v>22</v>
      </c>
      <c r="M4" s="77" t="s">
        <v>20</v>
      </c>
      <c r="N4" s="76" t="s">
        <v>22</v>
      </c>
      <c r="O4" s="76" t="s">
        <v>20</v>
      </c>
      <c r="P4" s="76" t="s">
        <v>22</v>
      </c>
      <c r="Q4" s="76" t="s">
        <v>20</v>
      </c>
      <c r="R4" s="76" t="s">
        <v>22</v>
      </c>
      <c r="S4" s="77" t="s">
        <v>20</v>
      </c>
      <c r="T4" s="76" t="s">
        <v>22</v>
      </c>
      <c r="U4" s="76" t="s">
        <v>20</v>
      </c>
      <c r="V4" s="76" t="s">
        <v>22</v>
      </c>
      <c r="W4" s="76" t="s">
        <v>20</v>
      </c>
      <c r="X4" s="76" t="s">
        <v>22</v>
      </c>
      <c r="Y4" s="77" t="s">
        <v>20</v>
      </c>
      <c r="Z4" s="76" t="s">
        <v>22</v>
      </c>
      <c r="AA4" s="76" t="s">
        <v>20</v>
      </c>
      <c r="AB4" s="76" t="s">
        <v>22</v>
      </c>
      <c r="AC4" s="76" t="s">
        <v>20</v>
      </c>
      <c r="AD4" s="76" t="s">
        <v>22</v>
      </c>
      <c r="AE4" s="77" t="s">
        <v>20</v>
      </c>
      <c r="AF4" s="76" t="s">
        <v>22</v>
      </c>
      <c r="AG4" s="76" t="s">
        <v>20</v>
      </c>
      <c r="AH4" s="76" t="s">
        <v>22</v>
      </c>
      <c r="AI4" s="76" t="s">
        <v>20</v>
      </c>
      <c r="AJ4" s="76" t="s">
        <v>22</v>
      </c>
      <c r="AK4" s="77" t="s">
        <v>20</v>
      </c>
      <c r="AL4" s="76" t="s">
        <v>22</v>
      </c>
      <c r="AM4" s="76" t="s">
        <v>20</v>
      </c>
      <c r="AN4" s="76" t="s">
        <v>22</v>
      </c>
      <c r="AO4" s="76" t="s">
        <v>20</v>
      </c>
      <c r="AP4" s="76" t="s">
        <v>22</v>
      </c>
      <c r="AQ4" s="77" t="s">
        <v>20</v>
      </c>
    </row>
    <row r="5" spans="1:43" ht="18.5" x14ac:dyDescent="0.45">
      <c r="A5" s="78" t="s">
        <v>208</v>
      </c>
      <c r="B5" s="50"/>
      <c r="C5" s="50"/>
      <c r="D5" s="50"/>
      <c r="E5" s="50"/>
      <c r="F5" s="50"/>
      <c r="G5" s="51"/>
      <c r="H5" s="50"/>
      <c r="I5" s="50"/>
      <c r="J5" s="50"/>
      <c r="K5" s="50"/>
      <c r="L5" s="50"/>
      <c r="M5" s="51"/>
      <c r="N5" s="50"/>
      <c r="O5" s="50"/>
      <c r="P5" s="50"/>
      <c r="Q5" s="50"/>
      <c r="R5" s="50"/>
      <c r="S5" s="51"/>
      <c r="T5" s="50"/>
      <c r="U5" s="50"/>
      <c r="V5" s="50"/>
      <c r="W5" s="50"/>
      <c r="X5" s="50"/>
      <c r="Y5" s="51"/>
      <c r="Z5" s="50"/>
      <c r="AA5" s="50"/>
      <c r="AB5" s="50"/>
      <c r="AC5" s="50"/>
      <c r="AD5" s="50"/>
      <c r="AE5" s="51"/>
      <c r="AF5" s="50"/>
      <c r="AG5" s="50"/>
      <c r="AH5" s="50"/>
      <c r="AI5" s="50"/>
      <c r="AJ5" s="50"/>
      <c r="AK5" s="51"/>
      <c r="AL5" s="50"/>
      <c r="AM5" s="50"/>
      <c r="AN5" s="50"/>
      <c r="AO5" s="50"/>
      <c r="AP5" s="26">
        <v>0</v>
      </c>
      <c r="AQ5" s="82">
        <v>0</v>
      </c>
    </row>
    <row r="6" spans="1:43" ht="18.5" x14ac:dyDescent="0.45">
      <c r="A6" s="78" t="s">
        <v>196</v>
      </c>
      <c r="B6" s="26">
        <f>[32]TONTJANV!$E$60</f>
        <v>180000</v>
      </c>
      <c r="C6" s="26">
        <f>[32]TONTJANV!$E$59</f>
        <v>90000</v>
      </c>
      <c r="D6" s="26">
        <f>[32]TONTJANV!$K$60</f>
        <v>113500</v>
      </c>
      <c r="E6" s="26">
        <f>[32]TONTJANV!$K$59</f>
        <v>0</v>
      </c>
      <c r="F6" s="26">
        <f>B6-D6</f>
        <v>66500</v>
      </c>
      <c r="G6" s="79">
        <f>C6-E6</f>
        <v>90000</v>
      </c>
      <c r="H6" s="26">
        <f>[33]TONTJANV!$E$49</f>
        <v>380000</v>
      </c>
      <c r="I6" s="26">
        <f>[33]TONTJANV!$E$48</f>
        <v>180000</v>
      </c>
      <c r="J6" s="26">
        <f>[33]TONTJANV!$K$49</f>
        <v>225000</v>
      </c>
      <c r="K6" s="26">
        <f>[33]TONTJANV!$K$48</f>
        <v>0</v>
      </c>
      <c r="L6" s="26">
        <f>H6-J6</f>
        <v>155000</v>
      </c>
      <c r="M6" s="79">
        <f>I6-K6</f>
        <v>180000</v>
      </c>
      <c r="N6" s="26">
        <f>[34]TONTJANV!$E$38</f>
        <v>360000</v>
      </c>
      <c r="O6" s="26">
        <f>[34]TONTJANV!$E$37</f>
        <v>120000</v>
      </c>
      <c r="P6" s="26">
        <f>[34]TONTJANV!$K$38</f>
        <v>345000</v>
      </c>
      <c r="Q6" s="26">
        <f>[34]TONTJANV!$K$37</f>
        <v>0</v>
      </c>
      <c r="R6" s="26">
        <f>N6-P6</f>
        <v>15000</v>
      </c>
      <c r="S6" s="79">
        <f>O6-Q6</f>
        <v>120000</v>
      </c>
      <c r="T6" s="26">
        <f>[35]TONTJANV!$E$44</f>
        <v>950000</v>
      </c>
      <c r="U6" s="26">
        <f>[35]TONTJANV!$E$43</f>
        <v>300000</v>
      </c>
      <c r="V6" s="26">
        <f>[35]TONTJANV!$K$44</f>
        <v>557500</v>
      </c>
      <c r="W6" s="26">
        <f>[35]TONTJANV!$K$43</f>
        <v>0</v>
      </c>
      <c r="X6" s="26">
        <f>T6-V6</f>
        <v>392500</v>
      </c>
      <c r="Y6" s="79">
        <f>U6-W6</f>
        <v>300000</v>
      </c>
      <c r="Z6" s="26">
        <f>[36]TONTJANV!$E$32</f>
        <v>1100000</v>
      </c>
      <c r="AA6" s="26">
        <f>[36]TONTJANV!$E$31</f>
        <v>200000</v>
      </c>
      <c r="AB6" s="26">
        <f>[36]TONTJANV!$K$32</f>
        <v>1110000</v>
      </c>
      <c r="AC6" s="26">
        <f>[36]TONTJANV!$K$31</f>
        <v>0</v>
      </c>
      <c r="AD6" s="26">
        <f>Z6-AB6</f>
        <v>-10000</v>
      </c>
      <c r="AE6" s="79">
        <f>AA6-AC6</f>
        <v>200000</v>
      </c>
      <c r="AF6" s="26">
        <f>[37]TONTJANV!$E$35</f>
        <v>1950000</v>
      </c>
      <c r="AG6" s="26">
        <f>[37]TONTJANV!$E$34</f>
        <v>600000</v>
      </c>
      <c r="AH6" s="26">
        <f>[37]TONTJANV!$K$35</f>
        <v>1685000</v>
      </c>
      <c r="AI6" s="26">
        <f>[37]TONTJANV!$K$34</f>
        <v>0</v>
      </c>
      <c r="AJ6" s="26">
        <f>AF6-AH6</f>
        <v>265000</v>
      </c>
      <c r="AK6" s="79">
        <f>AG6-AI6</f>
        <v>600000</v>
      </c>
      <c r="AL6" s="26">
        <f>B6+H6+N6+T6+Z6+AF6</f>
        <v>4920000</v>
      </c>
      <c r="AM6" s="26">
        <f t="shared" ref="AM6:AO17" si="0">C6+I6+O6+U6+AA6+AG6</f>
        <v>1490000</v>
      </c>
      <c r="AN6" s="26">
        <f t="shared" si="0"/>
        <v>4036000</v>
      </c>
      <c r="AO6" s="26">
        <f t="shared" si="0"/>
        <v>0</v>
      </c>
      <c r="AP6" s="26">
        <f>AP5+AL6-AN6</f>
        <v>884000</v>
      </c>
      <c r="AQ6" s="79">
        <f>AQ5+AM6-AO6</f>
        <v>1490000</v>
      </c>
    </row>
    <row r="7" spans="1:43" ht="18.5" x14ac:dyDescent="0.45">
      <c r="A7" s="78" t="s">
        <v>197</v>
      </c>
      <c r="B7" s="26">
        <f>[32]TONTFEV!$E$60</f>
        <v>220000</v>
      </c>
      <c r="C7" s="26">
        <f>[32]TONTFEV!$E$59</f>
        <v>60000</v>
      </c>
      <c r="D7" s="26">
        <f>[32]TONTFEV!$K$60</f>
        <v>116000</v>
      </c>
      <c r="E7" s="26">
        <f>[32]TONTFEV!$K$59</f>
        <v>0</v>
      </c>
      <c r="F7" s="26">
        <f t="shared" ref="F7:G17" si="1">B7-D7</f>
        <v>104000</v>
      </c>
      <c r="G7" s="79">
        <f t="shared" si="1"/>
        <v>60000</v>
      </c>
      <c r="H7" s="26">
        <f>[33]TONTFEV!$E$49</f>
        <v>500000</v>
      </c>
      <c r="I7" s="26">
        <f>[33]TONTFEV!$E$48</f>
        <v>80000</v>
      </c>
      <c r="J7" s="26">
        <f>[33]TONTFEV!$K$49</f>
        <v>476000</v>
      </c>
      <c r="K7" s="26">
        <f>[33]TONTFEV!$K$48</f>
        <v>0</v>
      </c>
      <c r="L7" s="26">
        <f t="shared" ref="L7:M17" si="2">H7-J7</f>
        <v>24000</v>
      </c>
      <c r="M7" s="79">
        <f t="shared" si="2"/>
        <v>80000</v>
      </c>
      <c r="N7" s="26">
        <f>[34]TONTFEV!$E$38</f>
        <v>390000</v>
      </c>
      <c r="O7" s="26">
        <f>[34]TONTFEV!$E$37</f>
        <v>90000</v>
      </c>
      <c r="P7" s="26">
        <f>[34]TONTFEV!$K$38</f>
        <v>357000</v>
      </c>
      <c r="Q7" s="26">
        <f>[34]TONTFEV!$K$37</f>
        <v>0</v>
      </c>
      <c r="R7" s="26">
        <f t="shared" ref="R7:S17" si="3">N7-P7</f>
        <v>33000</v>
      </c>
      <c r="S7" s="79">
        <f t="shared" si="3"/>
        <v>90000</v>
      </c>
      <c r="T7" s="26">
        <f>[35]TONTFEV!$E$44</f>
        <v>1100000</v>
      </c>
      <c r="U7" s="26">
        <f>[35]TONTFEV!$E$43</f>
        <v>150000</v>
      </c>
      <c r="V7" s="26">
        <f>[35]TONTFEV!$K$44</f>
        <v>595000</v>
      </c>
      <c r="W7" s="26">
        <f>[35]TONTFEV!$K$43</f>
        <v>0</v>
      </c>
      <c r="X7" s="26">
        <f t="shared" ref="X7:Y17" si="4">T7-V7</f>
        <v>505000</v>
      </c>
      <c r="Y7" s="79">
        <f t="shared" si="4"/>
        <v>150000</v>
      </c>
      <c r="Z7" s="26">
        <f>[33]TONTFEV!$E$49</f>
        <v>500000</v>
      </c>
      <c r="AA7" s="26">
        <f>[33]TONTFEV!$E$48</f>
        <v>80000</v>
      </c>
      <c r="AB7" s="26">
        <f>[33]TONTFEV!$K$49</f>
        <v>476000</v>
      </c>
      <c r="AC7" s="26">
        <f>[33]TONTFEV!$K$48</f>
        <v>0</v>
      </c>
      <c r="AD7" s="26">
        <f t="shared" ref="AD7:AE17" si="5">Z7-AB7</f>
        <v>24000</v>
      </c>
      <c r="AE7" s="79">
        <f t="shared" si="5"/>
        <v>80000</v>
      </c>
      <c r="AF7" s="26">
        <f>[37]TONTFEV!$E$35</f>
        <v>2250000</v>
      </c>
      <c r="AG7" s="26">
        <f>[37]TONTFEV!$E$34</f>
        <v>300000</v>
      </c>
      <c r="AH7" s="26">
        <f>[37]TONTFEV!$K$35</f>
        <v>1685000</v>
      </c>
      <c r="AI7" s="26">
        <f>[37]TONTFEV!$K$34</f>
        <v>0</v>
      </c>
      <c r="AJ7" s="26">
        <f t="shared" ref="AJ7:AK17" si="6">AF7-AH7</f>
        <v>565000</v>
      </c>
      <c r="AK7" s="79">
        <f t="shared" si="6"/>
        <v>300000</v>
      </c>
      <c r="AL7" s="26">
        <f t="shared" ref="AL7:AL17" si="7">B7+H7+N7+T7+Z7+AF7</f>
        <v>4960000</v>
      </c>
      <c r="AM7" s="26">
        <f t="shared" si="0"/>
        <v>760000</v>
      </c>
      <c r="AN7" s="26">
        <f t="shared" si="0"/>
        <v>3705000</v>
      </c>
      <c r="AO7" s="26">
        <f t="shared" si="0"/>
        <v>0</v>
      </c>
      <c r="AP7" s="26">
        <f t="shared" ref="AP7:AP17" si="8">AP6+AL7-AN7</f>
        <v>2139000</v>
      </c>
      <c r="AQ7" s="79">
        <f t="shared" ref="AQ7:AQ17" si="9">AQ6+AM7-AO7</f>
        <v>2250000</v>
      </c>
    </row>
    <row r="8" spans="1:43" ht="18.5" x14ac:dyDescent="0.45">
      <c r="A8" s="78" t="s">
        <v>198</v>
      </c>
      <c r="B8" s="26">
        <f>[32]TONTMARS!$E$60</f>
        <v>230000</v>
      </c>
      <c r="C8" s="26">
        <f>[32]TONTMARS!$E$59</f>
        <v>40000</v>
      </c>
      <c r="D8" s="26">
        <f>[32]TONTMARS!$K$60</f>
        <v>238000</v>
      </c>
      <c r="E8" s="26">
        <f>[32]TONTMARS!$K$59</f>
        <v>0</v>
      </c>
      <c r="F8" s="26">
        <f t="shared" si="1"/>
        <v>-8000</v>
      </c>
      <c r="G8" s="79">
        <f t="shared" si="1"/>
        <v>40000</v>
      </c>
      <c r="H8" s="26">
        <f>[33]TONTMARS!$E$49</f>
        <v>520000</v>
      </c>
      <c r="I8" s="26">
        <f>[33]TONTMARS!$E$48</f>
        <v>40000</v>
      </c>
      <c r="J8" s="26">
        <f>[33]TONTMARS!$K$49</f>
        <v>714000</v>
      </c>
      <c r="K8" s="26">
        <f>[33]TONTMARS!$K$48</f>
        <v>0</v>
      </c>
      <c r="L8" s="26">
        <f t="shared" si="2"/>
        <v>-194000</v>
      </c>
      <c r="M8" s="79">
        <f t="shared" si="2"/>
        <v>40000</v>
      </c>
      <c r="N8" s="26">
        <f>[34]TONTMARS!$E$38</f>
        <v>420000</v>
      </c>
      <c r="O8" s="26">
        <f>[34]TONTMARS!$E$37</f>
        <v>60000</v>
      </c>
      <c r="P8" s="26">
        <f>[34]TONTMARS!$K$38</f>
        <v>661000</v>
      </c>
      <c r="Q8" s="26">
        <f>[34]TONTMARS!$K$37</f>
        <v>0</v>
      </c>
      <c r="R8" s="26">
        <f t="shared" si="3"/>
        <v>-241000</v>
      </c>
      <c r="S8" s="79">
        <f t="shared" si="3"/>
        <v>60000</v>
      </c>
      <c r="T8" s="26">
        <f>[35]TONTMARS!$E$44</f>
        <v>1200000</v>
      </c>
      <c r="U8" s="26">
        <f>[35]TONTMARS!$E$43</f>
        <v>50000</v>
      </c>
      <c r="V8" s="26">
        <f>[35]TONTMARS!$K$44</f>
        <v>1190000</v>
      </c>
      <c r="W8" s="26">
        <f>[35]TONTMARS!$K$43</f>
        <v>0</v>
      </c>
      <c r="X8" s="26">
        <f t="shared" si="4"/>
        <v>10000</v>
      </c>
      <c r="Y8" s="79">
        <f t="shared" si="4"/>
        <v>50000</v>
      </c>
      <c r="Z8" s="26">
        <f>[33]TONTMARS!$E$49</f>
        <v>520000</v>
      </c>
      <c r="AA8" s="26">
        <f>[33]TONTMARS!$E$48</f>
        <v>40000</v>
      </c>
      <c r="AB8" s="26">
        <f>[33]TONTMARS!$K$49</f>
        <v>714000</v>
      </c>
      <c r="AC8" s="26">
        <f>[33]TONTMARS!$K$48</f>
        <v>0</v>
      </c>
      <c r="AD8" s="26">
        <f t="shared" si="5"/>
        <v>-194000</v>
      </c>
      <c r="AE8" s="79">
        <f t="shared" si="5"/>
        <v>40000</v>
      </c>
      <c r="AF8" s="26">
        <f>[37]TONTMARS!$E$35</f>
        <v>2400000</v>
      </c>
      <c r="AG8" s="26">
        <f>[37]TONTMARS!$E$34</f>
        <v>150000</v>
      </c>
      <c r="AH8" s="26">
        <f>[37]TONTMARS!$K$35</f>
        <v>3565000</v>
      </c>
      <c r="AI8" s="26">
        <f>[37]TONTMARS!$K$34</f>
        <v>0</v>
      </c>
      <c r="AJ8" s="26">
        <f t="shared" si="6"/>
        <v>-1165000</v>
      </c>
      <c r="AK8" s="79">
        <f t="shared" si="6"/>
        <v>150000</v>
      </c>
      <c r="AL8" s="26">
        <f t="shared" si="7"/>
        <v>5290000</v>
      </c>
      <c r="AM8" s="26">
        <f t="shared" si="0"/>
        <v>380000</v>
      </c>
      <c r="AN8" s="26">
        <f t="shared" si="0"/>
        <v>7082000</v>
      </c>
      <c r="AO8" s="26">
        <f t="shared" si="0"/>
        <v>0</v>
      </c>
      <c r="AP8" s="26">
        <f t="shared" si="8"/>
        <v>347000</v>
      </c>
      <c r="AQ8" s="79">
        <f t="shared" si="9"/>
        <v>2630000</v>
      </c>
    </row>
    <row r="9" spans="1:43" ht="18.5" x14ac:dyDescent="0.45">
      <c r="A9" s="78" t="s">
        <v>199</v>
      </c>
      <c r="B9" s="26">
        <f>[32]TONTAVRIL!$E$60</f>
        <v>200000</v>
      </c>
      <c r="C9" s="26">
        <f>[32]TONTAVRIL!$E$59</f>
        <v>70000</v>
      </c>
      <c r="D9" s="26">
        <f>[32]TONTAVRIL!$K$60</f>
        <v>119000</v>
      </c>
      <c r="E9" s="26">
        <f>[32]TONTAVRIL!$K$59</f>
        <v>0</v>
      </c>
      <c r="F9" s="26">
        <f t="shared" si="1"/>
        <v>81000</v>
      </c>
      <c r="G9" s="79">
        <f t="shared" si="1"/>
        <v>70000</v>
      </c>
      <c r="H9" s="26">
        <f>[33]TONTAVRIL!$E$49</f>
        <v>460000</v>
      </c>
      <c r="I9" s="26">
        <f>[33]TONTAVRIL!$E$48</f>
        <v>80000</v>
      </c>
      <c r="J9" s="26">
        <f>[33]TONTAVRIL!$K$49</f>
        <v>238000</v>
      </c>
      <c r="K9" s="26">
        <f>[33]TONTAVRIL!$K$48</f>
        <v>0</v>
      </c>
      <c r="L9" s="26">
        <f t="shared" si="2"/>
        <v>222000</v>
      </c>
      <c r="M9" s="79">
        <f t="shared" si="2"/>
        <v>80000</v>
      </c>
      <c r="N9" s="26">
        <f>[34]TONTAVRIL!$E$38</f>
        <v>420000</v>
      </c>
      <c r="O9" s="26">
        <f>[34]TONTAVRIL!$E$37</f>
        <v>60000</v>
      </c>
      <c r="P9" s="26">
        <f>[34]TONTAVRIL!$K$38</f>
        <v>342000</v>
      </c>
      <c r="Q9" s="26">
        <f>[34]TONTAVRIL!$K$37</f>
        <v>0</v>
      </c>
      <c r="R9" s="26">
        <f t="shared" si="3"/>
        <v>78000</v>
      </c>
      <c r="S9" s="79">
        <f t="shared" si="3"/>
        <v>60000</v>
      </c>
      <c r="T9" s="26">
        <f>[35]TONTAVRIL!$E$44</f>
        <v>1100000</v>
      </c>
      <c r="U9" s="26">
        <f>[35]TONTAVRIL!$E$43</f>
        <v>150000</v>
      </c>
      <c r="V9" s="26">
        <f>[35]TONTAVRIL!$K$44</f>
        <v>595000</v>
      </c>
      <c r="W9" s="26">
        <f>[35]TONTAVRIL!$K$43</f>
        <v>0</v>
      </c>
      <c r="X9" s="26">
        <f t="shared" si="4"/>
        <v>505000</v>
      </c>
      <c r="Y9" s="79">
        <f t="shared" si="4"/>
        <v>150000</v>
      </c>
      <c r="Z9" s="26">
        <f>[33]TONTAVRIL!$E$49</f>
        <v>460000</v>
      </c>
      <c r="AA9" s="26">
        <f>[33]TONTAVRIL!$E$48</f>
        <v>80000</v>
      </c>
      <c r="AB9" s="26">
        <f>[33]TONTAVRIL!$K$49</f>
        <v>238000</v>
      </c>
      <c r="AC9" s="26">
        <f>[33]TONTAVRIL!$K$48</f>
        <v>0</v>
      </c>
      <c r="AD9" s="26">
        <f t="shared" si="5"/>
        <v>222000</v>
      </c>
      <c r="AE9" s="79">
        <f t="shared" si="5"/>
        <v>80000</v>
      </c>
      <c r="AF9" s="26">
        <f>[37]TONTAVRIL!$E$35</f>
        <v>2100000</v>
      </c>
      <c r="AG9" s="26">
        <f>[37]TONTAVRIL!$E$34</f>
        <v>450000</v>
      </c>
      <c r="AH9" s="26">
        <f>[37]TONTAVRIL!$K$35</f>
        <v>1785000</v>
      </c>
      <c r="AI9" s="26">
        <f>[37]TONTAVRIL!$K$34</f>
        <v>0</v>
      </c>
      <c r="AJ9" s="26">
        <f t="shared" si="6"/>
        <v>315000</v>
      </c>
      <c r="AK9" s="79">
        <f t="shared" si="6"/>
        <v>450000</v>
      </c>
      <c r="AL9" s="26">
        <f t="shared" si="7"/>
        <v>4740000</v>
      </c>
      <c r="AM9" s="26">
        <f t="shared" si="0"/>
        <v>890000</v>
      </c>
      <c r="AN9" s="26">
        <f t="shared" si="0"/>
        <v>3317000</v>
      </c>
      <c r="AO9" s="26">
        <f t="shared" si="0"/>
        <v>0</v>
      </c>
      <c r="AP9" s="26">
        <f t="shared" si="8"/>
        <v>1770000</v>
      </c>
      <c r="AQ9" s="79">
        <f t="shared" si="9"/>
        <v>3520000</v>
      </c>
    </row>
    <row r="10" spans="1:43" ht="18.5" x14ac:dyDescent="0.45">
      <c r="A10" s="78" t="s">
        <v>200</v>
      </c>
      <c r="B10" s="26">
        <f>[32]TONTMAI!$E$60</f>
        <v>230000</v>
      </c>
      <c r="C10" s="26">
        <f>[32]TONTMAI!$E$59</f>
        <v>40000</v>
      </c>
      <c r="D10" s="26">
        <f>[32]TONTMAI!$K$60</f>
        <v>238000</v>
      </c>
      <c r="E10" s="26">
        <f>[32]TONTMAI!$K$59</f>
        <v>0</v>
      </c>
      <c r="F10" s="26">
        <f t="shared" si="1"/>
        <v>-8000</v>
      </c>
      <c r="G10" s="79">
        <f t="shared" si="1"/>
        <v>40000</v>
      </c>
      <c r="H10" s="26">
        <f>[33]TONTMAI!$E$49</f>
        <v>500000</v>
      </c>
      <c r="I10" s="26">
        <f>[33]TONTMAI!$E$48</f>
        <v>60000</v>
      </c>
      <c r="J10" s="26">
        <f>[33]TONTMAI!$K$49</f>
        <v>475000</v>
      </c>
      <c r="K10" s="26">
        <f>[33]TONTMAI!$K$48</f>
        <v>0</v>
      </c>
      <c r="L10" s="26">
        <f t="shared" si="2"/>
        <v>25000</v>
      </c>
      <c r="M10" s="79">
        <f t="shared" si="2"/>
        <v>60000</v>
      </c>
      <c r="N10" s="26">
        <f>[34]TONTMAI!$E$38</f>
        <v>360000</v>
      </c>
      <c r="O10" s="26">
        <f>[34]TONTMAI!$E$37</f>
        <v>90000</v>
      </c>
      <c r="P10" s="26">
        <f>[34]TONTMAI!$K$38</f>
        <v>342000</v>
      </c>
      <c r="Q10" s="26">
        <f>[34]TONTMAI!$K$37</f>
        <v>0</v>
      </c>
      <c r="R10" s="26">
        <f t="shared" si="3"/>
        <v>18000</v>
      </c>
      <c r="S10" s="79">
        <f t="shared" si="3"/>
        <v>90000</v>
      </c>
      <c r="T10" s="26">
        <f>[35]TONTMAI!$E$44</f>
        <v>1100000</v>
      </c>
      <c r="U10" s="26">
        <f>[35]TONTMAI!$E$43</f>
        <v>100000</v>
      </c>
      <c r="V10" s="26">
        <f>[35]TONTMAI!$K$44</f>
        <v>0</v>
      </c>
      <c r="W10" s="26">
        <f>[35]TONTMAI!$K$43</f>
        <v>0</v>
      </c>
      <c r="X10" s="26">
        <f t="shared" si="4"/>
        <v>1100000</v>
      </c>
      <c r="Y10" s="79">
        <f t="shared" si="4"/>
        <v>100000</v>
      </c>
      <c r="Z10" s="26">
        <f>[33]TONTMAI!$E$49</f>
        <v>500000</v>
      </c>
      <c r="AA10" s="26">
        <f>[33]TONTMAI!$E$48</f>
        <v>60000</v>
      </c>
      <c r="AB10" s="26">
        <f>[33]TONTMAI!$K$49</f>
        <v>475000</v>
      </c>
      <c r="AC10" s="26">
        <f>[33]TONTMAI!$K$48</f>
        <v>0</v>
      </c>
      <c r="AD10" s="26">
        <f t="shared" si="5"/>
        <v>25000</v>
      </c>
      <c r="AE10" s="79">
        <f t="shared" si="5"/>
        <v>60000</v>
      </c>
      <c r="AF10" s="26">
        <f>[37]TONTMAI!$E$35</f>
        <v>2100000</v>
      </c>
      <c r="AG10" s="26">
        <f>[37]TONTMAI!$E$34</f>
        <v>450000</v>
      </c>
      <c r="AH10" s="26">
        <f>[37]TONTMAI!$K$35</f>
        <v>3570000</v>
      </c>
      <c r="AI10" s="26">
        <f>[37]TONTMAI!$K$34</f>
        <v>0</v>
      </c>
      <c r="AJ10" s="26">
        <f t="shared" si="6"/>
        <v>-1470000</v>
      </c>
      <c r="AK10" s="79">
        <f t="shared" si="6"/>
        <v>450000</v>
      </c>
      <c r="AL10" s="26">
        <f t="shared" si="7"/>
        <v>4790000</v>
      </c>
      <c r="AM10" s="26">
        <f t="shared" si="0"/>
        <v>800000</v>
      </c>
      <c r="AN10" s="26">
        <f t="shared" si="0"/>
        <v>5100000</v>
      </c>
      <c r="AO10" s="26">
        <f t="shared" si="0"/>
        <v>0</v>
      </c>
      <c r="AP10" s="26">
        <f t="shared" si="8"/>
        <v>1460000</v>
      </c>
      <c r="AQ10" s="79">
        <f t="shared" si="9"/>
        <v>4320000</v>
      </c>
    </row>
    <row r="11" spans="1:43" ht="18.5" x14ac:dyDescent="0.45">
      <c r="A11" s="78" t="s">
        <v>201</v>
      </c>
      <c r="B11" s="26">
        <f>[32]TONTJUIN!$E$60</f>
        <v>220000</v>
      </c>
      <c r="C11" s="26">
        <f>[32]TONTJUIN!$E$59</f>
        <v>60000</v>
      </c>
      <c r="D11" s="26">
        <f>[32]TONTJUIN!$K$60</f>
        <v>0</v>
      </c>
      <c r="E11" s="26">
        <f>[32]TONTJUIN!$K$59</f>
        <v>0</v>
      </c>
      <c r="F11" s="26">
        <f t="shared" si="1"/>
        <v>220000</v>
      </c>
      <c r="G11" s="79">
        <f t="shared" si="1"/>
        <v>60000</v>
      </c>
      <c r="H11" s="26">
        <f>[33]TONTJUIN!$E$49</f>
        <v>420000</v>
      </c>
      <c r="I11" s="26">
        <f>[33]TONTJUIN!$E$48</f>
        <v>120000</v>
      </c>
      <c r="J11" s="26">
        <f>[33]TONTJUIN!$K$49</f>
        <v>476000</v>
      </c>
      <c r="K11" s="26">
        <f>[33]TONTJUIN!$K$48</f>
        <v>0</v>
      </c>
      <c r="L11" s="26">
        <f t="shared" si="2"/>
        <v>-56000</v>
      </c>
      <c r="M11" s="79">
        <f t="shared" si="2"/>
        <v>120000</v>
      </c>
      <c r="N11" s="26">
        <f>[34]TONTJUIN!$E$38</f>
        <v>390000</v>
      </c>
      <c r="O11" s="26">
        <f>[34]TONTJUIN!$E$37</f>
        <v>90000</v>
      </c>
      <c r="P11" s="26">
        <f>[34]TONTJUIN!$K$38</f>
        <v>357000</v>
      </c>
      <c r="Q11" s="26">
        <f>[34]TONTJUIN!$K$37</f>
        <v>0</v>
      </c>
      <c r="R11" s="26">
        <f t="shared" si="3"/>
        <v>33000</v>
      </c>
      <c r="S11" s="79">
        <f t="shared" si="3"/>
        <v>90000</v>
      </c>
      <c r="T11" s="26">
        <f>[35]TONTJUIN!$E$44</f>
        <v>1100000</v>
      </c>
      <c r="U11" s="26">
        <f>[35]TONTJUIN!$E$43</f>
        <v>100000</v>
      </c>
      <c r="V11" s="26">
        <f>[35]TONTJUIN!$K$44</f>
        <v>595000</v>
      </c>
      <c r="W11" s="26">
        <f>[35]TONTJUIN!$K$43</f>
        <v>0</v>
      </c>
      <c r="X11" s="26">
        <f t="shared" si="4"/>
        <v>505000</v>
      </c>
      <c r="Y11" s="79">
        <f t="shared" si="4"/>
        <v>100000</v>
      </c>
      <c r="Z11" s="26">
        <f>[33]TONTJUIN!$E$49</f>
        <v>420000</v>
      </c>
      <c r="AA11" s="26">
        <f>[33]TONTJUIN!$E$48</f>
        <v>120000</v>
      </c>
      <c r="AB11" s="26">
        <f>[33]TONTJUIN!$K$49</f>
        <v>476000</v>
      </c>
      <c r="AC11" s="26">
        <f>[33]TONTJUIN!$K$48</f>
        <v>0</v>
      </c>
      <c r="AD11" s="26">
        <f t="shared" si="5"/>
        <v>-56000</v>
      </c>
      <c r="AE11" s="79">
        <f t="shared" si="5"/>
        <v>120000</v>
      </c>
      <c r="AF11" s="26">
        <f>[37]TONTJUIN!$E$35</f>
        <v>1950000</v>
      </c>
      <c r="AG11" s="26">
        <f>[37]TONTJUIN!$E$34</f>
        <v>600000</v>
      </c>
      <c r="AH11" s="26">
        <f>[37]TONTJUIN!$K$35</f>
        <v>0</v>
      </c>
      <c r="AI11" s="26">
        <f>[37]TONTJUIN!$K$34</f>
        <v>0</v>
      </c>
      <c r="AJ11" s="26">
        <f t="shared" si="6"/>
        <v>1950000</v>
      </c>
      <c r="AK11" s="79">
        <f t="shared" si="6"/>
        <v>600000</v>
      </c>
      <c r="AL11" s="26">
        <f t="shared" si="7"/>
        <v>4500000</v>
      </c>
      <c r="AM11" s="26">
        <f t="shared" si="0"/>
        <v>1090000</v>
      </c>
      <c r="AN11" s="26">
        <f t="shared" si="0"/>
        <v>1904000</v>
      </c>
      <c r="AO11" s="26">
        <f t="shared" si="0"/>
        <v>0</v>
      </c>
      <c r="AP11" s="26">
        <f t="shared" si="8"/>
        <v>4056000</v>
      </c>
      <c r="AQ11" s="79">
        <f t="shared" si="9"/>
        <v>5410000</v>
      </c>
    </row>
    <row r="12" spans="1:43" ht="18.5" x14ac:dyDescent="0.45">
      <c r="A12" s="78" t="s">
        <v>202</v>
      </c>
      <c r="B12" s="26">
        <f>[32]TONTJUIL!$E$60</f>
        <v>190000</v>
      </c>
      <c r="C12" s="26">
        <f>[32]TONTJUIL!$E$59</f>
        <v>80000</v>
      </c>
      <c r="D12" s="26">
        <f>[32]TONTJUIL!$K$60</f>
        <v>238000</v>
      </c>
      <c r="E12" s="26">
        <f>[32]TONTJUIL!$K$59</f>
        <v>0</v>
      </c>
      <c r="F12" s="26">
        <f t="shared" si="1"/>
        <v>-48000</v>
      </c>
      <c r="G12" s="79">
        <f t="shared" si="1"/>
        <v>80000</v>
      </c>
      <c r="H12" s="26">
        <f>[33]TONTJUIL!$E$49</f>
        <v>420000</v>
      </c>
      <c r="I12" s="26">
        <f>[33]TONTJUIL!$E$48</f>
        <v>140000</v>
      </c>
      <c r="J12" s="26">
        <f>[33]TONTJUIL!$K$49</f>
        <v>476000</v>
      </c>
      <c r="K12" s="26">
        <f>[33]TONTJUIL!$K$48</f>
        <v>0</v>
      </c>
      <c r="L12" s="26">
        <f t="shared" si="2"/>
        <v>-56000</v>
      </c>
      <c r="M12" s="79">
        <f t="shared" si="2"/>
        <v>140000</v>
      </c>
      <c r="N12" s="26">
        <f>[34]TONTJUIL!$E$38</f>
        <v>270000</v>
      </c>
      <c r="O12" s="26">
        <f>[34]TONTJUIL!$E$37</f>
        <v>150000</v>
      </c>
      <c r="P12" s="26">
        <f>[34]TONTJUIL!$K$38</f>
        <v>0</v>
      </c>
      <c r="Q12" s="26">
        <f>[34]TONTJUIL!$K$37</f>
        <v>0</v>
      </c>
      <c r="R12" s="26">
        <f t="shared" si="3"/>
        <v>270000</v>
      </c>
      <c r="S12" s="79">
        <f t="shared" si="3"/>
        <v>150000</v>
      </c>
      <c r="T12" s="26">
        <f>[35]TONTJUIL!$E$44</f>
        <v>1050000</v>
      </c>
      <c r="U12" s="26">
        <f>[35]TONTJUIL!$E$43</f>
        <v>150000</v>
      </c>
      <c r="V12" s="26">
        <f>[35]TONTJUIL!$K$44</f>
        <v>1710000</v>
      </c>
      <c r="W12" s="26">
        <f>[35]TONTJUIL!$K$43</f>
        <v>0</v>
      </c>
      <c r="X12" s="26">
        <f t="shared" si="4"/>
        <v>-660000</v>
      </c>
      <c r="Y12" s="79">
        <f t="shared" si="4"/>
        <v>150000</v>
      </c>
      <c r="Z12" s="26">
        <f>[33]TONTJUIL!$E$49</f>
        <v>420000</v>
      </c>
      <c r="AA12" s="26">
        <f>[33]TONTJUIL!$E$48</f>
        <v>140000</v>
      </c>
      <c r="AB12" s="26">
        <f>[33]TONTJUIL!$K$49</f>
        <v>476000</v>
      </c>
      <c r="AC12" s="26">
        <f>[33]TONTJUIL!$K$48</f>
        <v>0</v>
      </c>
      <c r="AD12" s="26">
        <f t="shared" si="5"/>
        <v>-56000</v>
      </c>
      <c r="AE12" s="79">
        <f t="shared" si="5"/>
        <v>140000</v>
      </c>
      <c r="AF12" s="26">
        <f>[37]TONTJUIL!$E$35</f>
        <v>2400000</v>
      </c>
      <c r="AG12" s="26">
        <f>[37]TONTJUIL!$E$34</f>
        <v>150000</v>
      </c>
      <c r="AH12" s="26">
        <f>[37]TONTJUIL!$K$35</f>
        <v>3530000</v>
      </c>
      <c r="AI12" s="26">
        <f>[37]TONTJUIL!$K$34</f>
        <v>0</v>
      </c>
      <c r="AJ12" s="26">
        <f t="shared" si="6"/>
        <v>-1130000</v>
      </c>
      <c r="AK12" s="79">
        <f t="shared" si="6"/>
        <v>150000</v>
      </c>
      <c r="AL12" s="26">
        <f t="shared" si="7"/>
        <v>4750000</v>
      </c>
      <c r="AM12" s="26">
        <f t="shared" si="0"/>
        <v>810000</v>
      </c>
      <c r="AN12" s="26">
        <f t="shared" si="0"/>
        <v>6430000</v>
      </c>
      <c r="AO12" s="26">
        <f t="shared" si="0"/>
        <v>0</v>
      </c>
      <c r="AP12" s="26">
        <f t="shared" si="8"/>
        <v>2376000</v>
      </c>
      <c r="AQ12" s="79">
        <f t="shared" si="9"/>
        <v>6220000</v>
      </c>
    </row>
    <row r="13" spans="1:43" ht="18.5" x14ac:dyDescent="0.45">
      <c r="A13" s="78" t="s">
        <v>203</v>
      </c>
      <c r="B13" s="26">
        <f>[32]TONTAOUT!$E$60</f>
        <v>200000</v>
      </c>
      <c r="C13" s="26">
        <f>[32]TONTAOUT!$E$59</f>
        <v>70000</v>
      </c>
      <c r="D13" s="26">
        <f>[32]TONTAOUT!$K$60</f>
        <v>0</v>
      </c>
      <c r="E13" s="26">
        <f>[32]TONTAOUT!$K$59</f>
        <v>0</v>
      </c>
      <c r="F13" s="26">
        <f t="shared" si="1"/>
        <v>200000</v>
      </c>
      <c r="G13" s="79">
        <f t="shared" si="1"/>
        <v>70000</v>
      </c>
      <c r="H13" s="26">
        <f>[33]TONTAOUT!$E$49</f>
        <v>380000</v>
      </c>
      <c r="I13" s="26">
        <f>[33]TONTAOUT!$E$48</f>
        <v>180000</v>
      </c>
      <c r="J13" s="26">
        <f>[33]TONTAOUT!$K$49</f>
        <v>0</v>
      </c>
      <c r="K13" s="26">
        <f>[33]TONTAOUT!$K$48</f>
        <v>0</v>
      </c>
      <c r="L13" s="26">
        <f t="shared" si="2"/>
        <v>380000</v>
      </c>
      <c r="M13" s="79">
        <f t="shared" si="2"/>
        <v>180000</v>
      </c>
      <c r="N13" s="26">
        <f>[34]TONTAOUT!$E$38</f>
        <v>270000</v>
      </c>
      <c r="O13" s="26">
        <f>[34]TONTAOUT!$E$37</f>
        <v>180000</v>
      </c>
      <c r="P13" s="26">
        <f>[34]TONTAOUT!$K$38</f>
        <v>357000</v>
      </c>
      <c r="Q13" s="26">
        <f>[34]TONTAOUT!$K$37</f>
        <v>0</v>
      </c>
      <c r="R13" s="26">
        <f t="shared" si="3"/>
        <v>-87000</v>
      </c>
      <c r="S13" s="79">
        <f t="shared" si="3"/>
        <v>180000</v>
      </c>
      <c r="T13" s="26">
        <f>[35]TONTAOUT!$E$44</f>
        <v>1050000</v>
      </c>
      <c r="U13" s="26">
        <f>[35]TONTAOUT!$E$43</f>
        <v>150000</v>
      </c>
      <c r="V13" s="26">
        <f>[35]TONTAOUT!$K$44</f>
        <v>0</v>
      </c>
      <c r="W13" s="26">
        <f>[35]TONTAOUT!$K$43</f>
        <v>0</v>
      </c>
      <c r="X13" s="26">
        <f t="shared" si="4"/>
        <v>1050000</v>
      </c>
      <c r="Y13" s="79">
        <f t="shared" si="4"/>
        <v>150000</v>
      </c>
      <c r="Z13" s="26">
        <f>[33]TONTAOUT!$E$49</f>
        <v>380000</v>
      </c>
      <c r="AA13" s="26">
        <f>[33]TONTAOUT!$E$48</f>
        <v>180000</v>
      </c>
      <c r="AB13" s="26">
        <f>[33]TONTAOUT!$K$49</f>
        <v>0</v>
      </c>
      <c r="AC13" s="26">
        <f>[33]TONTAOUT!$K$48</f>
        <v>0</v>
      </c>
      <c r="AD13" s="26">
        <f t="shared" si="5"/>
        <v>380000</v>
      </c>
      <c r="AE13" s="79">
        <f t="shared" si="5"/>
        <v>180000</v>
      </c>
      <c r="AF13" s="26">
        <f>[37]TONTAOUT!$E$35</f>
        <v>2250000</v>
      </c>
      <c r="AG13" s="26">
        <f>[37]TONTAOUT!$E$34</f>
        <v>300000</v>
      </c>
      <c r="AH13" s="26">
        <f>[37]TONTAOUT!$K$35</f>
        <v>1785000</v>
      </c>
      <c r="AI13" s="26">
        <f>[37]TONTAOUT!$K$34</f>
        <v>0</v>
      </c>
      <c r="AJ13" s="26">
        <f t="shared" si="6"/>
        <v>465000</v>
      </c>
      <c r="AK13" s="79">
        <f t="shared" si="6"/>
        <v>300000</v>
      </c>
      <c r="AL13" s="26">
        <f t="shared" si="7"/>
        <v>4530000</v>
      </c>
      <c r="AM13" s="26">
        <f t="shared" si="0"/>
        <v>1060000</v>
      </c>
      <c r="AN13" s="26">
        <f t="shared" si="0"/>
        <v>2142000</v>
      </c>
      <c r="AO13" s="26">
        <f t="shared" si="0"/>
        <v>0</v>
      </c>
      <c r="AP13" s="26">
        <f t="shared" si="8"/>
        <v>4764000</v>
      </c>
      <c r="AQ13" s="79">
        <f t="shared" si="9"/>
        <v>7280000</v>
      </c>
    </row>
    <row r="14" spans="1:43" ht="18.5" x14ac:dyDescent="0.45">
      <c r="A14" s="78" t="s">
        <v>204</v>
      </c>
      <c r="B14" s="26">
        <f>[32]TONTSEPT!$E$60</f>
        <v>170000</v>
      </c>
      <c r="C14" s="26">
        <f>[32]TONTSEPT!$E$59</f>
        <v>80000</v>
      </c>
      <c r="D14" s="26">
        <f>[32]TONTSEPT!$K$60</f>
        <v>0</v>
      </c>
      <c r="E14" s="26">
        <f>[32]TONTSEPT!$K$59</f>
        <v>0</v>
      </c>
      <c r="F14" s="26">
        <f t="shared" si="1"/>
        <v>170000</v>
      </c>
      <c r="G14" s="79">
        <f t="shared" si="1"/>
        <v>80000</v>
      </c>
      <c r="H14" s="26">
        <f>[33]TONTSEPT!$E$49</f>
        <v>380000</v>
      </c>
      <c r="I14" s="26">
        <f>[33]TONTSEPT!$E$48</f>
        <v>140000</v>
      </c>
      <c r="J14" s="26">
        <f>[33]TONTSEPT!$K$49</f>
        <v>238000</v>
      </c>
      <c r="K14" s="26">
        <f>[33]TONTSEPT!$K$48</f>
        <v>0</v>
      </c>
      <c r="L14" s="26">
        <f t="shared" si="2"/>
        <v>142000</v>
      </c>
      <c r="M14" s="79">
        <f t="shared" si="2"/>
        <v>140000</v>
      </c>
      <c r="N14" s="26">
        <f>[34]TONTSEPT!$E$38</f>
        <v>330000</v>
      </c>
      <c r="O14" s="26">
        <f>[34]TONTSEPT!$E$37</f>
        <v>120000</v>
      </c>
      <c r="P14" s="26">
        <f>[34]TONTSEPT!$K$38</f>
        <v>0</v>
      </c>
      <c r="Q14" s="26">
        <f>[34]TONTSEPT!$K$37</f>
        <v>0</v>
      </c>
      <c r="R14" s="26">
        <f t="shared" si="3"/>
        <v>330000</v>
      </c>
      <c r="S14" s="79">
        <f t="shared" si="3"/>
        <v>120000</v>
      </c>
      <c r="T14" s="26">
        <f>[35]TONTSEPT!$E$44</f>
        <v>1000000</v>
      </c>
      <c r="U14" s="26">
        <f>[35]TONTSEPT!$E$43</f>
        <v>250000</v>
      </c>
      <c r="V14" s="26">
        <f>[35]TONTSEPT!$K$44</f>
        <v>595000</v>
      </c>
      <c r="W14" s="26">
        <f>[35]TONTSEPT!$K$43</f>
        <v>0</v>
      </c>
      <c r="X14" s="26">
        <f t="shared" si="4"/>
        <v>405000</v>
      </c>
      <c r="Y14" s="79">
        <f t="shared" si="4"/>
        <v>250000</v>
      </c>
      <c r="Z14" s="26">
        <f>[33]TONTSEPT!$E$49</f>
        <v>380000</v>
      </c>
      <c r="AA14" s="26">
        <f>[33]TONTSEPT!$E$48</f>
        <v>140000</v>
      </c>
      <c r="AB14" s="26">
        <f>[33]TONTSEPT!$K$49</f>
        <v>238000</v>
      </c>
      <c r="AC14" s="26">
        <f>[33]TONTSEPT!$K$48</f>
        <v>0</v>
      </c>
      <c r="AD14" s="26">
        <f t="shared" si="5"/>
        <v>142000</v>
      </c>
      <c r="AE14" s="79">
        <f t="shared" si="5"/>
        <v>140000</v>
      </c>
      <c r="AF14" s="26">
        <f>[37]TONTSEPT!$E$35</f>
        <v>2250000</v>
      </c>
      <c r="AG14" s="26">
        <f>[37]TONTSEPT!$E$34</f>
        <v>300000</v>
      </c>
      <c r="AH14" s="26">
        <f>[37]TONTSEPT!$K$35</f>
        <v>0</v>
      </c>
      <c r="AI14" s="26">
        <f>[37]TONTSEPT!$K$34</f>
        <v>0</v>
      </c>
      <c r="AJ14" s="26">
        <f t="shared" si="6"/>
        <v>2250000</v>
      </c>
      <c r="AK14" s="79">
        <f t="shared" si="6"/>
        <v>300000</v>
      </c>
      <c r="AL14" s="26">
        <f t="shared" si="7"/>
        <v>4510000</v>
      </c>
      <c r="AM14" s="26">
        <f t="shared" si="0"/>
        <v>1030000</v>
      </c>
      <c r="AN14" s="26">
        <f t="shared" si="0"/>
        <v>1071000</v>
      </c>
      <c r="AO14" s="26">
        <f t="shared" si="0"/>
        <v>0</v>
      </c>
      <c r="AP14" s="26">
        <f t="shared" si="8"/>
        <v>8203000</v>
      </c>
      <c r="AQ14" s="79">
        <f t="shared" si="9"/>
        <v>8310000</v>
      </c>
    </row>
    <row r="15" spans="1:43" ht="18.5" x14ac:dyDescent="0.45">
      <c r="A15" s="78" t="s">
        <v>205</v>
      </c>
      <c r="B15" s="26">
        <f>[32]TONTOCT!$E$60</f>
        <v>170000</v>
      </c>
      <c r="C15" s="26">
        <f>[32]TONTOCT!$E$59</f>
        <v>80000</v>
      </c>
      <c r="D15" s="26">
        <f>[32]TONTOCT!$K$60</f>
        <v>0</v>
      </c>
      <c r="E15" s="26">
        <f>[32]TONTOCT!$K$59</f>
        <v>0</v>
      </c>
      <c r="F15" s="26">
        <f t="shared" si="1"/>
        <v>170000</v>
      </c>
      <c r="G15" s="79">
        <f t="shared" si="1"/>
        <v>80000</v>
      </c>
      <c r="H15" s="26">
        <f>[33]TONTOCT!$E$49</f>
        <v>400000</v>
      </c>
      <c r="I15" s="26">
        <f>[33]TONTOCT!$E$48</f>
        <v>140000</v>
      </c>
      <c r="J15" s="26">
        <f>[33]TONTOCT!$K$49</f>
        <v>1428000</v>
      </c>
      <c r="K15" s="26">
        <f>[33]TONTOCT!$K$48</f>
        <v>0</v>
      </c>
      <c r="L15" s="26">
        <f t="shared" si="2"/>
        <v>-1028000</v>
      </c>
      <c r="M15" s="79">
        <f t="shared" si="2"/>
        <v>140000</v>
      </c>
      <c r="N15" s="26">
        <f>[34]TONTOCT!$E$38</f>
        <v>300000</v>
      </c>
      <c r="O15" s="26">
        <f>[34]TONTOCT!$E$37</f>
        <v>120000</v>
      </c>
      <c r="P15" s="26">
        <f>[34]TONTOCT!$K$38</f>
        <v>357000</v>
      </c>
      <c r="Q15" s="26">
        <f>[34]TONTOCT!$K$37</f>
        <v>0</v>
      </c>
      <c r="R15" s="26">
        <f t="shared" si="3"/>
        <v>-57000</v>
      </c>
      <c r="S15" s="79">
        <f t="shared" si="3"/>
        <v>120000</v>
      </c>
      <c r="T15" s="26">
        <f>[35]TONTOCT!$E$44</f>
        <v>1050000</v>
      </c>
      <c r="U15" s="26">
        <f>[35]TONTOCT!$E$43</f>
        <v>200000</v>
      </c>
      <c r="V15" s="26">
        <f>[35]TONTOCT!$K$44</f>
        <v>2380000</v>
      </c>
      <c r="W15" s="26">
        <f>[35]TONTOCT!$K$43</f>
        <v>0</v>
      </c>
      <c r="X15" s="26">
        <f t="shared" si="4"/>
        <v>-1330000</v>
      </c>
      <c r="Y15" s="79">
        <f t="shared" si="4"/>
        <v>200000</v>
      </c>
      <c r="Z15" s="26">
        <f>[33]TONTOCT!$E$49</f>
        <v>400000</v>
      </c>
      <c r="AA15" s="26">
        <f>[33]TONTOCT!$E$48</f>
        <v>140000</v>
      </c>
      <c r="AB15" s="26">
        <f>[33]TONTOCT!$K$49</f>
        <v>1428000</v>
      </c>
      <c r="AC15" s="26">
        <f>[33]TONTOCT!$K$48</f>
        <v>0</v>
      </c>
      <c r="AD15" s="26">
        <f t="shared" si="5"/>
        <v>-1028000</v>
      </c>
      <c r="AE15" s="79">
        <f t="shared" si="5"/>
        <v>140000</v>
      </c>
      <c r="AF15" s="26">
        <f>[37]TONTOCT!$E$35</f>
        <v>2250000</v>
      </c>
      <c r="AG15" s="26">
        <f>[37]TONTOCT!$E$34</f>
        <v>300000</v>
      </c>
      <c r="AH15" s="26">
        <f>[37]TONTOCT!$K$35</f>
        <v>3570000</v>
      </c>
      <c r="AI15" s="26">
        <f>[37]TONTOCT!$K$34</f>
        <v>0</v>
      </c>
      <c r="AJ15" s="26">
        <f t="shared" si="6"/>
        <v>-1320000</v>
      </c>
      <c r="AK15" s="79">
        <f t="shared" si="6"/>
        <v>300000</v>
      </c>
      <c r="AL15" s="26">
        <f t="shared" si="7"/>
        <v>4570000</v>
      </c>
      <c r="AM15" s="26">
        <f t="shared" si="0"/>
        <v>980000</v>
      </c>
      <c r="AN15" s="26">
        <f t="shared" si="0"/>
        <v>9163000</v>
      </c>
      <c r="AO15" s="26">
        <f t="shared" si="0"/>
        <v>0</v>
      </c>
      <c r="AP15" s="26">
        <f t="shared" si="8"/>
        <v>3610000</v>
      </c>
      <c r="AQ15" s="79">
        <f t="shared" si="9"/>
        <v>9290000</v>
      </c>
    </row>
    <row r="16" spans="1:43" ht="18.5" x14ac:dyDescent="0.45">
      <c r="A16" s="78" t="s">
        <v>206</v>
      </c>
      <c r="B16" s="26">
        <f>[32]TONTNOV20!$E$60</f>
        <v>180000</v>
      </c>
      <c r="C16" s="26">
        <f>[32]TONTNOV20!$E$59</f>
        <v>60000</v>
      </c>
      <c r="D16" s="26">
        <f>[32]TONTNOV20!$K$60</f>
        <v>476000</v>
      </c>
      <c r="E16" s="26">
        <f>[32]TONTNOV20!$K$59</f>
        <v>0</v>
      </c>
      <c r="F16" s="26">
        <f t="shared" si="1"/>
        <v>-296000</v>
      </c>
      <c r="G16" s="79">
        <f t="shared" si="1"/>
        <v>60000</v>
      </c>
      <c r="H16" s="26">
        <f>[33]TONTNOV20!$E$49</f>
        <v>360000</v>
      </c>
      <c r="I16" s="26">
        <f>[33]TONTNOV20!$E$48</f>
        <v>160000</v>
      </c>
      <c r="J16" s="26">
        <f>[33]TONTNOV20!$K$49</f>
        <v>237000</v>
      </c>
      <c r="K16" s="26">
        <f>[33]TONTNOV20!$K$48</f>
        <v>0</v>
      </c>
      <c r="L16" s="26">
        <f t="shared" si="2"/>
        <v>123000</v>
      </c>
      <c r="M16" s="79">
        <f t="shared" si="2"/>
        <v>160000</v>
      </c>
      <c r="N16" s="26">
        <f>[34]TONTNOV20!$E$38</f>
        <v>330000</v>
      </c>
      <c r="O16" s="26">
        <f>[34]TONTNOV20!$E$37</f>
        <v>120000</v>
      </c>
      <c r="P16" s="26">
        <f>[34]TONTNOV20!$K$38</f>
        <v>714000</v>
      </c>
      <c r="Q16" s="26">
        <f>[34]TONTNOV20!$K$37</f>
        <v>0</v>
      </c>
      <c r="R16" s="26">
        <f t="shared" si="3"/>
        <v>-384000</v>
      </c>
      <c r="S16" s="79">
        <f t="shared" si="3"/>
        <v>120000</v>
      </c>
      <c r="T16" s="26">
        <f>[35]TONTNOV20!$E$44</f>
        <v>1050000</v>
      </c>
      <c r="U16" s="26">
        <f>[35]TONTNOV20!$E$43</f>
        <v>200000</v>
      </c>
      <c r="V16" s="26">
        <f>[35]TONTNOV20!$K$44</f>
        <v>1780000</v>
      </c>
      <c r="W16" s="26">
        <f>[35]TONTNOV20!$K$43</f>
        <v>0</v>
      </c>
      <c r="X16" s="26">
        <f t="shared" si="4"/>
        <v>-730000</v>
      </c>
      <c r="Y16" s="79">
        <f t="shared" si="4"/>
        <v>200000</v>
      </c>
      <c r="Z16" s="26">
        <f>[33]TONTNOV20!$E$49</f>
        <v>360000</v>
      </c>
      <c r="AA16" s="26">
        <f>[33]TONTNOV20!$E$48</f>
        <v>160000</v>
      </c>
      <c r="AB16" s="26">
        <f>[33]TONTNOV20!$K$49</f>
        <v>237000</v>
      </c>
      <c r="AC16" s="26">
        <f>[33]TONTNOV20!$K$48</f>
        <v>0</v>
      </c>
      <c r="AD16" s="26">
        <f t="shared" si="5"/>
        <v>123000</v>
      </c>
      <c r="AE16" s="79">
        <f t="shared" si="5"/>
        <v>160000</v>
      </c>
      <c r="AF16" s="26">
        <f>[37]TONTNOV20!$E$35</f>
        <v>2400000</v>
      </c>
      <c r="AG16" s="26">
        <f>[37]TONTNOV20!$E$34</f>
        <v>150000</v>
      </c>
      <c r="AH16" s="26">
        <f>[37]TONTNOV20!$K$35</f>
        <v>0</v>
      </c>
      <c r="AI16" s="26">
        <f>[37]TONTNOV20!$K$34</f>
        <v>0</v>
      </c>
      <c r="AJ16" s="26">
        <f t="shared" si="6"/>
        <v>2400000</v>
      </c>
      <c r="AK16" s="79">
        <f t="shared" si="6"/>
        <v>150000</v>
      </c>
      <c r="AL16" s="26">
        <f t="shared" si="7"/>
        <v>4680000</v>
      </c>
      <c r="AM16" s="26">
        <f t="shared" si="0"/>
        <v>850000</v>
      </c>
      <c r="AN16" s="26">
        <f t="shared" si="0"/>
        <v>3444000</v>
      </c>
      <c r="AO16" s="26">
        <f t="shared" si="0"/>
        <v>0</v>
      </c>
      <c r="AP16" s="26">
        <f t="shared" si="8"/>
        <v>4846000</v>
      </c>
      <c r="AQ16" s="79">
        <f t="shared" si="9"/>
        <v>10140000</v>
      </c>
    </row>
    <row r="17" spans="1:43" ht="18.5" x14ac:dyDescent="0.45">
      <c r="A17" s="78" t="s">
        <v>207</v>
      </c>
      <c r="B17" s="26">
        <f>[32]TONTDEC20!$E$60</f>
        <v>160000</v>
      </c>
      <c r="C17" s="26">
        <f>[32]TONTDEC20!$E$59</f>
        <v>60000</v>
      </c>
      <c r="D17" s="26">
        <f>[32]TONTDEC20!$K$60</f>
        <v>714000</v>
      </c>
      <c r="E17" s="26">
        <f>[32]TONTDEC20!$K$59</f>
        <v>0</v>
      </c>
      <c r="F17" s="26">
        <f t="shared" si="1"/>
        <v>-554000</v>
      </c>
      <c r="G17" s="79">
        <f t="shared" si="1"/>
        <v>60000</v>
      </c>
      <c r="H17" s="26">
        <f>[33]TONTDEC20!$E$49</f>
        <v>360000</v>
      </c>
      <c r="I17" s="26">
        <f>[33]TONTDEC20!$E$48</f>
        <v>80000</v>
      </c>
      <c r="J17" s="26">
        <f>[33]TONTDEC20!$K$49</f>
        <v>1426000</v>
      </c>
      <c r="K17" s="26">
        <f>[33]TONTDEC20!$K$48</f>
        <v>0</v>
      </c>
      <c r="L17" s="26">
        <f t="shared" si="2"/>
        <v>-1066000</v>
      </c>
      <c r="M17" s="79">
        <f t="shared" si="2"/>
        <v>80000</v>
      </c>
      <c r="N17" s="26">
        <f>[34]TONTDEC20!$E$38</f>
        <v>300000</v>
      </c>
      <c r="O17" s="26">
        <f>[34]TONTDEC20!$E$37</f>
        <v>60000</v>
      </c>
      <c r="P17" s="26">
        <f>[34]TONTDEC20!$K$38</f>
        <v>1071000</v>
      </c>
      <c r="Q17" s="26">
        <f>[34]TONTDEC20!$K$37</f>
        <v>0</v>
      </c>
      <c r="R17" s="26">
        <f t="shared" si="3"/>
        <v>-771000</v>
      </c>
      <c r="S17" s="79">
        <f t="shared" si="3"/>
        <v>60000</v>
      </c>
      <c r="T17" s="26">
        <f>[35]TONTDEC20!$E$44</f>
        <v>1000000</v>
      </c>
      <c r="U17" s="26">
        <f>[35]TONTDEC20!$E$43</f>
        <v>100000</v>
      </c>
      <c r="V17" s="26">
        <f>[35]TONTDEC20!$K$44</f>
        <v>2975000</v>
      </c>
      <c r="W17" s="26">
        <f>[35]TONTDEC20!$K$43</f>
        <v>0</v>
      </c>
      <c r="X17" s="26">
        <f t="shared" si="4"/>
        <v>-1975000</v>
      </c>
      <c r="Y17" s="79">
        <f t="shared" si="4"/>
        <v>100000</v>
      </c>
      <c r="Z17" s="26">
        <f>[33]TONTDEC20!$E$49</f>
        <v>360000</v>
      </c>
      <c r="AA17" s="26">
        <f>[33]TONTDEC20!$E$48</f>
        <v>80000</v>
      </c>
      <c r="AB17" s="26">
        <f>[33]TONTDEC20!$K$49</f>
        <v>1426000</v>
      </c>
      <c r="AC17" s="26">
        <f>[33]TONTDEC20!$K$48</f>
        <v>0</v>
      </c>
      <c r="AD17" s="26">
        <f t="shared" si="5"/>
        <v>-1066000</v>
      </c>
      <c r="AE17" s="79">
        <f t="shared" si="5"/>
        <v>80000</v>
      </c>
      <c r="AF17" s="26">
        <f>[37]TONTDEC20!$E$35</f>
        <v>1650000</v>
      </c>
      <c r="AG17" s="26">
        <f>[37]TONTDEC20!$E$34</f>
        <v>600000</v>
      </c>
      <c r="AH17" s="26">
        <f>[37]TONTDEC20!$K$35</f>
        <v>5355000</v>
      </c>
      <c r="AI17" s="26">
        <f>[37]TONTDEC20!$K$34</f>
        <v>0</v>
      </c>
      <c r="AJ17" s="26">
        <f t="shared" si="6"/>
        <v>-3705000</v>
      </c>
      <c r="AK17" s="79">
        <f t="shared" si="6"/>
        <v>600000</v>
      </c>
      <c r="AL17" s="26">
        <f t="shared" si="7"/>
        <v>3830000</v>
      </c>
      <c r="AM17" s="26">
        <f t="shared" si="0"/>
        <v>980000</v>
      </c>
      <c r="AN17" s="26">
        <f t="shared" si="0"/>
        <v>12967000</v>
      </c>
      <c r="AO17" s="26">
        <f t="shared" si="0"/>
        <v>0</v>
      </c>
      <c r="AP17" s="26">
        <f t="shared" si="8"/>
        <v>-4291000</v>
      </c>
      <c r="AQ17" s="79">
        <f t="shared" si="9"/>
        <v>11120000</v>
      </c>
    </row>
    <row r="18" spans="1:43" x14ac:dyDescent="0.35">
      <c r="A18" s="78"/>
      <c r="B18" s="50"/>
      <c r="C18" s="50"/>
      <c r="D18" s="50"/>
      <c r="E18" s="50"/>
      <c r="F18" s="50"/>
      <c r="G18" s="51"/>
      <c r="H18" s="50"/>
      <c r="I18" s="50"/>
      <c r="J18" s="50"/>
      <c r="K18" s="50"/>
      <c r="L18" s="50"/>
      <c r="M18" s="51"/>
      <c r="N18" s="50"/>
      <c r="O18" s="50"/>
      <c r="P18" s="50"/>
      <c r="Q18" s="50"/>
      <c r="R18" s="50"/>
      <c r="S18" s="51"/>
      <c r="T18" s="50"/>
      <c r="U18" s="50"/>
      <c r="V18" s="50"/>
      <c r="W18" s="50"/>
      <c r="X18" s="50"/>
      <c r="Y18" s="51"/>
      <c r="Z18" s="50"/>
      <c r="AA18" s="50"/>
      <c r="AB18" s="50"/>
      <c r="AC18" s="50"/>
      <c r="AD18" s="50"/>
      <c r="AE18" s="51"/>
      <c r="AF18" s="50"/>
      <c r="AG18" s="50"/>
      <c r="AH18" s="50"/>
      <c r="AI18" s="50"/>
      <c r="AJ18" s="50"/>
      <c r="AK18" s="51"/>
      <c r="AL18" s="50"/>
      <c r="AM18" s="50"/>
      <c r="AN18" s="50"/>
      <c r="AO18" s="50"/>
      <c r="AP18" s="50"/>
      <c r="AQ18" s="51"/>
    </row>
    <row r="19" spans="1:43" ht="19" thickBot="1" x14ac:dyDescent="0.5">
      <c r="A19" s="80" t="s">
        <v>191</v>
      </c>
      <c r="B19" s="23">
        <f t="shared" ref="B19:AO19" si="10">SUM(B6:B18)</f>
        <v>2350000</v>
      </c>
      <c r="C19" s="23">
        <f t="shared" si="10"/>
        <v>790000</v>
      </c>
      <c r="D19" s="23">
        <f t="shared" si="10"/>
        <v>2252500</v>
      </c>
      <c r="E19" s="23">
        <f t="shared" si="10"/>
        <v>0</v>
      </c>
      <c r="F19" s="23">
        <f t="shared" si="10"/>
        <v>97500</v>
      </c>
      <c r="G19" s="81">
        <f t="shared" si="10"/>
        <v>790000</v>
      </c>
      <c r="H19" s="23">
        <f t="shared" si="10"/>
        <v>5080000</v>
      </c>
      <c r="I19" s="23">
        <f t="shared" si="10"/>
        <v>1400000</v>
      </c>
      <c r="J19" s="23">
        <f t="shared" si="10"/>
        <v>6409000</v>
      </c>
      <c r="K19" s="23">
        <f t="shared" si="10"/>
        <v>0</v>
      </c>
      <c r="L19" s="23">
        <f t="shared" si="10"/>
        <v>-1329000</v>
      </c>
      <c r="M19" s="81">
        <f t="shared" si="10"/>
        <v>1400000</v>
      </c>
      <c r="N19" s="23">
        <f t="shared" si="10"/>
        <v>4140000</v>
      </c>
      <c r="O19" s="23">
        <f t="shared" si="10"/>
        <v>1260000</v>
      </c>
      <c r="P19" s="23">
        <f t="shared" si="10"/>
        <v>4903000</v>
      </c>
      <c r="Q19" s="23">
        <f t="shared" si="10"/>
        <v>0</v>
      </c>
      <c r="R19" s="23">
        <f t="shared" si="10"/>
        <v>-763000</v>
      </c>
      <c r="S19" s="81">
        <f t="shared" si="10"/>
        <v>1260000</v>
      </c>
      <c r="T19" s="23">
        <f t="shared" si="10"/>
        <v>12750000</v>
      </c>
      <c r="U19" s="23">
        <f t="shared" si="10"/>
        <v>1900000</v>
      </c>
      <c r="V19" s="23">
        <f t="shared" si="10"/>
        <v>12972500</v>
      </c>
      <c r="W19" s="23">
        <f t="shared" si="10"/>
        <v>0</v>
      </c>
      <c r="X19" s="23">
        <f t="shared" si="10"/>
        <v>-222500</v>
      </c>
      <c r="Y19" s="81">
        <f t="shared" si="10"/>
        <v>1900000</v>
      </c>
      <c r="Z19" s="23">
        <f t="shared" si="10"/>
        <v>5800000</v>
      </c>
      <c r="AA19" s="23">
        <f t="shared" si="10"/>
        <v>1420000</v>
      </c>
      <c r="AB19" s="23">
        <f t="shared" si="10"/>
        <v>7294000</v>
      </c>
      <c r="AC19" s="23">
        <f t="shared" si="10"/>
        <v>0</v>
      </c>
      <c r="AD19" s="23">
        <f t="shared" si="10"/>
        <v>-1494000</v>
      </c>
      <c r="AE19" s="81">
        <f t="shared" si="10"/>
        <v>1420000</v>
      </c>
      <c r="AF19" s="23">
        <f t="shared" si="10"/>
        <v>25950000</v>
      </c>
      <c r="AG19" s="23">
        <f t="shared" si="10"/>
        <v>4350000</v>
      </c>
      <c r="AH19" s="23">
        <f t="shared" si="10"/>
        <v>26530000</v>
      </c>
      <c r="AI19" s="23">
        <f t="shared" si="10"/>
        <v>0</v>
      </c>
      <c r="AJ19" s="23">
        <f t="shared" si="10"/>
        <v>-580000</v>
      </c>
      <c r="AK19" s="81">
        <f t="shared" si="10"/>
        <v>4350000</v>
      </c>
      <c r="AL19" s="23">
        <f t="shared" si="10"/>
        <v>56070000</v>
      </c>
      <c r="AM19" s="23">
        <f t="shared" si="10"/>
        <v>11120000</v>
      </c>
      <c r="AN19" s="23">
        <f t="shared" si="10"/>
        <v>60361000</v>
      </c>
      <c r="AO19" s="23">
        <f t="shared" si="10"/>
        <v>0</v>
      </c>
      <c r="AP19" s="23"/>
      <c r="AQ19" s="81"/>
    </row>
    <row r="20" spans="1:43" ht="15" thickTop="1" x14ac:dyDescent="0.35"/>
  </sheetData>
  <mergeCells count="28">
    <mergeCell ref="AL2:AQ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2:G2"/>
    <mergeCell ref="H2:M2"/>
    <mergeCell ref="N2:S2"/>
    <mergeCell ref="T2:Y2"/>
    <mergeCell ref="Z2:AE2"/>
    <mergeCell ref="AF2:AK2"/>
    <mergeCell ref="AP3:AQ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H58"/>
  <sheetViews>
    <sheetView workbookViewId="0">
      <pane xSplit="2" ySplit="5" topLeftCell="G6" activePane="bottomRight" state="frozen"/>
      <selection activeCell="C32" sqref="C32"/>
      <selection pane="topRight" activeCell="C32" sqref="C32"/>
      <selection pane="bottomLeft" activeCell="C32" sqref="C32"/>
      <selection pane="bottomRight" activeCell="I5" sqref="I5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26953125" bestFit="1" customWidth="1"/>
    <col min="4" max="4" width="12.81640625" bestFit="1" customWidth="1"/>
    <col min="5" max="5" width="15.26953125" customWidth="1"/>
    <col min="6" max="6" width="23.54296875" style="2" customWidth="1"/>
    <col min="7" max="7" width="16.81640625" customWidth="1"/>
    <col min="8" max="8" width="20.7265625" customWidth="1"/>
    <col min="9" max="9" width="15" bestFit="1" customWidth="1"/>
    <col min="10" max="10" width="17.54296875" style="3" bestFit="1" customWidth="1"/>
    <col min="11" max="11" width="15.7265625" style="2" customWidth="1"/>
    <col min="12" max="14" width="12.453125" style="2" customWidth="1"/>
    <col min="15" max="15" width="15" style="2" bestFit="1" customWidth="1"/>
    <col min="16" max="16" width="16.81640625" style="2" bestFit="1" customWidth="1"/>
    <col min="17" max="17" width="15" bestFit="1" customWidth="1"/>
    <col min="18" max="18" width="15" customWidth="1"/>
    <col min="19" max="19" width="18.1796875" customWidth="1"/>
    <col min="20" max="20" width="12.54296875" bestFit="1" customWidth="1"/>
    <col min="21" max="22" width="18.1796875" customWidth="1"/>
    <col min="26" max="26" width="12.453125" bestFit="1" customWidth="1"/>
  </cols>
  <sheetData>
    <row r="1" spans="1:34" x14ac:dyDescent="0.3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34" x14ac:dyDescent="0.3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34" x14ac:dyDescent="0.35">
      <c r="A3" s="1" t="s">
        <v>3</v>
      </c>
      <c r="B3" s="5">
        <v>30000</v>
      </c>
      <c r="C3" s="5"/>
      <c r="D3" s="5"/>
      <c r="E3" s="1"/>
      <c r="F3" s="5"/>
      <c r="G3" s="1"/>
      <c r="H3" s="1"/>
    </row>
    <row r="4" spans="1:34" ht="26" x14ac:dyDescent="0.6">
      <c r="B4" s="16"/>
      <c r="C4" s="16"/>
      <c r="D4" s="16"/>
      <c r="E4" s="189">
        <v>44185</v>
      </c>
      <c r="F4" s="189"/>
      <c r="G4" s="189"/>
      <c r="H4" s="189"/>
      <c r="I4" s="189"/>
      <c r="J4" s="57"/>
      <c r="K4" s="57"/>
      <c r="L4" s="57"/>
      <c r="M4"/>
      <c r="N4"/>
      <c r="O4"/>
      <c r="P4"/>
    </row>
    <row r="5" spans="1:34" ht="56.5" x14ac:dyDescent="0.35">
      <c r="A5" s="1" t="s">
        <v>4</v>
      </c>
      <c r="B5" s="1" t="s">
        <v>5</v>
      </c>
      <c r="C5" s="1" t="s">
        <v>68</v>
      </c>
      <c r="D5" s="1" t="s">
        <v>69</v>
      </c>
      <c r="E5" s="4" t="s">
        <v>6</v>
      </c>
      <c r="F5" s="4" t="s">
        <v>7</v>
      </c>
      <c r="G5" s="1" t="s">
        <v>8</v>
      </c>
      <c r="H5" s="4" t="s">
        <v>60</v>
      </c>
      <c r="I5" s="1" t="s">
        <v>9</v>
      </c>
      <c r="J5" s="4" t="s">
        <v>10</v>
      </c>
      <c r="K5" s="4" t="s">
        <v>11</v>
      </c>
      <c r="L5" s="4" t="s">
        <v>12</v>
      </c>
      <c r="M5" s="4" t="s">
        <v>72</v>
      </c>
      <c r="N5" s="4" t="s">
        <v>73</v>
      </c>
      <c r="O5" s="4" t="s">
        <v>13</v>
      </c>
      <c r="P5" s="4" t="s">
        <v>61</v>
      </c>
      <c r="Q5" s="4" t="s">
        <v>63</v>
      </c>
      <c r="R5" s="4" t="s">
        <v>83</v>
      </c>
      <c r="S5" s="4" t="s">
        <v>64</v>
      </c>
      <c r="T5" s="4" t="s">
        <v>67</v>
      </c>
      <c r="U5" s="4" t="s">
        <v>209</v>
      </c>
      <c r="V5" s="4" t="s">
        <v>83</v>
      </c>
      <c r="W5" s="4" t="s">
        <v>65</v>
      </c>
      <c r="X5" s="4" t="s">
        <v>14</v>
      </c>
      <c r="Y5" s="4" t="s">
        <v>210</v>
      </c>
      <c r="Z5" s="4" t="s">
        <v>211</v>
      </c>
    </row>
    <row r="6" spans="1:34" x14ac:dyDescent="0.35">
      <c r="A6" s="1" t="s">
        <v>16</v>
      </c>
      <c r="B6" s="1" t="str">
        <f>VLOOKUP(A6,[30]LISTADHERENT!A$5:H$60,3,0)</f>
        <v>ASELBY</v>
      </c>
      <c r="C6" s="1"/>
      <c r="D6" s="1"/>
      <c r="E6" s="5" t="e">
        <f t="shared" ref="E6:E38" si="0">$Q$42/$F$42*F6</f>
        <v>#REF!</v>
      </c>
      <c r="F6" s="5" t="e">
        <f>+#REF!+#REF!+I6</f>
        <v>#REF!</v>
      </c>
      <c r="G6" s="6" t="e">
        <f>VLOOKUP($A6,#REF!,25,0)</f>
        <v>#REF!</v>
      </c>
      <c r="H6" s="6" t="e">
        <f>VLOOKUP($A6,[38]TONTJANV21!$A$6:$T$41,4,0)</f>
        <v>#N/A</v>
      </c>
      <c r="I6" s="6"/>
      <c r="J6" s="6"/>
      <c r="K6" s="6"/>
      <c r="L6" s="6"/>
      <c r="M6" s="6" t="e">
        <f>VLOOKUP($A6,#REF!,5,0)</f>
        <v>#REF!</v>
      </c>
      <c r="N6" s="6" t="e">
        <f>VLOOKUP($A6,#REF!,27,0)</f>
        <v>#REF!</v>
      </c>
      <c r="O6" s="6" t="e">
        <f>VLOOKUP($A6,#REF!,26,0)</f>
        <v>#REF!</v>
      </c>
      <c r="P6" s="6" t="e">
        <f>VLOOKUP($A6,#REF!,20,0)</f>
        <v>#REF!</v>
      </c>
      <c r="Q6" s="6" t="e">
        <f>(P6*12/100)</f>
        <v>#REF!</v>
      </c>
      <c r="R6" s="6" t="e">
        <f>VLOOKUP($A6,#REF!,23,0)</f>
        <v>#REF!</v>
      </c>
      <c r="S6" s="6" t="e">
        <f>VLOOKUP($A6,#REF!,17,0)</f>
        <v>#REF!</v>
      </c>
      <c r="T6" s="6" t="e">
        <f>VLOOKUP($A6,#REF!,18,0)</f>
        <v>#REF!</v>
      </c>
      <c r="U6" s="6" t="e">
        <f>VLOOKUP($A6,#REF!,21,0)</f>
        <v>#REF!</v>
      </c>
      <c r="V6" s="6" t="e">
        <f>VLOOKUP($A6,#REF!,22,0)</f>
        <v>#REF!</v>
      </c>
      <c r="W6" s="6"/>
      <c r="X6" s="6"/>
      <c r="Y6" s="6" t="e">
        <f>VLOOKUP($A6,#REF!,40,0)</f>
        <v>#REF!</v>
      </c>
      <c r="Z6" s="6" t="e">
        <f>VLOOKUP($A6,#REF!,41,0)</f>
        <v>#REF!</v>
      </c>
      <c r="AA6" s="2"/>
      <c r="AB6" s="2"/>
      <c r="AC6" s="2"/>
      <c r="AD6" s="2"/>
      <c r="AE6" s="2"/>
      <c r="AF6" s="2"/>
      <c r="AG6" s="2"/>
      <c r="AH6" s="2"/>
    </row>
    <row r="7" spans="1:34" x14ac:dyDescent="0.35">
      <c r="A7" s="1" t="s">
        <v>19</v>
      </c>
      <c r="B7" s="1" t="str">
        <f>VLOOKUP(A7,[30]LISTADHERENT!A$5:H$60,3,0)</f>
        <v>BOUTCHOUANG WILLIAM</v>
      </c>
      <c r="C7" s="1"/>
      <c r="D7" s="1"/>
      <c r="E7" s="5" t="e">
        <f t="shared" si="0"/>
        <v>#REF!</v>
      </c>
      <c r="F7" s="5" t="e">
        <f>+#REF!+#REF!+I7</f>
        <v>#REF!</v>
      </c>
      <c r="G7" s="6" t="e">
        <f>VLOOKUP($A7,#REF!,25,0)</f>
        <v>#REF!</v>
      </c>
      <c r="H7" s="6">
        <f>VLOOKUP($A7,[38]TONTJANV21!$A$6:$T$41,4,0)</f>
        <v>23000</v>
      </c>
      <c r="I7" s="6">
        <f t="shared" ref="I7:I38" si="1">H7-(J7+K7+L7)</f>
        <v>19000</v>
      </c>
      <c r="J7" s="6">
        <f t="shared" ref="J7:J38" si="2">IF(H7=0,0,500)</f>
        <v>500</v>
      </c>
      <c r="K7" s="6">
        <f t="shared" ref="K7:K38" si="3">IF(H7=0,0,1000)</f>
        <v>1000</v>
      </c>
      <c r="L7" s="6">
        <f t="shared" ref="L7:L38" si="4">IF(H7=0,0,2500)</f>
        <v>2500</v>
      </c>
      <c r="M7" s="6" t="e">
        <f>VLOOKUP($A7,#REF!,5,0)</f>
        <v>#REF!</v>
      </c>
      <c r="N7" s="6" t="e">
        <f>VLOOKUP($A7,#REF!,27,0)</f>
        <v>#REF!</v>
      </c>
      <c r="O7" s="6" t="e">
        <f>VLOOKUP($A7,#REF!,26,0)</f>
        <v>#REF!</v>
      </c>
      <c r="P7" s="6" t="e">
        <f>VLOOKUP($A7,#REF!,20,0)</f>
        <v>#REF!</v>
      </c>
      <c r="Q7" s="6" t="e">
        <f>(P7*12/100)</f>
        <v>#REF!</v>
      </c>
      <c r="R7" s="6" t="e">
        <f>VLOOKUP($A7,#REF!,23,0)</f>
        <v>#REF!</v>
      </c>
      <c r="S7" s="6" t="e">
        <f>VLOOKUP($A7,#REF!,17,0)</f>
        <v>#REF!</v>
      </c>
      <c r="T7" s="6" t="e">
        <f>VLOOKUP($A7,#REF!,18,0)</f>
        <v>#REF!</v>
      </c>
      <c r="U7" s="6" t="e">
        <f>VLOOKUP($A7,#REF!,21,0)</f>
        <v>#REF!</v>
      </c>
      <c r="V7" s="6" t="e">
        <f>VLOOKUP($A7,#REF!,22,0)</f>
        <v>#REF!</v>
      </c>
      <c r="W7" s="2"/>
      <c r="X7" s="2"/>
      <c r="Y7" s="6" t="e">
        <f>VLOOKUP(A7,#REF!,40,0)</f>
        <v>#REF!</v>
      </c>
      <c r="Z7" s="6" t="e">
        <f>VLOOKUP($A7,#REF!,41,0)</f>
        <v>#REF!</v>
      </c>
      <c r="AA7" s="2"/>
      <c r="AB7" s="2"/>
      <c r="AC7" s="2"/>
      <c r="AD7" s="2"/>
      <c r="AE7" s="2"/>
      <c r="AF7" s="2"/>
      <c r="AG7" s="2"/>
      <c r="AH7" s="2"/>
    </row>
    <row r="8" spans="1:34" x14ac:dyDescent="0.35">
      <c r="A8" s="1" t="s">
        <v>23</v>
      </c>
      <c r="B8" s="1" t="str">
        <f>VLOOKUP(A8,[30]LISTADHERENT!A$5:H$60,3,0)</f>
        <v xml:space="preserve">DJOMO JEAN PAUL </v>
      </c>
      <c r="C8" s="1"/>
      <c r="D8" s="1"/>
      <c r="E8" s="5" t="e">
        <f t="shared" si="0"/>
        <v>#REF!</v>
      </c>
      <c r="F8" s="5" t="e">
        <f>+#REF!+#REF!+I8</f>
        <v>#REF!</v>
      </c>
      <c r="G8" s="6" t="e">
        <f>VLOOKUP($A8,#REF!,25,0)</f>
        <v>#REF!</v>
      </c>
      <c r="H8" s="6">
        <f>VLOOKUP($A8,[38]TONTJANV21!$A$6:$T$41,4,0)</f>
        <v>23000</v>
      </c>
      <c r="I8" s="6">
        <f t="shared" si="1"/>
        <v>19000</v>
      </c>
      <c r="J8" s="6">
        <f t="shared" si="2"/>
        <v>500</v>
      </c>
      <c r="K8" s="6">
        <f t="shared" si="3"/>
        <v>1000</v>
      </c>
      <c r="L8" s="6">
        <f t="shared" si="4"/>
        <v>2500</v>
      </c>
      <c r="M8" s="6" t="e">
        <f>VLOOKUP($A8,#REF!,5,0)</f>
        <v>#REF!</v>
      </c>
      <c r="N8" s="6" t="e">
        <f>VLOOKUP($A8,#REF!,27,0)</f>
        <v>#REF!</v>
      </c>
      <c r="O8" s="6" t="e">
        <f>VLOOKUP($A8,#REF!,26,0)</f>
        <v>#REF!</v>
      </c>
      <c r="P8" s="6" t="e">
        <f>VLOOKUP($A8,#REF!,20,0)</f>
        <v>#REF!</v>
      </c>
      <c r="Q8" s="6" t="e">
        <f t="shared" ref="Q8:Q38" si="5">(P8*12/100)</f>
        <v>#REF!</v>
      </c>
      <c r="R8" s="6" t="e">
        <f>VLOOKUP($A8,#REF!,23,0)</f>
        <v>#REF!</v>
      </c>
      <c r="S8" s="6" t="e">
        <f>VLOOKUP($A8,#REF!,17,0)</f>
        <v>#REF!</v>
      </c>
      <c r="T8" s="6" t="e">
        <f>VLOOKUP($A8,#REF!,18,0)</f>
        <v>#REF!</v>
      </c>
      <c r="U8" s="6" t="e">
        <f>VLOOKUP($A8,#REF!,21,0)</f>
        <v>#REF!</v>
      </c>
      <c r="V8" s="6" t="e">
        <f>VLOOKUP($A8,#REF!,22,0)</f>
        <v>#REF!</v>
      </c>
      <c r="W8" s="2"/>
      <c r="X8" s="2"/>
      <c r="Y8" s="6" t="e">
        <f>VLOOKUP(A8,#REF!,40,0)</f>
        <v>#REF!</v>
      </c>
      <c r="Z8" s="6" t="e">
        <f>VLOOKUP($A8,#REF!,41,0)</f>
        <v>#REF!</v>
      </c>
      <c r="AA8" s="2"/>
      <c r="AB8" s="2"/>
      <c r="AC8" s="2"/>
      <c r="AD8" s="2"/>
      <c r="AE8" s="2"/>
      <c r="AF8" s="2"/>
      <c r="AG8" s="2"/>
      <c r="AH8" s="2"/>
    </row>
    <row r="9" spans="1:34" x14ac:dyDescent="0.35">
      <c r="A9" s="1" t="s">
        <v>154</v>
      </c>
      <c r="B9" s="1" t="str">
        <f>VLOOKUP(A9,[30]LISTADHERENT!A$5:H$60,3,0)</f>
        <v>DJOMOU TCHANDA</v>
      </c>
      <c r="C9" s="1"/>
      <c r="D9" s="1"/>
      <c r="E9" s="5" t="e">
        <f t="shared" si="0"/>
        <v>#REF!</v>
      </c>
      <c r="F9" s="5" t="e">
        <f>+#REF!+#REF!+I9</f>
        <v>#REF!</v>
      </c>
      <c r="G9" s="6" t="e">
        <f>VLOOKUP($A9,#REF!,25,0)</f>
        <v>#REF!</v>
      </c>
      <c r="H9" s="6">
        <f>VLOOKUP($A9,[38]TONTJANV21!$A$6:$T$41,4,0)</f>
        <v>23000</v>
      </c>
      <c r="I9" s="6">
        <f t="shared" si="1"/>
        <v>19000</v>
      </c>
      <c r="J9" s="6">
        <f t="shared" si="2"/>
        <v>500</v>
      </c>
      <c r="K9" s="6">
        <f t="shared" si="3"/>
        <v>1000</v>
      </c>
      <c r="L9" s="6">
        <f t="shared" si="4"/>
        <v>2500</v>
      </c>
      <c r="M9" s="6" t="e">
        <f>VLOOKUP($A9,#REF!,5,0)</f>
        <v>#REF!</v>
      </c>
      <c r="N9" s="6" t="e">
        <f>VLOOKUP($A9,#REF!,27,0)</f>
        <v>#REF!</v>
      </c>
      <c r="O9" s="6" t="e">
        <f>VLOOKUP($A9,#REF!,26,0)</f>
        <v>#REF!</v>
      </c>
      <c r="P9" s="6" t="e">
        <f>VLOOKUP($A9,#REF!,20,0)</f>
        <v>#REF!</v>
      </c>
      <c r="Q9" s="6" t="e">
        <f t="shared" si="5"/>
        <v>#REF!</v>
      </c>
      <c r="R9" s="6" t="e">
        <f>VLOOKUP($A9,#REF!,23,0)</f>
        <v>#REF!</v>
      </c>
      <c r="S9" s="6" t="e">
        <f>VLOOKUP($A9,#REF!,17,0)</f>
        <v>#REF!</v>
      </c>
      <c r="T9" s="6" t="e">
        <f>VLOOKUP($A9,#REF!,18,0)</f>
        <v>#REF!</v>
      </c>
      <c r="U9" s="6" t="e">
        <f>VLOOKUP($A9,#REF!,21,0)</f>
        <v>#REF!</v>
      </c>
      <c r="V9" s="6" t="e">
        <f>VLOOKUP($A9,#REF!,22,0)</f>
        <v>#REF!</v>
      </c>
      <c r="W9" s="2"/>
      <c r="X9" s="2"/>
      <c r="Y9" s="6" t="e">
        <f>VLOOKUP(A9,#REF!,40,0)</f>
        <v>#REF!</v>
      </c>
      <c r="Z9" s="6" t="e">
        <f>VLOOKUP($A9,#REF!,41,0)</f>
        <v>#REF!</v>
      </c>
      <c r="AA9" s="2"/>
      <c r="AB9" s="2"/>
      <c r="AC9" s="2"/>
      <c r="AD9" s="2"/>
      <c r="AE9" s="2"/>
      <c r="AF9" s="2"/>
      <c r="AG9" s="2"/>
      <c r="AH9" s="2"/>
    </row>
    <row r="10" spans="1:34" x14ac:dyDescent="0.35">
      <c r="A10" s="1" t="s">
        <v>24</v>
      </c>
      <c r="B10" s="1" t="str">
        <f>VLOOKUP(A10,[30]LISTADHERENT!A$5:H$60,3,0)</f>
        <v>DJOUKWE NANGUEN GUY BLAISE</v>
      </c>
      <c r="C10" s="1"/>
      <c r="D10" s="1"/>
      <c r="E10" s="5" t="e">
        <f t="shared" si="0"/>
        <v>#REF!</v>
      </c>
      <c r="F10" s="5" t="e">
        <f>+#REF!+#REF!+I10</f>
        <v>#REF!</v>
      </c>
      <c r="G10" s="6" t="e">
        <f>VLOOKUP($A10,#REF!,25,0)</f>
        <v>#REF!</v>
      </c>
      <c r="H10" s="6">
        <f>VLOOKUP($A10,[38]TONTJANV21!$A$6:$T$41,4,0)</f>
        <v>23000</v>
      </c>
      <c r="I10" s="6">
        <f t="shared" si="1"/>
        <v>19000</v>
      </c>
      <c r="J10" s="6">
        <f t="shared" si="2"/>
        <v>500</v>
      </c>
      <c r="K10" s="6">
        <f t="shared" si="3"/>
        <v>1000</v>
      </c>
      <c r="L10" s="6">
        <f t="shared" si="4"/>
        <v>2500</v>
      </c>
      <c r="M10" s="6" t="e">
        <f>VLOOKUP($A10,#REF!,5,0)</f>
        <v>#REF!</v>
      </c>
      <c r="N10" s="6" t="e">
        <f>VLOOKUP($A10,#REF!,27,0)</f>
        <v>#REF!</v>
      </c>
      <c r="O10" s="6" t="e">
        <f>VLOOKUP($A10,#REF!,26,0)</f>
        <v>#REF!</v>
      </c>
      <c r="P10" s="6" t="e">
        <f>VLOOKUP($A10,#REF!,20,0)</f>
        <v>#REF!</v>
      </c>
      <c r="Q10" s="6" t="e">
        <f t="shared" si="5"/>
        <v>#REF!</v>
      </c>
      <c r="R10" s="6" t="e">
        <f>VLOOKUP($A10,#REF!,23,0)</f>
        <v>#REF!</v>
      </c>
      <c r="S10" s="6" t="e">
        <f>VLOOKUP($A10,#REF!,17,0)</f>
        <v>#REF!</v>
      </c>
      <c r="T10" s="6" t="e">
        <f>VLOOKUP($A10,#REF!,18,0)</f>
        <v>#REF!</v>
      </c>
      <c r="U10" s="6" t="e">
        <f>VLOOKUP($A10,#REF!,21,0)</f>
        <v>#REF!</v>
      </c>
      <c r="V10" s="6" t="e">
        <f>VLOOKUP($A10,#REF!,22,0)</f>
        <v>#REF!</v>
      </c>
      <c r="W10" s="2"/>
      <c r="X10" s="2"/>
      <c r="Y10" s="6" t="e">
        <f>VLOOKUP(A10,#REF!,40,0)</f>
        <v>#REF!</v>
      </c>
      <c r="Z10" s="6" t="e">
        <f>VLOOKUP($A10,#REF!,41,0)</f>
        <v>#REF!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35">
      <c r="A11" s="1" t="s">
        <v>25</v>
      </c>
      <c r="B11" s="1" t="str">
        <f>VLOOKUP(A11,[30]LISTADHERENT!A$5:H$60,3,0)</f>
        <v>DJUOMBESSY ANTOINE</v>
      </c>
      <c r="C11" s="1"/>
      <c r="D11" s="1"/>
      <c r="E11" s="5" t="e">
        <f t="shared" si="0"/>
        <v>#REF!</v>
      </c>
      <c r="F11" s="5" t="e">
        <f>+#REF!+#REF!+I11</f>
        <v>#REF!</v>
      </c>
      <c r="G11" s="6" t="e">
        <f>VLOOKUP($A11,#REF!,25,0)</f>
        <v>#REF!</v>
      </c>
      <c r="H11" s="6">
        <f>VLOOKUP($A11,[38]TONTJANV21!$A$6:$T$41,4,0)</f>
        <v>23000</v>
      </c>
      <c r="I11" s="6">
        <f t="shared" si="1"/>
        <v>19000</v>
      </c>
      <c r="J11" s="6">
        <f t="shared" si="2"/>
        <v>500</v>
      </c>
      <c r="K11" s="6">
        <f t="shared" si="3"/>
        <v>1000</v>
      </c>
      <c r="L11" s="6">
        <f t="shared" si="4"/>
        <v>2500</v>
      </c>
      <c r="M11" s="6" t="e">
        <f>VLOOKUP($A11,#REF!,5,0)</f>
        <v>#REF!</v>
      </c>
      <c r="N11" s="6" t="e">
        <f>VLOOKUP($A11,#REF!,27,0)</f>
        <v>#REF!</v>
      </c>
      <c r="O11" s="6" t="e">
        <f>VLOOKUP($A11,#REF!,26,0)</f>
        <v>#REF!</v>
      </c>
      <c r="P11" s="6" t="e">
        <f>VLOOKUP($A11,#REF!,20,0)</f>
        <v>#REF!</v>
      </c>
      <c r="Q11" s="6" t="e">
        <f t="shared" si="5"/>
        <v>#REF!</v>
      </c>
      <c r="R11" s="6" t="e">
        <f>VLOOKUP($A11,#REF!,23,0)</f>
        <v>#REF!</v>
      </c>
      <c r="S11" s="6" t="e">
        <f>VLOOKUP($A11,#REF!,17,0)</f>
        <v>#REF!</v>
      </c>
      <c r="T11" s="6" t="e">
        <f>VLOOKUP($A11,#REF!,18,0)</f>
        <v>#REF!</v>
      </c>
      <c r="U11" s="6" t="e">
        <f>VLOOKUP($A11,#REF!,21,0)</f>
        <v>#REF!</v>
      </c>
      <c r="V11" s="6" t="e">
        <f>VLOOKUP($A11,#REF!,22,0)</f>
        <v>#REF!</v>
      </c>
      <c r="W11" s="2"/>
      <c r="X11" s="2"/>
      <c r="Y11" s="6" t="e">
        <f>VLOOKUP(A11,#REF!,40,0)</f>
        <v>#REF!</v>
      </c>
      <c r="Z11" s="6" t="e">
        <f>VLOOKUP($A11,#REF!,41,0)</f>
        <v>#REF!</v>
      </c>
      <c r="AA11" s="2"/>
      <c r="AB11" s="2"/>
      <c r="AC11" s="2"/>
      <c r="AD11" s="2"/>
      <c r="AE11" s="2"/>
      <c r="AF11" s="2"/>
      <c r="AG11" s="2"/>
      <c r="AH11" s="2"/>
    </row>
    <row r="12" spans="1:34" x14ac:dyDescent="0.35">
      <c r="A12" s="1" t="s">
        <v>79</v>
      </c>
      <c r="B12" s="1" t="str">
        <f>VLOOKUP(A12,[30]LISTADHERENT!A$5:H$60,3,0)</f>
        <v>DOMOU FABIEN</v>
      </c>
      <c r="C12" s="1"/>
      <c r="D12" s="1"/>
      <c r="E12" s="5" t="e">
        <f t="shared" si="0"/>
        <v>#REF!</v>
      </c>
      <c r="F12" s="5" t="e">
        <f>+#REF!+#REF!+I12</f>
        <v>#REF!</v>
      </c>
      <c r="G12" s="6" t="e">
        <f>VLOOKUP($A12,#REF!,25,0)</f>
        <v>#REF!</v>
      </c>
      <c r="H12" s="6">
        <f>VLOOKUP($A12,[38]TONTJANV21!$A$6:$T$41,4,0)</f>
        <v>23000</v>
      </c>
      <c r="I12" s="6">
        <f t="shared" si="1"/>
        <v>19000</v>
      </c>
      <c r="J12" s="6">
        <f t="shared" si="2"/>
        <v>500</v>
      </c>
      <c r="K12" s="6">
        <f t="shared" si="3"/>
        <v>1000</v>
      </c>
      <c r="L12" s="6">
        <f t="shared" si="4"/>
        <v>2500</v>
      </c>
      <c r="M12" s="6" t="e">
        <f>VLOOKUP($A12,#REF!,5,0)</f>
        <v>#REF!</v>
      </c>
      <c r="N12" s="6" t="e">
        <f>VLOOKUP($A12,#REF!,27,0)</f>
        <v>#REF!</v>
      </c>
      <c r="O12" s="6" t="e">
        <f>VLOOKUP($A12,#REF!,26,0)</f>
        <v>#REF!</v>
      </c>
      <c r="P12" s="6" t="e">
        <f>VLOOKUP($A12,#REF!,20,0)</f>
        <v>#REF!</v>
      </c>
      <c r="Q12" s="6" t="e">
        <f t="shared" si="5"/>
        <v>#REF!</v>
      </c>
      <c r="R12" s="6" t="e">
        <f>VLOOKUP($A12,#REF!,23,0)</f>
        <v>#REF!</v>
      </c>
      <c r="S12" s="6" t="e">
        <f>VLOOKUP($A12,#REF!,17,0)</f>
        <v>#REF!</v>
      </c>
      <c r="T12" s="6" t="e">
        <f>VLOOKUP($A12,#REF!,18,0)</f>
        <v>#REF!</v>
      </c>
      <c r="U12" s="6" t="e">
        <f>VLOOKUP($A12,#REF!,21,0)</f>
        <v>#REF!</v>
      </c>
      <c r="V12" s="6" t="e">
        <f>VLOOKUP($A12,#REF!,22,0)</f>
        <v>#REF!</v>
      </c>
      <c r="W12" s="2"/>
      <c r="Y12" s="6" t="e">
        <f>VLOOKUP(A12,#REF!,40,0)</f>
        <v>#REF!</v>
      </c>
      <c r="Z12" s="6" t="e">
        <f>VLOOKUP($A12,#REF!,41,0)</f>
        <v>#REF!</v>
      </c>
      <c r="AB12" s="2"/>
      <c r="AC12" s="2"/>
      <c r="AD12" s="2"/>
      <c r="AE12" s="2"/>
      <c r="AF12" s="2"/>
      <c r="AG12" s="2"/>
      <c r="AH12" s="2"/>
    </row>
    <row r="13" spans="1:34" x14ac:dyDescent="0.35">
      <c r="A13" s="1" t="s">
        <v>26</v>
      </c>
      <c r="B13" s="1" t="str">
        <f>VLOOKUP(A13,[30]LISTADHERENT!A$5:H$60,3,0)</f>
        <v>DONHOU DAVID</v>
      </c>
      <c r="C13" s="1"/>
      <c r="D13" s="1"/>
      <c r="E13" s="5" t="e">
        <f t="shared" si="0"/>
        <v>#REF!</v>
      </c>
      <c r="F13" s="5" t="e">
        <f>+#REF!+#REF!+I13</f>
        <v>#REF!</v>
      </c>
      <c r="G13" s="6" t="e">
        <f>VLOOKUP($A13,#REF!,25,0)</f>
        <v>#REF!</v>
      </c>
      <c r="H13" s="6">
        <f>VLOOKUP($A13,[38]TONTJANV21!$A$6:$T$41,4,0)</f>
        <v>23000</v>
      </c>
      <c r="I13" s="6">
        <f t="shared" si="1"/>
        <v>19000</v>
      </c>
      <c r="J13" s="6">
        <f t="shared" si="2"/>
        <v>500</v>
      </c>
      <c r="K13" s="6">
        <f t="shared" si="3"/>
        <v>1000</v>
      </c>
      <c r="L13" s="6">
        <f t="shared" si="4"/>
        <v>2500</v>
      </c>
      <c r="M13" s="6" t="e">
        <f>VLOOKUP($A13,#REF!,5,0)</f>
        <v>#REF!</v>
      </c>
      <c r="N13" s="6" t="e">
        <f>VLOOKUP($A13,#REF!,27,0)</f>
        <v>#REF!</v>
      </c>
      <c r="O13" s="6" t="e">
        <f>VLOOKUP($A13,#REF!,26,0)</f>
        <v>#REF!</v>
      </c>
      <c r="P13" s="6" t="e">
        <f>VLOOKUP($A13,#REF!,20,0)</f>
        <v>#REF!</v>
      </c>
      <c r="Q13" s="6" t="e">
        <f t="shared" si="5"/>
        <v>#REF!</v>
      </c>
      <c r="R13" s="6" t="e">
        <f>VLOOKUP($A13,#REF!,23,0)</f>
        <v>#REF!</v>
      </c>
      <c r="S13" s="6" t="e">
        <f>VLOOKUP($A13,#REF!,17,0)</f>
        <v>#REF!</v>
      </c>
      <c r="T13" s="6" t="e">
        <f>VLOOKUP($A13,#REF!,18,0)</f>
        <v>#REF!</v>
      </c>
      <c r="U13" s="6" t="e">
        <f>VLOOKUP($A13,#REF!,21,0)</f>
        <v>#REF!</v>
      </c>
      <c r="V13" s="6" t="e">
        <f>VLOOKUP($A13,#REF!,22,0)</f>
        <v>#REF!</v>
      </c>
      <c r="W13" s="2"/>
      <c r="X13" s="2"/>
      <c r="Y13" s="6" t="e">
        <f>VLOOKUP(A13,#REF!,40,0)</f>
        <v>#REF!</v>
      </c>
      <c r="Z13" s="6" t="e">
        <f>VLOOKUP($A13,#REF!,41,0)</f>
        <v>#REF!</v>
      </c>
      <c r="AA13" s="2"/>
      <c r="AB13" s="2"/>
      <c r="AC13" s="2"/>
      <c r="AD13" s="2"/>
      <c r="AE13" s="2"/>
      <c r="AF13" s="2"/>
      <c r="AG13" s="2"/>
      <c r="AH13" s="2"/>
    </row>
    <row r="14" spans="1:34" x14ac:dyDescent="0.35">
      <c r="A14" s="1" t="s">
        <v>27</v>
      </c>
      <c r="B14" s="1" t="str">
        <f>VLOOKUP(A14,[30]LISTADHERENT!A$5:H$60,3,0)</f>
        <v>FOTSO THOMAS</v>
      </c>
      <c r="C14" s="1"/>
      <c r="D14" s="1"/>
      <c r="E14" s="5" t="e">
        <f t="shared" si="0"/>
        <v>#REF!</v>
      </c>
      <c r="F14" s="5" t="e">
        <f>+#REF!+#REF!+I14</f>
        <v>#REF!</v>
      </c>
      <c r="G14" s="6" t="e">
        <f>VLOOKUP($A14,#REF!,25,0)</f>
        <v>#REF!</v>
      </c>
      <c r="H14" s="6">
        <f>VLOOKUP($A14,[38]TONTJANV21!$A$6:$T$41,4,0)</f>
        <v>0</v>
      </c>
      <c r="I14" s="6">
        <f t="shared" si="1"/>
        <v>0</v>
      </c>
      <c r="J14" s="6">
        <f t="shared" si="2"/>
        <v>0</v>
      </c>
      <c r="K14" s="6">
        <f t="shared" si="3"/>
        <v>0</v>
      </c>
      <c r="L14" s="6">
        <f t="shared" si="4"/>
        <v>0</v>
      </c>
      <c r="M14" s="6" t="e">
        <f>VLOOKUP($A14,#REF!,5,0)</f>
        <v>#REF!</v>
      </c>
      <c r="N14" s="6" t="e">
        <f>VLOOKUP($A14,#REF!,27,0)</f>
        <v>#REF!</v>
      </c>
      <c r="O14" s="6" t="e">
        <f>VLOOKUP($A14,#REF!,26,0)</f>
        <v>#REF!</v>
      </c>
      <c r="P14" s="6" t="e">
        <f>VLOOKUP($A14,#REF!,20,0)</f>
        <v>#REF!</v>
      </c>
      <c r="Q14" s="6" t="e">
        <f t="shared" si="5"/>
        <v>#REF!</v>
      </c>
      <c r="R14" s="6" t="e">
        <f>VLOOKUP($A14,#REF!,23,0)</f>
        <v>#REF!</v>
      </c>
      <c r="S14" s="6" t="e">
        <f>VLOOKUP($A14,#REF!,17,0)</f>
        <v>#REF!</v>
      </c>
      <c r="T14" s="6" t="e">
        <f>VLOOKUP($A14,#REF!,18,0)</f>
        <v>#REF!</v>
      </c>
      <c r="U14" s="6" t="e">
        <f>VLOOKUP($A14,#REF!,21,0)</f>
        <v>#REF!</v>
      </c>
      <c r="V14" s="6" t="e">
        <f>VLOOKUP($A14,#REF!,22,0)</f>
        <v>#REF!</v>
      </c>
      <c r="W14" s="2"/>
      <c r="X14" s="2"/>
      <c r="Y14" s="6" t="e">
        <f>VLOOKUP(A14,#REF!,40,0)</f>
        <v>#REF!</v>
      </c>
      <c r="Z14" s="6" t="e">
        <f>VLOOKUP($A14,#REF!,41,0)</f>
        <v>#REF!</v>
      </c>
      <c r="AA14" s="2"/>
      <c r="AB14" s="2"/>
      <c r="AC14" s="2"/>
      <c r="AD14" s="2"/>
      <c r="AE14" s="2"/>
      <c r="AF14" s="2"/>
      <c r="AG14" s="2"/>
      <c r="AH14" s="2"/>
    </row>
    <row r="15" spans="1:34" ht="14.25" customHeight="1" x14ac:dyDescent="0.35">
      <c r="A15" s="1" t="s">
        <v>28</v>
      </c>
      <c r="B15" s="1" t="str">
        <f>VLOOKUP(A15,[30]LISTADHERENT!A$5:H$60,3,0)</f>
        <v>HENGUE PAUL OMER</v>
      </c>
      <c r="C15" s="1"/>
      <c r="D15" s="1"/>
      <c r="E15" s="5" t="e">
        <f t="shared" si="0"/>
        <v>#REF!</v>
      </c>
      <c r="F15" s="5" t="e">
        <f>+#REF!+#REF!+I15</f>
        <v>#REF!</v>
      </c>
      <c r="G15" s="6" t="e">
        <f>VLOOKUP($A15,#REF!,25,0)</f>
        <v>#REF!</v>
      </c>
      <c r="H15" s="6">
        <f>VLOOKUP($A15,[38]TONTJANV21!$A$6:$T$41,4,0)</f>
        <v>23000</v>
      </c>
      <c r="I15" s="6">
        <f t="shared" si="1"/>
        <v>19000</v>
      </c>
      <c r="J15" s="6">
        <f t="shared" si="2"/>
        <v>500</v>
      </c>
      <c r="K15" s="6">
        <f t="shared" si="3"/>
        <v>1000</v>
      </c>
      <c r="L15" s="6">
        <f t="shared" si="4"/>
        <v>2500</v>
      </c>
      <c r="M15" s="6" t="e">
        <f>VLOOKUP($A15,#REF!,5,0)</f>
        <v>#REF!</v>
      </c>
      <c r="N15" s="6" t="e">
        <f>VLOOKUP($A15,#REF!,27,0)</f>
        <v>#REF!</v>
      </c>
      <c r="O15" s="6" t="e">
        <f>VLOOKUP($A15,#REF!,26,0)</f>
        <v>#REF!</v>
      </c>
      <c r="P15" s="6" t="e">
        <f>VLOOKUP($A15,#REF!,20,0)</f>
        <v>#REF!</v>
      </c>
      <c r="Q15" s="6" t="e">
        <f t="shared" si="5"/>
        <v>#REF!</v>
      </c>
      <c r="R15" s="6" t="e">
        <f>VLOOKUP($A15,#REF!,23,0)</f>
        <v>#REF!</v>
      </c>
      <c r="S15" s="6" t="e">
        <f>VLOOKUP($A15,#REF!,17,0)</f>
        <v>#REF!</v>
      </c>
      <c r="T15" s="6" t="e">
        <f>VLOOKUP($A15,#REF!,18,0)</f>
        <v>#REF!</v>
      </c>
      <c r="U15" s="6" t="e">
        <f>VLOOKUP($A15,#REF!,21,0)</f>
        <v>#REF!</v>
      </c>
      <c r="V15" s="6" t="e">
        <f>VLOOKUP($A15,#REF!,22,0)</f>
        <v>#REF!</v>
      </c>
      <c r="W15" s="2"/>
      <c r="X15" s="2"/>
      <c r="Y15" s="6" t="e">
        <f>VLOOKUP(A15,#REF!,40,0)</f>
        <v>#REF!</v>
      </c>
      <c r="Z15" s="6" t="e">
        <f>VLOOKUP($A15,#REF!,41,0)</f>
        <v>#REF!</v>
      </c>
      <c r="AA15" s="2"/>
      <c r="AB15" s="2"/>
      <c r="AC15" s="2"/>
      <c r="AD15" s="2"/>
      <c r="AE15" s="2"/>
      <c r="AF15" s="2"/>
      <c r="AG15" s="2"/>
      <c r="AH15" s="2"/>
    </row>
    <row r="16" spans="1:34" x14ac:dyDescent="0.35">
      <c r="A16" s="1" t="s">
        <v>29</v>
      </c>
      <c r="B16" s="1" t="str">
        <f>VLOOKUP(A16,[30]LISTADHERENT!A$5:H$60,3,0)</f>
        <v>HOTCHO BENJAMIN</v>
      </c>
      <c r="C16" s="1"/>
      <c r="D16" s="1"/>
      <c r="E16" s="5" t="e">
        <f t="shared" si="0"/>
        <v>#REF!</v>
      </c>
      <c r="F16" s="5" t="e">
        <f>+#REF!+#REF!+I16</f>
        <v>#REF!</v>
      </c>
      <c r="G16" s="6" t="e">
        <f>VLOOKUP($A16,#REF!,25,0)</f>
        <v>#REF!</v>
      </c>
      <c r="H16" s="6">
        <f>VLOOKUP($A16,[38]TONTJANV21!$A$6:$T$41,4,0)</f>
        <v>23000</v>
      </c>
      <c r="I16" s="6">
        <f t="shared" si="1"/>
        <v>19000</v>
      </c>
      <c r="J16" s="6">
        <f t="shared" si="2"/>
        <v>500</v>
      </c>
      <c r="K16" s="6">
        <f t="shared" si="3"/>
        <v>1000</v>
      </c>
      <c r="L16" s="6">
        <f t="shared" si="4"/>
        <v>2500</v>
      </c>
      <c r="M16" s="6" t="e">
        <f>VLOOKUP($A16,#REF!,5,0)</f>
        <v>#REF!</v>
      </c>
      <c r="N16" s="6" t="e">
        <f>VLOOKUP($A16,#REF!,27,0)</f>
        <v>#REF!</v>
      </c>
      <c r="O16" s="6" t="e">
        <f>VLOOKUP($A16,#REF!,26,0)</f>
        <v>#REF!</v>
      </c>
      <c r="P16" s="6" t="e">
        <f>VLOOKUP($A16,#REF!,20,0)</f>
        <v>#REF!</v>
      </c>
      <c r="Q16" s="6" t="e">
        <f t="shared" si="5"/>
        <v>#REF!</v>
      </c>
      <c r="R16" s="6" t="e">
        <f>VLOOKUP($A16,#REF!,23,0)</f>
        <v>#REF!</v>
      </c>
      <c r="S16" s="6" t="e">
        <f>VLOOKUP($A16,#REF!,17,0)</f>
        <v>#REF!</v>
      </c>
      <c r="T16" s="6" t="e">
        <f>VLOOKUP($A16,#REF!,18,0)</f>
        <v>#REF!</v>
      </c>
      <c r="U16" s="6" t="e">
        <f>VLOOKUP($A16,#REF!,21,0)</f>
        <v>#REF!</v>
      </c>
      <c r="V16" s="6" t="e">
        <f>VLOOKUP($A16,#REF!,22,0)</f>
        <v>#REF!</v>
      </c>
      <c r="W16" s="2"/>
      <c r="X16" s="2"/>
      <c r="Y16" s="6" t="e">
        <f>VLOOKUP(A16,#REF!,40,0)</f>
        <v>#REF!</v>
      </c>
      <c r="Z16" s="6" t="e">
        <f>VLOOKUP($A16,#REF!,41,0)</f>
        <v>#REF!</v>
      </c>
      <c r="AA16" s="2"/>
      <c r="AB16" s="2"/>
      <c r="AC16" s="2"/>
      <c r="AD16" s="2"/>
      <c r="AE16" s="2"/>
      <c r="AF16" s="2"/>
      <c r="AG16" s="2"/>
      <c r="AH16" s="2"/>
    </row>
    <row r="17" spans="1:34" x14ac:dyDescent="0.35">
      <c r="A17" s="1" t="s">
        <v>33</v>
      </c>
      <c r="B17" s="1" t="str">
        <f>VLOOKUP(A17,[30]LISTADHERENT!A$5:H$60,3,0)</f>
        <v>KOUAMOU MOISE</v>
      </c>
      <c r="C17" s="1"/>
      <c r="D17" s="1"/>
      <c r="E17" s="5" t="e">
        <f t="shared" si="0"/>
        <v>#REF!</v>
      </c>
      <c r="F17" s="5" t="e">
        <f>+#REF!+#REF!+I17</f>
        <v>#REF!</v>
      </c>
      <c r="G17" s="6" t="e">
        <f>VLOOKUP($A17,#REF!,25,0)</f>
        <v>#REF!</v>
      </c>
      <c r="H17" s="6">
        <f>VLOOKUP($A17,[38]TONTJANV21!$A$6:$T$41,4,0)</f>
        <v>23000</v>
      </c>
      <c r="I17" s="6">
        <f t="shared" si="1"/>
        <v>19000</v>
      </c>
      <c r="J17" s="6">
        <f t="shared" si="2"/>
        <v>500</v>
      </c>
      <c r="K17" s="6">
        <f t="shared" si="3"/>
        <v>1000</v>
      </c>
      <c r="L17" s="6">
        <f t="shared" si="4"/>
        <v>2500</v>
      </c>
      <c r="M17" s="6" t="e">
        <f>VLOOKUP($A17,#REF!,5,0)</f>
        <v>#REF!</v>
      </c>
      <c r="N17" s="6" t="e">
        <f>VLOOKUP($A17,#REF!,27,0)</f>
        <v>#REF!</v>
      </c>
      <c r="O17" s="6" t="e">
        <f>VLOOKUP($A17,#REF!,26,0)</f>
        <v>#REF!</v>
      </c>
      <c r="P17" s="6" t="e">
        <f>VLOOKUP($A17,#REF!,20,0)</f>
        <v>#REF!</v>
      </c>
      <c r="Q17" s="6" t="e">
        <f t="shared" si="5"/>
        <v>#REF!</v>
      </c>
      <c r="R17" s="6" t="e">
        <f>VLOOKUP($A17,#REF!,23,0)</f>
        <v>#REF!</v>
      </c>
      <c r="S17" s="6" t="e">
        <f>VLOOKUP($A17,#REF!,17,0)</f>
        <v>#REF!</v>
      </c>
      <c r="T17" s="6" t="e">
        <f>VLOOKUP($A17,#REF!,18,0)</f>
        <v>#REF!</v>
      </c>
      <c r="U17" s="6" t="e">
        <f>VLOOKUP($A17,#REF!,21,0)</f>
        <v>#REF!</v>
      </c>
      <c r="V17" s="6" t="e">
        <f>VLOOKUP($A17,#REF!,22,0)</f>
        <v>#REF!</v>
      </c>
      <c r="W17" s="2"/>
      <c r="X17" s="2"/>
      <c r="Y17" s="6" t="e">
        <f>VLOOKUP(A17,#REF!,40,0)</f>
        <v>#REF!</v>
      </c>
      <c r="Z17" s="6" t="e">
        <f>VLOOKUP($A17,#REF!,41,0)</f>
        <v>#REF!</v>
      </c>
      <c r="AA17" s="2"/>
      <c r="AB17" s="2"/>
      <c r="AC17" s="2"/>
      <c r="AD17" s="2"/>
      <c r="AE17" s="2"/>
      <c r="AF17" s="2"/>
      <c r="AG17" s="2"/>
      <c r="AH17" s="2"/>
    </row>
    <row r="18" spans="1:34" x14ac:dyDescent="0.35">
      <c r="A18" s="1" t="s">
        <v>35</v>
      </c>
      <c r="B18" s="1" t="str">
        <f>VLOOKUP(A18,[30]LISTADHERENT!A$5:H$60,3,0)</f>
        <v>KOUATCHO MESSACK</v>
      </c>
      <c r="C18" s="1"/>
      <c r="D18" s="1"/>
      <c r="E18" s="5" t="e">
        <f t="shared" si="0"/>
        <v>#REF!</v>
      </c>
      <c r="F18" s="5" t="e">
        <f>+#REF!+#REF!+I18</f>
        <v>#REF!</v>
      </c>
      <c r="G18" s="6" t="e">
        <f>VLOOKUP($A18,#REF!,25,0)</f>
        <v>#REF!</v>
      </c>
      <c r="H18" s="6">
        <f>VLOOKUP($A18,[38]TONTJANV21!$A$6:$T$41,4,0)</f>
        <v>23000</v>
      </c>
      <c r="I18" s="6">
        <f t="shared" si="1"/>
        <v>19000</v>
      </c>
      <c r="J18" s="6">
        <f t="shared" si="2"/>
        <v>500</v>
      </c>
      <c r="K18" s="6">
        <f t="shared" si="3"/>
        <v>1000</v>
      </c>
      <c r="L18" s="6">
        <f t="shared" si="4"/>
        <v>2500</v>
      </c>
      <c r="M18" s="6" t="e">
        <f>VLOOKUP($A18,#REF!,5,0)</f>
        <v>#REF!</v>
      </c>
      <c r="N18" s="6" t="e">
        <f>VLOOKUP($A18,#REF!,27,0)</f>
        <v>#REF!</v>
      </c>
      <c r="O18" s="6" t="e">
        <f>VLOOKUP($A18,#REF!,26,0)</f>
        <v>#REF!</v>
      </c>
      <c r="P18" s="6" t="e">
        <f>VLOOKUP($A18,#REF!,20,0)</f>
        <v>#REF!</v>
      </c>
      <c r="Q18" s="6" t="e">
        <f t="shared" si="5"/>
        <v>#REF!</v>
      </c>
      <c r="R18" s="6" t="e">
        <f>VLOOKUP($A18,#REF!,23,0)</f>
        <v>#REF!</v>
      </c>
      <c r="S18" s="6" t="e">
        <f>VLOOKUP($A18,#REF!,17,0)</f>
        <v>#REF!</v>
      </c>
      <c r="T18" s="6" t="e">
        <f>VLOOKUP($A18,#REF!,18,0)</f>
        <v>#REF!</v>
      </c>
      <c r="U18" s="6" t="e">
        <f>VLOOKUP($A18,#REF!,21,0)</f>
        <v>#REF!</v>
      </c>
      <c r="V18" s="6" t="e">
        <f>VLOOKUP($A18,#REF!,22,0)</f>
        <v>#REF!</v>
      </c>
      <c r="W18" s="2"/>
      <c r="X18" s="2"/>
      <c r="Y18" s="6" t="e">
        <f>VLOOKUP(A18,#REF!,40,0)</f>
        <v>#REF!</v>
      </c>
      <c r="Z18" s="6" t="e">
        <f>VLOOKUP($A18,#REF!,41,0)</f>
        <v>#REF!</v>
      </c>
      <c r="AA18" s="2"/>
      <c r="AB18" s="2"/>
      <c r="AC18" s="2"/>
      <c r="AD18" s="2"/>
      <c r="AE18" s="2"/>
      <c r="AF18" s="2"/>
      <c r="AG18" s="2"/>
      <c r="AH18" s="2"/>
    </row>
    <row r="19" spans="1:34" x14ac:dyDescent="0.35">
      <c r="A19" s="1" t="s">
        <v>36</v>
      </c>
      <c r="B19" s="1" t="str">
        <f>VLOOKUP(A19,[30]LISTADHERENT!A$5:H$60,3,0)</f>
        <v>LOWE JEAN</v>
      </c>
      <c r="C19" s="1"/>
      <c r="D19" s="1"/>
      <c r="E19" s="5" t="e">
        <f t="shared" si="0"/>
        <v>#REF!</v>
      </c>
      <c r="F19" s="5" t="e">
        <f>+#REF!+#REF!+I19</f>
        <v>#REF!</v>
      </c>
      <c r="G19" s="6" t="e">
        <f>VLOOKUP($A19,#REF!,25,0)</f>
        <v>#REF!</v>
      </c>
      <c r="H19" s="6">
        <f>VLOOKUP($A19,[38]TONTJANV21!$A$6:$T$41,4,0)</f>
        <v>23000</v>
      </c>
      <c r="I19" s="6">
        <f t="shared" si="1"/>
        <v>19000</v>
      </c>
      <c r="J19" s="6">
        <f t="shared" si="2"/>
        <v>500</v>
      </c>
      <c r="K19" s="6">
        <f t="shared" si="3"/>
        <v>1000</v>
      </c>
      <c r="L19" s="6">
        <f t="shared" si="4"/>
        <v>2500</v>
      </c>
      <c r="M19" s="6" t="e">
        <f>VLOOKUP($A19,#REF!,5,0)</f>
        <v>#REF!</v>
      </c>
      <c r="N19" s="6" t="e">
        <f>VLOOKUP($A19,#REF!,27,0)</f>
        <v>#REF!</v>
      </c>
      <c r="O19" s="6" t="e">
        <f>VLOOKUP($A19,#REF!,26,0)</f>
        <v>#REF!</v>
      </c>
      <c r="P19" s="6" t="e">
        <f>VLOOKUP($A19,#REF!,20,0)</f>
        <v>#REF!</v>
      </c>
      <c r="Q19" s="6" t="e">
        <f t="shared" si="5"/>
        <v>#REF!</v>
      </c>
      <c r="R19" s="6" t="e">
        <f>VLOOKUP($A19,#REF!,23,0)</f>
        <v>#REF!</v>
      </c>
      <c r="S19" s="6" t="e">
        <f>VLOOKUP($A19,#REF!,17,0)</f>
        <v>#REF!</v>
      </c>
      <c r="T19" s="6" t="e">
        <f>VLOOKUP($A19,#REF!,18,0)</f>
        <v>#REF!</v>
      </c>
      <c r="U19" s="6" t="e">
        <f>VLOOKUP($A19,#REF!,21,0)</f>
        <v>#REF!</v>
      </c>
      <c r="V19" s="6" t="e">
        <f>VLOOKUP($A19,#REF!,22,0)</f>
        <v>#REF!</v>
      </c>
      <c r="W19" s="2"/>
      <c r="X19" s="2"/>
      <c r="Y19" s="6" t="e">
        <f>VLOOKUP(A19,#REF!,40,0)</f>
        <v>#REF!</v>
      </c>
      <c r="Z19" s="6" t="e">
        <f>VLOOKUP($A19,#REF!,41,0)</f>
        <v>#REF!</v>
      </c>
      <c r="AA19" s="2"/>
      <c r="AB19" s="2"/>
      <c r="AC19" s="2"/>
      <c r="AD19" s="2"/>
      <c r="AE19" s="2"/>
      <c r="AF19" s="2"/>
      <c r="AG19" s="2"/>
      <c r="AH19" s="2"/>
    </row>
    <row r="20" spans="1:34" x14ac:dyDescent="0.35">
      <c r="A20" s="1" t="s">
        <v>75</v>
      </c>
      <c r="B20" s="1" t="str">
        <f>VLOOKUP(A20,[30]LISTADHERENT!A$5:H$60,3,0)</f>
        <v>MBOGNING TUGMA GUY</v>
      </c>
      <c r="C20" s="1"/>
      <c r="D20" s="1"/>
      <c r="E20" s="5" t="e">
        <f t="shared" si="0"/>
        <v>#REF!</v>
      </c>
      <c r="F20" s="5" t="e">
        <f>+#REF!+#REF!+I20</f>
        <v>#REF!</v>
      </c>
      <c r="G20" s="6" t="e">
        <f>VLOOKUP($A20,#REF!,25,0)</f>
        <v>#REF!</v>
      </c>
      <c r="H20" s="6">
        <f>VLOOKUP($A20,[38]TONTJANV21!$A$6:$T$41,4,0)</f>
        <v>23000</v>
      </c>
      <c r="I20" s="6">
        <f t="shared" si="1"/>
        <v>19000</v>
      </c>
      <c r="J20" s="6">
        <f t="shared" si="2"/>
        <v>500</v>
      </c>
      <c r="K20" s="6">
        <f t="shared" si="3"/>
        <v>1000</v>
      </c>
      <c r="L20" s="6">
        <f t="shared" si="4"/>
        <v>2500</v>
      </c>
      <c r="M20" s="6" t="e">
        <f>VLOOKUP($A20,#REF!,5,0)</f>
        <v>#REF!</v>
      </c>
      <c r="N20" s="6" t="e">
        <f>VLOOKUP($A20,#REF!,27,0)</f>
        <v>#REF!</v>
      </c>
      <c r="O20" s="6" t="e">
        <f>VLOOKUP($A20,#REF!,26,0)</f>
        <v>#REF!</v>
      </c>
      <c r="P20" s="6" t="e">
        <f>VLOOKUP($A20,#REF!,20,0)</f>
        <v>#REF!</v>
      </c>
      <c r="Q20" s="6" t="e">
        <f t="shared" si="5"/>
        <v>#REF!</v>
      </c>
      <c r="R20" s="6" t="e">
        <f>VLOOKUP($A20,#REF!,23,0)</f>
        <v>#REF!</v>
      </c>
      <c r="S20" s="6" t="e">
        <f>VLOOKUP($A20,#REF!,17,0)</f>
        <v>#REF!</v>
      </c>
      <c r="T20" s="6" t="e">
        <f>VLOOKUP($A20,#REF!,18,0)</f>
        <v>#REF!</v>
      </c>
      <c r="U20" s="6" t="e">
        <f>VLOOKUP($A20,#REF!,21,0)</f>
        <v>#REF!</v>
      </c>
      <c r="V20" s="6" t="e">
        <f>VLOOKUP($A20,#REF!,22,0)</f>
        <v>#REF!</v>
      </c>
      <c r="W20" s="2"/>
      <c r="Y20" s="6" t="e">
        <f>VLOOKUP(A20,#REF!,40,0)</f>
        <v>#REF!</v>
      </c>
      <c r="Z20" s="6" t="e">
        <f>VLOOKUP($A20,#REF!,41,0)</f>
        <v>#REF!</v>
      </c>
      <c r="AB20" s="2"/>
      <c r="AC20" s="2"/>
      <c r="AD20" s="2"/>
      <c r="AE20" s="2"/>
      <c r="AF20" s="2"/>
      <c r="AG20" s="2"/>
      <c r="AH20" s="2"/>
    </row>
    <row r="21" spans="1:34" x14ac:dyDescent="0.35">
      <c r="A21" s="1" t="s">
        <v>50</v>
      </c>
      <c r="B21" s="1" t="str">
        <f>VLOOKUP(A21,[30]LISTADHERENT!A$5:H$60,3,0)</f>
        <v>NANGUEN MARTIN</v>
      </c>
      <c r="C21" s="1"/>
      <c r="D21" s="1"/>
      <c r="E21" s="5" t="e">
        <f t="shared" si="0"/>
        <v>#REF!</v>
      </c>
      <c r="F21" s="5" t="e">
        <f>+#REF!+#REF!+I21</f>
        <v>#REF!</v>
      </c>
      <c r="G21" s="6" t="e">
        <f>VLOOKUP($A21,#REF!,25,0)</f>
        <v>#REF!</v>
      </c>
      <c r="H21" s="6">
        <f>VLOOKUP($A21,[38]TONTJANV21!$A$6:$T$41,4,0)</f>
        <v>23000</v>
      </c>
      <c r="I21" s="6">
        <f t="shared" si="1"/>
        <v>19000</v>
      </c>
      <c r="J21" s="6">
        <f t="shared" si="2"/>
        <v>500</v>
      </c>
      <c r="K21" s="6">
        <f t="shared" si="3"/>
        <v>1000</v>
      </c>
      <c r="L21" s="6">
        <f t="shared" si="4"/>
        <v>2500</v>
      </c>
      <c r="M21" s="6" t="e">
        <f>VLOOKUP($A21,#REF!,5,0)</f>
        <v>#REF!</v>
      </c>
      <c r="N21" s="6" t="e">
        <f>VLOOKUP($A21,#REF!,27,0)</f>
        <v>#REF!</v>
      </c>
      <c r="O21" s="6" t="e">
        <f>VLOOKUP($A21,#REF!,26,0)</f>
        <v>#REF!</v>
      </c>
      <c r="P21" s="6" t="e">
        <f>VLOOKUP($A21,#REF!,20,0)</f>
        <v>#REF!</v>
      </c>
      <c r="Q21" s="6" t="e">
        <f t="shared" si="5"/>
        <v>#REF!</v>
      </c>
      <c r="R21" s="6" t="e">
        <f>VLOOKUP($A21,#REF!,23,0)</f>
        <v>#REF!</v>
      </c>
      <c r="S21" s="6" t="e">
        <f>VLOOKUP($A21,#REF!,17,0)</f>
        <v>#REF!</v>
      </c>
      <c r="T21" s="6" t="e">
        <f>VLOOKUP($A21,#REF!,18,0)</f>
        <v>#REF!</v>
      </c>
      <c r="U21" s="6" t="e">
        <f>VLOOKUP($A21,#REF!,21,0)</f>
        <v>#REF!</v>
      </c>
      <c r="V21" s="6" t="e">
        <f>VLOOKUP($A21,#REF!,22,0)</f>
        <v>#REF!</v>
      </c>
      <c r="W21" s="2"/>
      <c r="X21" s="2"/>
      <c r="Y21" s="6" t="e">
        <f>VLOOKUP(A21,#REF!,40,0)</f>
        <v>#REF!</v>
      </c>
      <c r="Z21" s="6" t="e">
        <f>VLOOKUP($A21,#REF!,41,0)</f>
        <v>#REF!</v>
      </c>
      <c r="AA21" s="2"/>
      <c r="AB21" s="2"/>
      <c r="AC21" s="2"/>
      <c r="AD21" s="2"/>
      <c r="AE21" s="2"/>
      <c r="AF21" s="2"/>
      <c r="AG21" s="2"/>
      <c r="AH21" s="2"/>
    </row>
    <row r="22" spans="1:34" x14ac:dyDescent="0.35">
      <c r="A22" s="1" t="s">
        <v>37</v>
      </c>
      <c r="B22" s="1" t="str">
        <f>VLOOKUP(A22,[30]LISTADHERENT!A$5:H$60,3,0)</f>
        <v>NANKAM APPOLINAIRE</v>
      </c>
      <c r="C22" s="1"/>
      <c r="D22" s="1"/>
      <c r="E22" s="5" t="e">
        <f t="shared" si="0"/>
        <v>#REF!</v>
      </c>
      <c r="F22" s="5" t="e">
        <f>+#REF!+#REF!+I22</f>
        <v>#REF!</v>
      </c>
      <c r="G22" s="6" t="e">
        <f>VLOOKUP($A22,#REF!,25,0)</f>
        <v>#REF!</v>
      </c>
      <c r="H22" s="6">
        <f>VLOOKUP($A22,[38]TONTJANV21!$A$6:$T$41,4,0)</f>
        <v>23000</v>
      </c>
      <c r="I22" s="6">
        <f t="shared" si="1"/>
        <v>19000</v>
      </c>
      <c r="J22" s="6">
        <f t="shared" si="2"/>
        <v>500</v>
      </c>
      <c r="K22" s="6">
        <f t="shared" si="3"/>
        <v>1000</v>
      </c>
      <c r="L22" s="6">
        <f t="shared" si="4"/>
        <v>2500</v>
      </c>
      <c r="M22" s="6" t="e">
        <f>VLOOKUP($A22,#REF!,5,0)</f>
        <v>#REF!</v>
      </c>
      <c r="N22" s="6" t="e">
        <f>VLOOKUP($A22,#REF!,27,0)</f>
        <v>#REF!</v>
      </c>
      <c r="O22" s="6" t="e">
        <f>VLOOKUP($A22,#REF!,26,0)</f>
        <v>#REF!</v>
      </c>
      <c r="P22" s="6" t="e">
        <f>VLOOKUP($A22,#REF!,20,0)</f>
        <v>#REF!</v>
      </c>
      <c r="Q22" s="6" t="e">
        <f t="shared" si="5"/>
        <v>#REF!</v>
      </c>
      <c r="R22" s="6" t="e">
        <f>VLOOKUP($A22,#REF!,23,0)</f>
        <v>#REF!</v>
      </c>
      <c r="S22" s="6" t="e">
        <f>VLOOKUP($A22,#REF!,17,0)</f>
        <v>#REF!</v>
      </c>
      <c r="T22" s="6" t="e">
        <f>VLOOKUP($A22,#REF!,18,0)</f>
        <v>#REF!</v>
      </c>
      <c r="U22" s="6" t="e">
        <f>VLOOKUP($A22,#REF!,21,0)</f>
        <v>#REF!</v>
      </c>
      <c r="V22" s="6" t="e">
        <f>VLOOKUP($A22,#REF!,22,0)</f>
        <v>#REF!</v>
      </c>
      <c r="W22" s="2"/>
      <c r="X22" s="2"/>
      <c r="Y22" s="6" t="e">
        <f>VLOOKUP(A22,#REF!,40,0)</f>
        <v>#REF!</v>
      </c>
      <c r="Z22" s="6" t="e">
        <f>VLOOKUP($A22,#REF!,41,0)</f>
        <v>#REF!</v>
      </c>
      <c r="AA22" s="2"/>
      <c r="AB22" s="2"/>
      <c r="AC22" s="2"/>
      <c r="AD22" s="2"/>
      <c r="AE22" s="2"/>
      <c r="AF22" s="2"/>
      <c r="AG22" s="2"/>
      <c r="AH22" s="2"/>
    </row>
    <row r="23" spans="1:34" x14ac:dyDescent="0.35">
      <c r="A23" s="1" t="s">
        <v>38</v>
      </c>
      <c r="B23" s="1" t="str">
        <f>VLOOKUP(A23,[30]LISTADHERENT!A$5:H$60,3,0)</f>
        <v>NDJOMO ETIENNE</v>
      </c>
      <c r="C23" s="1"/>
      <c r="D23" s="1"/>
      <c r="E23" s="5" t="e">
        <f t="shared" si="0"/>
        <v>#REF!</v>
      </c>
      <c r="F23" s="5" t="e">
        <f>+#REF!+#REF!+I23</f>
        <v>#REF!</v>
      </c>
      <c r="G23" s="6" t="e">
        <f>VLOOKUP($A23,#REF!,25,0)</f>
        <v>#REF!</v>
      </c>
      <c r="H23" s="6">
        <f>VLOOKUP($A23,[38]TONTJANV21!$A$6:$T$41,4,0)</f>
        <v>23000</v>
      </c>
      <c r="I23" s="6">
        <f t="shared" si="1"/>
        <v>19000</v>
      </c>
      <c r="J23" s="6">
        <f t="shared" si="2"/>
        <v>500</v>
      </c>
      <c r="K23" s="6">
        <f t="shared" si="3"/>
        <v>1000</v>
      </c>
      <c r="L23" s="6">
        <f t="shared" si="4"/>
        <v>2500</v>
      </c>
      <c r="M23" s="6" t="e">
        <f>VLOOKUP($A23,#REF!,5,0)</f>
        <v>#REF!</v>
      </c>
      <c r="N23" s="6" t="e">
        <f>VLOOKUP($A23,#REF!,27,0)</f>
        <v>#REF!</v>
      </c>
      <c r="O23" s="6" t="e">
        <f>VLOOKUP($A23,#REF!,26,0)</f>
        <v>#REF!</v>
      </c>
      <c r="P23" s="6" t="e">
        <f>VLOOKUP($A23,#REF!,20,0)</f>
        <v>#REF!</v>
      </c>
      <c r="Q23" s="6" t="e">
        <f t="shared" si="5"/>
        <v>#REF!</v>
      </c>
      <c r="R23" s="6" t="e">
        <f>VLOOKUP($A23,#REF!,23,0)</f>
        <v>#REF!</v>
      </c>
      <c r="S23" s="6" t="e">
        <f>VLOOKUP($A23,#REF!,17,0)</f>
        <v>#REF!</v>
      </c>
      <c r="T23" s="6" t="e">
        <f>VLOOKUP($A23,#REF!,18,0)</f>
        <v>#REF!</v>
      </c>
      <c r="U23" s="6" t="e">
        <f>VLOOKUP($A23,#REF!,21,0)</f>
        <v>#REF!</v>
      </c>
      <c r="V23" s="6" t="e">
        <f>VLOOKUP($A23,#REF!,22,0)</f>
        <v>#REF!</v>
      </c>
      <c r="W23" s="2"/>
      <c r="X23" s="2"/>
      <c r="Y23" s="6" t="e">
        <f>VLOOKUP(A23,#REF!,40,0)</f>
        <v>#REF!</v>
      </c>
      <c r="Z23" s="6" t="e">
        <f>VLOOKUP($A23,#REF!,41,0)</f>
        <v>#REF!</v>
      </c>
      <c r="AA23" s="2"/>
      <c r="AB23" s="2"/>
      <c r="AC23" s="2"/>
      <c r="AD23" s="2"/>
      <c r="AE23" s="2"/>
      <c r="AF23" s="2"/>
      <c r="AG23" s="2"/>
      <c r="AH23" s="2"/>
    </row>
    <row r="24" spans="1:34" x14ac:dyDescent="0.35">
      <c r="A24" s="1" t="s">
        <v>39</v>
      </c>
      <c r="B24" s="1" t="str">
        <f>VLOOKUP(A24,[30]LISTADHERENT!A$5:H$60,3,0)</f>
        <v>NGONDIEP CLAUDE</v>
      </c>
      <c r="C24" s="1"/>
      <c r="D24" s="1"/>
      <c r="E24" s="5" t="e">
        <f t="shared" si="0"/>
        <v>#REF!</v>
      </c>
      <c r="F24" s="5" t="e">
        <f>+#REF!+#REF!+I24</f>
        <v>#REF!</v>
      </c>
      <c r="G24" s="6" t="e">
        <f>VLOOKUP($A24,#REF!,25,0)</f>
        <v>#REF!</v>
      </c>
      <c r="H24" s="6">
        <f>VLOOKUP($A24,[38]TONTJANV21!$A$6:$T$41,4,0)</f>
        <v>23000</v>
      </c>
      <c r="I24" s="6">
        <f t="shared" si="1"/>
        <v>19000</v>
      </c>
      <c r="J24" s="6">
        <f t="shared" si="2"/>
        <v>500</v>
      </c>
      <c r="K24" s="6">
        <f t="shared" si="3"/>
        <v>1000</v>
      </c>
      <c r="L24" s="6">
        <f t="shared" si="4"/>
        <v>2500</v>
      </c>
      <c r="M24" s="6" t="e">
        <f>VLOOKUP($A24,#REF!,5,0)</f>
        <v>#REF!</v>
      </c>
      <c r="N24" s="6" t="e">
        <f>VLOOKUP($A24,#REF!,27,0)</f>
        <v>#REF!</v>
      </c>
      <c r="O24" s="6" t="e">
        <f>VLOOKUP($A24,#REF!,26,0)</f>
        <v>#REF!</v>
      </c>
      <c r="P24" s="6" t="e">
        <f>VLOOKUP($A24,#REF!,20,0)</f>
        <v>#REF!</v>
      </c>
      <c r="Q24" s="6" t="e">
        <f t="shared" si="5"/>
        <v>#REF!</v>
      </c>
      <c r="R24" s="6" t="e">
        <f>VLOOKUP($A24,#REF!,23,0)</f>
        <v>#REF!</v>
      </c>
      <c r="S24" s="6" t="e">
        <f>VLOOKUP($A24,#REF!,17,0)</f>
        <v>#REF!</v>
      </c>
      <c r="T24" s="6" t="e">
        <f>VLOOKUP($A24,#REF!,18,0)</f>
        <v>#REF!</v>
      </c>
      <c r="U24" s="6" t="e">
        <f>VLOOKUP($A24,#REF!,21,0)</f>
        <v>#REF!</v>
      </c>
      <c r="V24" s="6" t="e">
        <f>VLOOKUP($A24,#REF!,22,0)</f>
        <v>#REF!</v>
      </c>
      <c r="W24" s="2"/>
      <c r="X24" s="2"/>
      <c r="Y24" s="6" t="e">
        <f>VLOOKUP(A24,#REF!,40,0)</f>
        <v>#REF!</v>
      </c>
      <c r="Z24" s="6" t="e">
        <f>VLOOKUP($A24,#REF!,41,0)</f>
        <v>#REF!</v>
      </c>
      <c r="AA24" s="2"/>
      <c r="AB24" s="2"/>
      <c r="AC24" s="2"/>
      <c r="AD24" s="2"/>
      <c r="AE24" s="2"/>
      <c r="AF24" s="2"/>
      <c r="AG24" s="2"/>
      <c r="AH24" s="2"/>
    </row>
    <row r="25" spans="1:34" x14ac:dyDescent="0.35">
      <c r="A25" s="1" t="s">
        <v>41</v>
      </c>
      <c r="B25" s="1" t="str">
        <f>VLOOKUP(A25,[30]LISTADHERENT!A$5:H$60,3,0)</f>
        <v>NGUIEMEGNI MATHIEU BLAISE</v>
      </c>
      <c r="C25" s="1"/>
      <c r="D25" s="1"/>
      <c r="E25" s="5" t="e">
        <f t="shared" si="0"/>
        <v>#REF!</v>
      </c>
      <c r="F25" s="5" t="e">
        <f>+#REF!+#REF!+I25</f>
        <v>#REF!</v>
      </c>
      <c r="G25" s="6" t="e">
        <f>VLOOKUP($A25,#REF!,25,0)</f>
        <v>#REF!</v>
      </c>
      <c r="H25" s="6">
        <f>VLOOKUP($A25,[38]TONTJANV21!$A$6:$T$41,4,0)</f>
        <v>23000</v>
      </c>
      <c r="I25" s="6">
        <f t="shared" si="1"/>
        <v>19000</v>
      </c>
      <c r="J25" s="6">
        <f t="shared" si="2"/>
        <v>500</v>
      </c>
      <c r="K25" s="6">
        <f t="shared" si="3"/>
        <v>1000</v>
      </c>
      <c r="L25" s="6">
        <f t="shared" si="4"/>
        <v>2500</v>
      </c>
      <c r="M25" s="6" t="e">
        <f>VLOOKUP($A25,#REF!,5,0)</f>
        <v>#REF!</v>
      </c>
      <c r="N25" s="6" t="e">
        <f>VLOOKUP($A25,#REF!,27,0)</f>
        <v>#REF!</v>
      </c>
      <c r="O25" s="6" t="e">
        <f>VLOOKUP($A25,#REF!,26,0)</f>
        <v>#REF!</v>
      </c>
      <c r="P25" s="6" t="e">
        <f>VLOOKUP($A25,#REF!,20,0)</f>
        <v>#REF!</v>
      </c>
      <c r="Q25" s="6" t="e">
        <f t="shared" si="5"/>
        <v>#REF!</v>
      </c>
      <c r="R25" s="6" t="e">
        <f>VLOOKUP($A25,#REF!,23,0)</f>
        <v>#REF!</v>
      </c>
      <c r="S25" s="6" t="e">
        <f>VLOOKUP($A25,#REF!,17,0)</f>
        <v>#REF!</v>
      </c>
      <c r="T25" s="6" t="e">
        <f>VLOOKUP($A25,#REF!,18,0)</f>
        <v>#REF!</v>
      </c>
      <c r="U25" s="6" t="e">
        <f>VLOOKUP($A25,#REF!,21,0)</f>
        <v>#REF!</v>
      </c>
      <c r="V25" s="6" t="e">
        <f>VLOOKUP($A25,#REF!,22,0)</f>
        <v>#REF!</v>
      </c>
      <c r="W25" s="2"/>
      <c r="X25" s="2"/>
      <c r="Y25" s="6" t="e">
        <f>VLOOKUP(A25,#REF!,40,0)</f>
        <v>#REF!</v>
      </c>
      <c r="Z25" s="6" t="e">
        <f>VLOOKUP($A25,#REF!,41,0)</f>
        <v>#REF!</v>
      </c>
      <c r="AA25" s="2"/>
      <c r="AB25" s="2"/>
      <c r="AC25" s="2"/>
      <c r="AD25" s="2"/>
      <c r="AE25" s="2"/>
      <c r="AF25" s="2"/>
      <c r="AG25" s="2"/>
      <c r="AH25" s="2"/>
    </row>
    <row r="26" spans="1:34" x14ac:dyDescent="0.35">
      <c r="A26" s="1" t="s">
        <v>43</v>
      </c>
      <c r="B26" s="1" t="str">
        <f>VLOOKUP(A26,[30]LISTADHERENT!A$5:H$60,3,0)</f>
        <v>NKAMGANG JUSTIN DEJOLIE</v>
      </c>
      <c r="C26" s="1"/>
      <c r="D26" s="1"/>
      <c r="E26" s="5" t="e">
        <f t="shared" si="0"/>
        <v>#REF!</v>
      </c>
      <c r="F26" s="5" t="e">
        <f>+#REF!+#REF!+I26</f>
        <v>#REF!</v>
      </c>
      <c r="G26" s="6" t="e">
        <f>VLOOKUP($A26,#REF!,25,0)</f>
        <v>#REF!</v>
      </c>
      <c r="H26" s="6">
        <f>VLOOKUP($A26,[38]TONTJANV21!$A$6:$T$41,4,0)</f>
        <v>23000</v>
      </c>
      <c r="I26" s="6">
        <f t="shared" si="1"/>
        <v>19000</v>
      </c>
      <c r="J26" s="6">
        <f t="shared" si="2"/>
        <v>500</v>
      </c>
      <c r="K26" s="6">
        <f t="shared" si="3"/>
        <v>1000</v>
      </c>
      <c r="L26" s="6">
        <f t="shared" si="4"/>
        <v>2500</v>
      </c>
      <c r="M26" s="6" t="e">
        <f>VLOOKUP($A26,#REF!,5,0)</f>
        <v>#REF!</v>
      </c>
      <c r="N26" s="6" t="e">
        <f>VLOOKUP($A26,#REF!,27,0)</f>
        <v>#REF!</v>
      </c>
      <c r="O26" s="6" t="e">
        <f>VLOOKUP($A26,#REF!,26,0)</f>
        <v>#REF!</v>
      </c>
      <c r="P26" s="6" t="e">
        <f>VLOOKUP($A26,#REF!,20,0)</f>
        <v>#REF!</v>
      </c>
      <c r="Q26" s="6" t="e">
        <f t="shared" si="5"/>
        <v>#REF!</v>
      </c>
      <c r="R26" s="6" t="e">
        <f>VLOOKUP($A26,#REF!,23,0)</f>
        <v>#REF!</v>
      </c>
      <c r="S26" s="6" t="e">
        <f>VLOOKUP($A26,#REF!,17,0)</f>
        <v>#REF!</v>
      </c>
      <c r="T26" s="6" t="e">
        <f>VLOOKUP($A26,#REF!,18,0)</f>
        <v>#REF!</v>
      </c>
      <c r="U26" s="6" t="e">
        <f>VLOOKUP($A26,#REF!,21,0)</f>
        <v>#REF!</v>
      </c>
      <c r="V26" s="6" t="e">
        <f>VLOOKUP($A26,#REF!,22,0)</f>
        <v>#REF!</v>
      </c>
      <c r="W26" s="2"/>
      <c r="X26" s="2"/>
      <c r="Y26" s="6" t="e">
        <f>VLOOKUP(A26,#REF!,40,0)</f>
        <v>#REF!</v>
      </c>
      <c r="Z26" s="6" t="e">
        <f>VLOOKUP($A26,#REF!,41,0)</f>
        <v>#REF!</v>
      </c>
      <c r="AA26" s="2"/>
      <c r="AB26" s="2"/>
      <c r="AC26" s="2"/>
      <c r="AD26" s="2"/>
      <c r="AE26" s="2"/>
      <c r="AF26" s="2"/>
      <c r="AG26" s="2"/>
      <c r="AH26" s="2"/>
    </row>
    <row r="27" spans="1:34" x14ac:dyDescent="0.35">
      <c r="A27" s="1" t="s">
        <v>30</v>
      </c>
      <c r="B27" s="1" t="str">
        <f>VLOOKUP(A27,[30]LISTADHERENT!A$5:H$60,3,0)</f>
        <v>NKEHE DAVID</v>
      </c>
      <c r="C27" s="1"/>
      <c r="D27" s="1"/>
      <c r="E27" s="5" t="e">
        <f t="shared" si="0"/>
        <v>#REF!</v>
      </c>
      <c r="F27" s="5" t="e">
        <f>+#REF!+#REF!+I27</f>
        <v>#REF!</v>
      </c>
      <c r="G27" s="6" t="e">
        <f>VLOOKUP($A27,#REF!,25,0)</f>
        <v>#REF!</v>
      </c>
      <c r="H27" s="6" t="e">
        <f>VLOOKUP($A27,[38]TONTJANV21!$A$6:$T$41,4,0)</f>
        <v>#N/A</v>
      </c>
      <c r="I27" s="6" t="e">
        <f t="shared" si="1"/>
        <v>#N/A</v>
      </c>
      <c r="J27" s="6" t="e">
        <f t="shared" si="2"/>
        <v>#N/A</v>
      </c>
      <c r="K27" s="6" t="e">
        <f t="shared" si="3"/>
        <v>#N/A</v>
      </c>
      <c r="L27" s="6" t="e">
        <f t="shared" si="4"/>
        <v>#N/A</v>
      </c>
      <c r="M27" s="6" t="e">
        <f>VLOOKUP($A27,#REF!,5,0)</f>
        <v>#REF!</v>
      </c>
      <c r="N27" s="6" t="e">
        <f>VLOOKUP($A27,#REF!,27,0)</f>
        <v>#REF!</v>
      </c>
      <c r="O27" s="6" t="e">
        <f>VLOOKUP($A27,#REF!,26,0)</f>
        <v>#REF!</v>
      </c>
      <c r="P27" s="6" t="e">
        <f>VLOOKUP($A27,#REF!,20,0)</f>
        <v>#REF!</v>
      </c>
      <c r="Q27" s="6" t="e">
        <f t="shared" si="5"/>
        <v>#REF!</v>
      </c>
      <c r="R27" s="6" t="e">
        <f>VLOOKUP($A27,#REF!,23,0)</f>
        <v>#REF!</v>
      </c>
      <c r="S27" s="6" t="e">
        <f>VLOOKUP($A27,#REF!,17,0)</f>
        <v>#REF!</v>
      </c>
      <c r="T27" s="6" t="e">
        <f>VLOOKUP($A27,#REF!,18,0)</f>
        <v>#REF!</v>
      </c>
      <c r="U27" s="6" t="e">
        <f>VLOOKUP($A27,#REF!,21,0)</f>
        <v>#REF!</v>
      </c>
      <c r="V27" s="6" t="e">
        <f>VLOOKUP($A27,#REF!,22,0)</f>
        <v>#REF!</v>
      </c>
      <c r="W27" s="2"/>
      <c r="X27" s="2"/>
      <c r="Y27" s="6" t="e">
        <f>VLOOKUP(A27,#REF!,40,0)</f>
        <v>#REF!</v>
      </c>
      <c r="Z27" s="6" t="e">
        <f>VLOOKUP($A27,#REF!,41,0)</f>
        <v>#REF!</v>
      </c>
      <c r="AA27" s="2"/>
      <c r="AB27" s="2"/>
      <c r="AC27" s="2"/>
      <c r="AD27" s="2"/>
      <c r="AE27" s="2"/>
      <c r="AF27" s="2"/>
      <c r="AG27" s="2"/>
      <c r="AH27" s="2"/>
    </row>
    <row r="28" spans="1:34" x14ac:dyDescent="0.35">
      <c r="A28" s="1" t="s">
        <v>44</v>
      </c>
      <c r="B28" s="1" t="str">
        <f>VLOOKUP(A28,[30]LISTADHERENT!A$5:H$60,3,0)</f>
        <v>NKEPSEU DIEUDONNE</v>
      </c>
      <c r="C28" s="1"/>
      <c r="D28" s="1"/>
      <c r="E28" s="5" t="e">
        <f t="shared" si="0"/>
        <v>#REF!</v>
      </c>
      <c r="F28" s="5" t="e">
        <f>+#REF!+#REF!+I28</f>
        <v>#REF!</v>
      </c>
      <c r="G28" s="6" t="e">
        <f>VLOOKUP($A28,#REF!,25,0)</f>
        <v>#REF!</v>
      </c>
      <c r="H28" s="6">
        <f>VLOOKUP($A28,[38]TONTJANV21!$A$6:$T$41,4,0)</f>
        <v>23000</v>
      </c>
      <c r="I28" s="6">
        <f t="shared" si="1"/>
        <v>19000</v>
      </c>
      <c r="J28" s="6">
        <f t="shared" si="2"/>
        <v>500</v>
      </c>
      <c r="K28" s="6">
        <f t="shared" si="3"/>
        <v>1000</v>
      </c>
      <c r="L28" s="6">
        <f t="shared" si="4"/>
        <v>2500</v>
      </c>
      <c r="M28" s="6" t="e">
        <f>VLOOKUP($A28,#REF!,5,0)</f>
        <v>#REF!</v>
      </c>
      <c r="N28" s="6" t="e">
        <f>VLOOKUP($A28,#REF!,27,0)</f>
        <v>#REF!</v>
      </c>
      <c r="O28" s="6" t="e">
        <f>VLOOKUP($A28,#REF!,26,0)</f>
        <v>#REF!</v>
      </c>
      <c r="P28" s="6" t="e">
        <f>VLOOKUP($A28,#REF!,20,0)</f>
        <v>#REF!</v>
      </c>
      <c r="Q28" s="6" t="e">
        <f t="shared" si="5"/>
        <v>#REF!</v>
      </c>
      <c r="R28" s="6" t="e">
        <f>VLOOKUP($A28,#REF!,23,0)</f>
        <v>#REF!</v>
      </c>
      <c r="S28" s="6" t="e">
        <f>VLOOKUP($A28,#REF!,17,0)</f>
        <v>#REF!</v>
      </c>
      <c r="T28" s="6" t="e">
        <f>VLOOKUP($A28,#REF!,18,0)</f>
        <v>#REF!</v>
      </c>
      <c r="U28" s="6" t="e">
        <f>VLOOKUP($A28,#REF!,21,0)</f>
        <v>#REF!</v>
      </c>
      <c r="V28" s="6" t="e">
        <f>VLOOKUP($A28,#REF!,22,0)</f>
        <v>#REF!</v>
      </c>
      <c r="W28" s="7"/>
      <c r="X28" s="7"/>
      <c r="Y28" s="6" t="e">
        <f>VLOOKUP(A28,#REF!,40,0)</f>
        <v>#REF!</v>
      </c>
      <c r="Z28" s="6" t="e">
        <f>VLOOKUP($A28,#REF!,41,0)</f>
        <v>#REF!</v>
      </c>
      <c r="AA28" s="7"/>
      <c r="AB28" s="2"/>
      <c r="AC28" s="2"/>
      <c r="AD28" s="2"/>
      <c r="AE28" s="2"/>
      <c r="AF28" s="2"/>
      <c r="AG28" s="2"/>
      <c r="AH28" s="2"/>
    </row>
    <row r="29" spans="1:34" x14ac:dyDescent="0.35">
      <c r="A29" s="1" t="s">
        <v>45</v>
      </c>
      <c r="B29" s="1" t="str">
        <f>VLOOKUP(A29,[30]LISTADHERENT!A$5:H$60,3,0)</f>
        <v>PATEGO NJOSSU GUSTAVE</v>
      </c>
      <c r="C29" s="1"/>
      <c r="D29" s="1"/>
      <c r="E29" s="5" t="e">
        <f t="shared" si="0"/>
        <v>#REF!</v>
      </c>
      <c r="F29" s="5" t="e">
        <f>+#REF!+#REF!+I29</f>
        <v>#REF!</v>
      </c>
      <c r="G29" s="6" t="e">
        <f>VLOOKUP($A29,#REF!,25,0)</f>
        <v>#REF!</v>
      </c>
      <c r="H29" s="6">
        <f>VLOOKUP($A29,[38]TONTJANV21!$A$6:$T$41,4,0)</f>
        <v>23000</v>
      </c>
      <c r="I29" s="6">
        <f t="shared" si="1"/>
        <v>19000</v>
      </c>
      <c r="J29" s="6">
        <f t="shared" si="2"/>
        <v>500</v>
      </c>
      <c r="K29" s="6">
        <f t="shared" si="3"/>
        <v>1000</v>
      </c>
      <c r="L29" s="6">
        <f t="shared" si="4"/>
        <v>2500</v>
      </c>
      <c r="M29" s="6" t="e">
        <f>VLOOKUP($A29,#REF!,5,0)</f>
        <v>#REF!</v>
      </c>
      <c r="N29" s="6" t="e">
        <f>VLOOKUP($A29,#REF!,27,0)</f>
        <v>#REF!</v>
      </c>
      <c r="O29" s="6" t="e">
        <f>VLOOKUP($A29,#REF!,26,0)</f>
        <v>#REF!</v>
      </c>
      <c r="P29" s="6" t="e">
        <f>VLOOKUP($A29,#REF!,20,0)</f>
        <v>#REF!</v>
      </c>
      <c r="Q29" s="6" t="e">
        <f t="shared" si="5"/>
        <v>#REF!</v>
      </c>
      <c r="R29" s="6" t="e">
        <f>VLOOKUP($A29,#REF!,23,0)</f>
        <v>#REF!</v>
      </c>
      <c r="S29" s="6" t="e">
        <f>VLOOKUP($A29,#REF!,17,0)</f>
        <v>#REF!</v>
      </c>
      <c r="T29" s="6" t="e">
        <f>VLOOKUP($A29,#REF!,18,0)</f>
        <v>#REF!</v>
      </c>
      <c r="U29" s="6" t="e">
        <f>VLOOKUP($A29,#REF!,21,0)</f>
        <v>#REF!</v>
      </c>
      <c r="V29" s="6" t="e">
        <f>VLOOKUP($A29,#REF!,22,0)</f>
        <v>#REF!</v>
      </c>
      <c r="W29" s="2"/>
      <c r="X29" s="2"/>
      <c r="Y29" s="6" t="e">
        <f>VLOOKUP(A29,#REF!,40,0)</f>
        <v>#REF!</v>
      </c>
      <c r="Z29" s="6" t="e">
        <f>VLOOKUP($A29,#REF!,41,0)</f>
        <v>#REF!</v>
      </c>
      <c r="AA29" s="2"/>
      <c r="AB29" s="2"/>
      <c r="AC29" s="2"/>
      <c r="AD29" s="2"/>
      <c r="AE29" s="2"/>
      <c r="AF29" s="2"/>
      <c r="AG29" s="2"/>
      <c r="AH29" s="2"/>
    </row>
    <row r="30" spans="1:34" x14ac:dyDescent="0.35">
      <c r="A30" s="1" t="s">
        <v>81</v>
      </c>
      <c r="B30" s="1" t="str">
        <f>VLOOKUP(A30,[30]LISTADHERENT!A$5:H$60,3,0)</f>
        <v>SIME BRICE</v>
      </c>
      <c r="C30" s="1"/>
      <c r="D30" s="1"/>
      <c r="E30" s="5" t="e">
        <f t="shared" si="0"/>
        <v>#REF!</v>
      </c>
      <c r="F30" s="5" t="e">
        <f>+#REF!+#REF!+I30</f>
        <v>#REF!</v>
      </c>
      <c r="G30" s="6" t="e">
        <f>VLOOKUP($A30,#REF!,25,0)</f>
        <v>#REF!</v>
      </c>
      <c r="H30" s="6">
        <f>VLOOKUP($A30,[38]TONTJANV21!$A$6:$T$41,4,0)</f>
        <v>23000</v>
      </c>
      <c r="I30" s="6">
        <f t="shared" si="1"/>
        <v>19000</v>
      </c>
      <c r="J30" s="6">
        <f t="shared" si="2"/>
        <v>500</v>
      </c>
      <c r="K30" s="6">
        <f t="shared" si="3"/>
        <v>1000</v>
      </c>
      <c r="L30" s="6">
        <f t="shared" si="4"/>
        <v>2500</v>
      </c>
      <c r="M30" s="6" t="e">
        <f>VLOOKUP($A30,#REF!,5,0)</f>
        <v>#REF!</v>
      </c>
      <c r="N30" s="6" t="e">
        <f>VLOOKUP($A30,#REF!,27,0)</f>
        <v>#REF!</v>
      </c>
      <c r="O30" s="6" t="e">
        <f>VLOOKUP($A30,#REF!,26,0)</f>
        <v>#REF!</v>
      </c>
      <c r="P30" s="6" t="e">
        <f>VLOOKUP($A30,#REF!,20,0)</f>
        <v>#REF!</v>
      </c>
      <c r="Q30" s="6" t="e">
        <f t="shared" si="5"/>
        <v>#REF!</v>
      </c>
      <c r="R30" s="6" t="e">
        <f>VLOOKUP($A30,#REF!,23,0)</f>
        <v>#REF!</v>
      </c>
      <c r="S30" s="6" t="e">
        <f>VLOOKUP($A30,#REF!,17,0)</f>
        <v>#REF!</v>
      </c>
      <c r="T30" s="6" t="e">
        <f>VLOOKUP($A30,#REF!,18,0)</f>
        <v>#REF!</v>
      </c>
      <c r="U30" s="6" t="e">
        <f>VLOOKUP($A30,#REF!,21,0)</f>
        <v>#REF!</v>
      </c>
      <c r="V30" s="6" t="e">
        <f>VLOOKUP($A30,#REF!,22,0)</f>
        <v>#REF!</v>
      </c>
      <c r="W30" s="2"/>
      <c r="Y30" s="6" t="e">
        <f>VLOOKUP(A30,#REF!,40,0)</f>
        <v>#REF!</v>
      </c>
      <c r="Z30" s="6" t="e">
        <f>VLOOKUP($A30,#REF!,41,0)</f>
        <v>#REF!</v>
      </c>
      <c r="AB30" s="2"/>
      <c r="AC30" s="2"/>
      <c r="AD30" s="2"/>
      <c r="AE30" s="2"/>
      <c r="AF30" s="2"/>
      <c r="AG30" s="2"/>
      <c r="AH30" s="2"/>
    </row>
    <row r="31" spans="1:34" x14ac:dyDescent="0.35">
      <c r="A31" s="1" t="s">
        <v>48</v>
      </c>
      <c r="B31" s="1" t="str">
        <f>VLOOKUP(A31,[30]LISTADHERENT!A$5:H$60,3,0)</f>
        <v>SIME MATHIEU</v>
      </c>
      <c r="C31" s="1"/>
      <c r="D31" s="1"/>
      <c r="E31" s="5" t="e">
        <f t="shared" si="0"/>
        <v>#REF!</v>
      </c>
      <c r="F31" s="5" t="e">
        <f>+#REF!+#REF!+I31</f>
        <v>#REF!</v>
      </c>
      <c r="G31" s="6" t="e">
        <f>VLOOKUP($A31,#REF!,25,0)</f>
        <v>#REF!</v>
      </c>
      <c r="H31" s="6">
        <f>VLOOKUP($A31,[38]TONTJANV21!$A$6:$T$41,4,0)</f>
        <v>23000</v>
      </c>
      <c r="I31" s="6">
        <f t="shared" si="1"/>
        <v>19000</v>
      </c>
      <c r="J31" s="6">
        <f t="shared" si="2"/>
        <v>500</v>
      </c>
      <c r="K31" s="6">
        <f t="shared" si="3"/>
        <v>1000</v>
      </c>
      <c r="L31" s="6">
        <f t="shared" si="4"/>
        <v>2500</v>
      </c>
      <c r="M31" s="6" t="e">
        <f>VLOOKUP($A31,#REF!,5,0)</f>
        <v>#REF!</v>
      </c>
      <c r="N31" s="6" t="e">
        <f>VLOOKUP($A31,#REF!,27,0)</f>
        <v>#REF!</v>
      </c>
      <c r="O31" s="6" t="e">
        <f>VLOOKUP($A31,#REF!,26,0)</f>
        <v>#REF!</v>
      </c>
      <c r="P31" s="6" t="e">
        <f>VLOOKUP($A31,#REF!,20,0)</f>
        <v>#REF!</v>
      </c>
      <c r="Q31" s="6" t="e">
        <f t="shared" si="5"/>
        <v>#REF!</v>
      </c>
      <c r="R31" s="6" t="e">
        <f>VLOOKUP($A31,#REF!,23,0)</f>
        <v>#REF!</v>
      </c>
      <c r="S31" s="6" t="e">
        <f>VLOOKUP($A31,#REF!,17,0)</f>
        <v>#REF!</v>
      </c>
      <c r="T31" s="6" t="e">
        <f>VLOOKUP($A31,#REF!,18,0)</f>
        <v>#REF!</v>
      </c>
      <c r="U31" s="6" t="e">
        <f>VLOOKUP($A31,#REF!,21,0)</f>
        <v>#REF!</v>
      </c>
      <c r="V31" s="6" t="e">
        <f>VLOOKUP($A31,#REF!,22,0)</f>
        <v>#REF!</v>
      </c>
      <c r="W31" s="2"/>
      <c r="X31" s="2"/>
      <c r="Y31" s="6" t="e">
        <f>VLOOKUP(A31,#REF!,40,0)</f>
        <v>#REF!</v>
      </c>
      <c r="Z31" s="6" t="e">
        <f>VLOOKUP($A31,#REF!,41,0)</f>
        <v>#REF!</v>
      </c>
      <c r="AA31" s="2"/>
      <c r="AB31" s="2"/>
      <c r="AC31" s="2"/>
      <c r="AD31" s="2"/>
      <c r="AE31" s="2"/>
      <c r="AF31" s="2"/>
      <c r="AG31" s="2"/>
      <c r="AH31" s="2"/>
    </row>
    <row r="32" spans="1:34" x14ac:dyDescent="0.35">
      <c r="A32" s="1" t="s">
        <v>47</v>
      </c>
      <c r="B32" s="1" t="str">
        <f>VLOOKUP(A32,[30]LISTADHERENT!A$5:H$60,3,0)</f>
        <v>SIMO FONGANG ERIC</v>
      </c>
      <c r="C32" s="1"/>
      <c r="D32" s="1"/>
      <c r="E32" s="5" t="e">
        <f t="shared" si="0"/>
        <v>#REF!</v>
      </c>
      <c r="F32" s="5" t="e">
        <f>+#REF!+#REF!+I32</f>
        <v>#REF!</v>
      </c>
      <c r="G32" s="6" t="e">
        <f>VLOOKUP($A32,#REF!,25,0)</f>
        <v>#REF!</v>
      </c>
      <c r="H32" s="6">
        <f>VLOOKUP($A32,[38]TONTJANV21!$A$6:$T$41,4,0)</f>
        <v>23000</v>
      </c>
      <c r="I32" s="6">
        <f t="shared" si="1"/>
        <v>19000</v>
      </c>
      <c r="J32" s="6">
        <f t="shared" si="2"/>
        <v>500</v>
      </c>
      <c r="K32" s="6">
        <f t="shared" si="3"/>
        <v>1000</v>
      </c>
      <c r="L32" s="6">
        <f t="shared" si="4"/>
        <v>2500</v>
      </c>
      <c r="M32" s="6" t="e">
        <f>VLOOKUP($A32,#REF!,5,0)</f>
        <v>#REF!</v>
      </c>
      <c r="N32" s="6" t="e">
        <f>VLOOKUP($A32,#REF!,27,0)</f>
        <v>#REF!</v>
      </c>
      <c r="O32" s="6" t="e">
        <f>VLOOKUP($A32,#REF!,26,0)</f>
        <v>#REF!</v>
      </c>
      <c r="P32" s="6" t="e">
        <f>VLOOKUP($A32,#REF!,20,0)</f>
        <v>#REF!</v>
      </c>
      <c r="Q32" s="6" t="e">
        <f t="shared" si="5"/>
        <v>#REF!</v>
      </c>
      <c r="R32" s="6" t="e">
        <f>VLOOKUP($A32,#REF!,23,0)</f>
        <v>#REF!</v>
      </c>
      <c r="S32" s="6" t="e">
        <f>VLOOKUP($A32,#REF!,17,0)</f>
        <v>#REF!</v>
      </c>
      <c r="T32" s="6" t="e">
        <f>VLOOKUP($A32,#REF!,18,0)</f>
        <v>#REF!</v>
      </c>
      <c r="U32" s="6" t="e">
        <f>VLOOKUP($A32,#REF!,21,0)</f>
        <v>#REF!</v>
      </c>
      <c r="V32" s="6" t="e">
        <f>VLOOKUP($A32,#REF!,22,0)</f>
        <v>#REF!</v>
      </c>
      <c r="W32" s="2"/>
      <c r="X32" s="2"/>
      <c r="Y32" s="6" t="e">
        <f>VLOOKUP(A32,#REF!,40,0)</f>
        <v>#REF!</v>
      </c>
      <c r="Z32" s="6" t="e">
        <f>VLOOKUP($A32,#REF!,41,0)</f>
        <v>#REF!</v>
      </c>
      <c r="AA32" s="2"/>
      <c r="AB32" s="2"/>
      <c r="AC32" s="2"/>
      <c r="AD32" s="2"/>
      <c r="AE32" s="2"/>
      <c r="AF32" s="2"/>
      <c r="AG32" s="2"/>
      <c r="AH32" s="2"/>
    </row>
    <row r="33" spans="1:34" x14ac:dyDescent="0.35">
      <c r="A33" s="1" t="s">
        <v>49</v>
      </c>
      <c r="B33" s="1" t="str">
        <f>VLOOKUP(A33,[30]LISTADHERENT!A$5:H$60,3,0)</f>
        <v>SIMO PIERRE</v>
      </c>
      <c r="C33" s="1"/>
      <c r="D33" s="1"/>
      <c r="E33" s="5" t="e">
        <f t="shared" si="0"/>
        <v>#REF!</v>
      </c>
      <c r="F33" s="5" t="e">
        <f>+#REF!+#REF!+I33</f>
        <v>#REF!</v>
      </c>
      <c r="G33" s="6" t="e">
        <f>VLOOKUP($A33,#REF!,25,0)</f>
        <v>#REF!</v>
      </c>
      <c r="H33" s="6">
        <f>VLOOKUP($A33,[38]TONTJANV21!$A$6:$T$41,4,0)</f>
        <v>23000</v>
      </c>
      <c r="I33" s="6">
        <f t="shared" si="1"/>
        <v>19000</v>
      </c>
      <c r="J33" s="6">
        <f t="shared" si="2"/>
        <v>500</v>
      </c>
      <c r="K33" s="6">
        <f t="shared" si="3"/>
        <v>1000</v>
      </c>
      <c r="L33" s="6">
        <f t="shared" si="4"/>
        <v>2500</v>
      </c>
      <c r="M33" s="6" t="e">
        <f>VLOOKUP($A33,#REF!,5,0)</f>
        <v>#REF!</v>
      </c>
      <c r="N33" s="6" t="e">
        <f>VLOOKUP($A33,#REF!,27,0)</f>
        <v>#REF!</v>
      </c>
      <c r="O33" s="6" t="e">
        <f>VLOOKUP($A33,#REF!,26,0)</f>
        <v>#REF!</v>
      </c>
      <c r="P33" s="6" t="e">
        <f>VLOOKUP($A33,#REF!,20,0)</f>
        <v>#REF!</v>
      </c>
      <c r="Q33" s="6" t="e">
        <f t="shared" si="5"/>
        <v>#REF!</v>
      </c>
      <c r="R33" s="6" t="e">
        <f>VLOOKUP($A33,#REF!,23,0)</f>
        <v>#REF!</v>
      </c>
      <c r="S33" s="6" t="e">
        <f>VLOOKUP($A33,#REF!,17,0)</f>
        <v>#REF!</v>
      </c>
      <c r="T33" s="6" t="e">
        <f>VLOOKUP($A33,#REF!,18,0)</f>
        <v>#REF!</v>
      </c>
      <c r="U33" s="6" t="e">
        <f>VLOOKUP($A33,#REF!,21,0)</f>
        <v>#REF!</v>
      </c>
      <c r="V33" s="6" t="e">
        <f>VLOOKUP($A33,#REF!,22,0)</f>
        <v>#REF!</v>
      </c>
      <c r="W33" s="2"/>
      <c r="X33" s="2"/>
      <c r="Y33" s="6" t="e">
        <f>VLOOKUP(A33,#REF!,40,0)</f>
        <v>#REF!</v>
      </c>
      <c r="Z33" s="6" t="e">
        <f>VLOOKUP($A33,#REF!,41,0)</f>
        <v>#REF!</v>
      </c>
      <c r="AA33" s="2"/>
      <c r="AB33" s="2"/>
      <c r="AC33" s="2"/>
      <c r="AD33" s="2"/>
      <c r="AE33" s="2"/>
      <c r="AF33" s="2"/>
      <c r="AG33" s="2"/>
      <c r="AH33" s="2"/>
    </row>
    <row r="34" spans="1:34" x14ac:dyDescent="0.35">
      <c r="A34" s="1" t="s">
        <v>170</v>
      </c>
      <c r="B34" s="1" t="str">
        <f>VLOOKUP(A34,[30]LISTADHERENT!A$5:H$60,3,0)</f>
        <v>TCHEMHOU EMMANUEL</v>
      </c>
      <c r="C34" s="1"/>
      <c r="D34" s="1"/>
      <c r="E34" s="5" t="e">
        <f t="shared" si="0"/>
        <v>#REF!</v>
      </c>
      <c r="F34" s="5">
        <v>0</v>
      </c>
      <c r="G34" s="6" t="e">
        <f>VLOOKUP($A34,#REF!,25,0)</f>
        <v>#REF!</v>
      </c>
      <c r="H34" s="6" t="e">
        <f>VLOOKUP($A34,[38]TONTJANV21!$A$6:$T$41,4,0)</f>
        <v>#N/A</v>
      </c>
      <c r="I34" s="6" t="e">
        <f t="shared" si="1"/>
        <v>#N/A</v>
      </c>
      <c r="J34" s="6" t="e">
        <f t="shared" si="2"/>
        <v>#N/A</v>
      </c>
      <c r="K34" s="6" t="e">
        <f t="shared" si="3"/>
        <v>#N/A</v>
      </c>
      <c r="L34" s="6" t="e">
        <f t="shared" si="4"/>
        <v>#N/A</v>
      </c>
      <c r="M34" s="6" t="e">
        <f>VLOOKUP($A34,#REF!,5,0)</f>
        <v>#REF!</v>
      </c>
      <c r="N34" s="6" t="e">
        <f>VLOOKUP($A34,#REF!,27,0)</f>
        <v>#REF!</v>
      </c>
      <c r="O34" s="6" t="e">
        <f>VLOOKUP($A34,#REF!,26,0)</f>
        <v>#REF!</v>
      </c>
      <c r="P34" s="6" t="e">
        <f>VLOOKUP($A34,#REF!,20,0)</f>
        <v>#REF!</v>
      </c>
      <c r="Q34" s="6" t="e">
        <f t="shared" si="5"/>
        <v>#REF!</v>
      </c>
      <c r="R34" s="6" t="e">
        <f>VLOOKUP($A34,#REF!,23,0)</f>
        <v>#REF!</v>
      </c>
      <c r="S34" s="6" t="e">
        <f>VLOOKUP($A34,#REF!,17,0)</f>
        <v>#REF!</v>
      </c>
      <c r="T34" s="6" t="e">
        <f>VLOOKUP($A34,#REF!,18,0)</f>
        <v>#REF!</v>
      </c>
      <c r="U34" s="6" t="e">
        <f>VLOOKUP($A34,#REF!,21,0)</f>
        <v>#REF!</v>
      </c>
      <c r="V34" s="6" t="e">
        <f>VLOOKUP($A34,#REF!,22,0)</f>
        <v>#REF!</v>
      </c>
      <c r="W34" s="2"/>
      <c r="X34" s="2"/>
      <c r="Y34" s="6" t="e">
        <f>VLOOKUP(A34,#REF!,40,0)</f>
        <v>#REF!</v>
      </c>
      <c r="Z34" s="6" t="e">
        <f>VLOOKUP($A34,#REF!,41,0)</f>
        <v>#REF!</v>
      </c>
      <c r="AA34" s="2"/>
      <c r="AB34" s="2"/>
      <c r="AC34" s="2"/>
      <c r="AD34" s="2"/>
      <c r="AE34" s="2"/>
      <c r="AF34" s="2"/>
      <c r="AG34" s="2"/>
      <c r="AH34" s="2"/>
    </row>
    <row r="35" spans="1:34" x14ac:dyDescent="0.35">
      <c r="A35" s="1" t="s">
        <v>51</v>
      </c>
      <c r="B35" s="1" t="str">
        <f>VLOOKUP(A35,[30]LISTADHERENT!A$5:H$60,3,0)</f>
        <v>TCHOUAMOU MATHIEU</v>
      </c>
      <c r="C35" s="1"/>
      <c r="D35" s="1"/>
      <c r="E35" s="5" t="e">
        <f t="shared" si="0"/>
        <v>#REF!</v>
      </c>
      <c r="F35" s="5" t="e">
        <f>+#REF!+#REF!+I35</f>
        <v>#REF!</v>
      </c>
      <c r="G35" s="6" t="e">
        <f>VLOOKUP($A35,#REF!,25,0)</f>
        <v>#REF!</v>
      </c>
      <c r="H35" s="6">
        <f>VLOOKUP($A35,[38]TONTJANV21!$A$6:$T$41,4,0)</f>
        <v>23000</v>
      </c>
      <c r="I35" s="6">
        <f t="shared" si="1"/>
        <v>19000</v>
      </c>
      <c r="J35" s="6">
        <f t="shared" si="2"/>
        <v>500</v>
      </c>
      <c r="K35" s="6">
        <f t="shared" si="3"/>
        <v>1000</v>
      </c>
      <c r="L35" s="6">
        <f t="shared" si="4"/>
        <v>2500</v>
      </c>
      <c r="M35" s="6" t="e">
        <f>VLOOKUP($A35,#REF!,5,0)</f>
        <v>#REF!</v>
      </c>
      <c r="N35" s="6" t="e">
        <f>VLOOKUP($A35,#REF!,27,0)</f>
        <v>#REF!</v>
      </c>
      <c r="O35" s="6" t="e">
        <f>VLOOKUP($A35,#REF!,26,0)</f>
        <v>#REF!</v>
      </c>
      <c r="P35" s="6" t="e">
        <f>VLOOKUP($A35,#REF!,20,0)</f>
        <v>#REF!</v>
      </c>
      <c r="Q35" s="6" t="e">
        <f t="shared" si="5"/>
        <v>#REF!</v>
      </c>
      <c r="R35" s="6" t="e">
        <f>VLOOKUP($A35,#REF!,23,0)</f>
        <v>#REF!</v>
      </c>
      <c r="S35" s="6" t="e">
        <f>VLOOKUP($A35,#REF!,17,0)</f>
        <v>#REF!</v>
      </c>
      <c r="T35" s="6" t="e">
        <f>VLOOKUP($A35,#REF!,18,0)</f>
        <v>#REF!</v>
      </c>
      <c r="U35" s="6" t="e">
        <f>VLOOKUP($A35,#REF!,21,0)</f>
        <v>#REF!</v>
      </c>
      <c r="V35" s="6" t="e">
        <f>VLOOKUP($A35,#REF!,22,0)</f>
        <v>#REF!</v>
      </c>
      <c r="W35" s="2"/>
      <c r="X35" s="2"/>
      <c r="Y35" s="6" t="e">
        <f>VLOOKUP(A35,#REF!,40,0)</f>
        <v>#REF!</v>
      </c>
      <c r="Z35" s="6" t="e">
        <f>VLOOKUP($A35,#REF!,41,0)</f>
        <v>#REF!</v>
      </c>
      <c r="AA35" s="2"/>
    </row>
    <row r="36" spans="1:34" x14ac:dyDescent="0.35">
      <c r="A36" s="1" t="s">
        <v>54</v>
      </c>
      <c r="B36" s="1" t="str">
        <f>VLOOKUP(A36,[30]LISTADHERENT!A$5:H$60,3,0)</f>
        <v>TIEYAM ERNEST</v>
      </c>
      <c r="C36" s="1"/>
      <c r="D36" s="1"/>
      <c r="E36" s="5" t="e">
        <f t="shared" si="0"/>
        <v>#REF!</v>
      </c>
      <c r="F36" s="5" t="e">
        <f>+#REF!+#REF!+I36</f>
        <v>#REF!</v>
      </c>
      <c r="G36" s="6" t="e">
        <f>VLOOKUP($A36,#REF!,25,0)</f>
        <v>#REF!</v>
      </c>
      <c r="H36" s="6" t="e">
        <f>VLOOKUP($A36,[38]TONTJANV21!$A$6:$T$41,4,0)</f>
        <v>#N/A</v>
      </c>
      <c r="I36" s="6" t="e">
        <f t="shared" si="1"/>
        <v>#N/A</v>
      </c>
      <c r="J36" s="6" t="e">
        <f t="shared" si="2"/>
        <v>#N/A</v>
      </c>
      <c r="K36" s="6" t="e">
        <f t="shared" si="3"/>
        <v>#N/A</v>
      </c>
      <c r="L36" s="6" t="e">
        <f t="shared" si="4"/>
        <v>#N/A</v>
      </c>
      <c r="M36" s="6" t="e">
        <f>VLOOKUP($A36,#REF!,5,0)</f>
        <v>#REF!</v>
      </c>
      <c r="N36" s="6" t="e">
        <f>VLOOKUP($A36,#REF!,27,0)</f>
        <v>#REF!</v>
      </c>
      <c r="O36" s="6" t="e">
        <f>VLOOKUP($A36,#REF!,26,0)</f>
        <v>#REF!</v>
      </c>
      <c r="P36" s="6" t="e">
        <f>VLOOKUP($A36,#REF!,20,0)</f>
        <v>#REF!</v>
      </c>
      <c r="Q36" s="6" t="e">
        <f t="shared" si="5"/>
        <v>#REF!</v>
      </c>
      <c r="R36" s="6" t="e">
        <f>VLOOKUP($A36,#REF!,23,0)</f>
        <v>#REF!</v>
      </c>
      <c r="S36" s="6" t="e">
        <f>VLOOKUP($A36,#REF!,17,0)</f>
        <v>#REF!</v>
      </c>
      <c r="T36" s="6" t="e">
        <f>VLOOKUP($A36,#REF!,18,0)</f>
        <v>#REF!</v>
      </c>
      <c r="U36" s="6" t="e">
        <f>VLOOKUP($A36,#REF!,21,0)</f>
        <v>#REF!</v>
      </c>
      <c r="V36" s="6" t="e">
        <f>VLOOKUP($A36,#REF!,22,0)</f>
        <v>#REF!</v>
      </c>
      <c r="W36" s="2"/>
      <c r="X36" s="2"/>
      <c r="Y36" s="6" t="e">
        <f>VLOOKUP(A36,#REF!,40,0)</f>
        <v>#REF!</v>
      </c>
      <c r="Z36" s="6" t="e">
        <f>VLOOKUP($A36,#REF!,41,0)</f>
        <v>#REF!</v>
      </c>
      <c r="AA36" s="2"/>
    </row>
    <row r="37" spans="1:34" x14ac:dyDescent="0.35">
      <c r="A37" s="1" t="s">
        <v>55</v>
      </c>
      <c r="B37" s="1" t="str">
        <f>VLOOKUP(A37,[30]LISTADHERENT!A$5:H$60,3,0)</f>
        <v>YEPMOU JEAN JACQUES</v>
      </c>
      <c r="C37" s="1"/>
      <c r="D37" s="1"/>
      <c r="E37" s="5" t="e">
        <f t="shared" si="0"/>
        <v>#REF!</v>
      </c>
      <c r="F37" s="5" t="e">
        <f>+#REF!+#REF!+I37</f>
        <v>#REF!</v>
      </c>
      <c r="G37" s="6" t="e">
        <f>VLOOKUP($A37,#REF!,25,0)</f>
        <v>#REF!</v>
      </c>
      <c r="H37" s="6">
        <f>VLOOKUP($A37,[38]TONTJANV21!$A$6:$T$41,4,0)</f>
        <v>23000</v>
      </c>
      <c r="I37" s="6">
        <f t="shared" si="1"/>
        <v>19000</v>
      </c>
      <c r="J37" s="6">
        <f t="shared" si="2"/>
        <v>500</v>
      </c>
      <c r="K37" s="6">
        <f t="shared" si="3"/>
        <v>1000</v>
      </c>
      <c r="L37" s="6">
        <f t="shared" si="4"/>
        <v>2500</v>
      </c>
      <c r="M37" s="6" t="e">
        <f>VLOOKUP($A37,#REF!,5,0)</f>
        <v>#REF!</v>
      </c>
      <c r="N37" s="6" t="e">
        <f>VLOOKUP($A37,#REF!,27,0)</f>
        <v>#REF!</v>
      </c>
      <c r="O37" s="6" t="e">
        <f>VLOOKUP($A37,#REF!,26,0)</f>
        <v>#REF!</v>
      </c>
      <c r="P37" s="6" t="e">
        <f>VLOOKUP($A37,#REF!,20,0)</f>
        <v>#REF!</v>
      </c>
      <c r="Q37" s="6" t="e">
        <f t="shared" si="5"/>
        <v>#REF!</v>
      </c>
      <c r="R37" s="6" t="e">
        <f>VLOOKUP($A37,#REF!,23,0)</f>
        <v>#REF!</v>
      </c>
      <c r="S37" s="6" t="e">
        <f>VLOOKUP($A37,#REF!,17,0)</f>
        <v>#REF!</v>
      </c>
      <c r="T37" s="6" t="e">
        <f>VLOOKUP($A37,#REF!,18,0)</f>
        <v>#REF!</v>
      </c>
      <c r="U37" s="6" t="e">
        <f>VLOOKUP($A37,#REF!,21,0)</f>
        <v>#REF!</v>
      </c>
      <c r="V37" s="6" t="e">
        <f>VLOOKUP($A37,#REF!,22,0)</f>
        <v>#REF!</v>
      </c>
      <c r="W37" s="2"/>
      <c r="X37" s="2"/>
      <c r="Y37" s="6" t="e">
        <f>VLOOKUP(A37,#REF!,40,0)</f>
        <v>#REF!</v>
      </c>
      <c r="Z37" s="6" t="e">
        <f>VLOOKUP($A37,#REF!,41,0)</f>
        <v>#REF!</v>
      </c>
      <c r="AA37" s="2"/>
    </row>
    <row r="38" spans="1:34" x14ac:dyDescent="0.35">
      <c r="A38" s="1" t="s">
        <v>56</v>
      </c>
      <c r="B38" s="1" t="str">
        <f>VLOOKUP(A38,[30]LISTADHERENT!A$5:H$60,3,0)</f>
        <v>YOUMBI EMMANUEL</v>
      </c>
      <c r="C38" s="1"/>
      <c r="D38" s="1"/>
      <c r="E38" s="5" t="e">
        <f t="shared" si="0"/>
        <v>#REF!</v>
      </c>
      <c r="F38" s="5" t="e">
        <f>+#REF!+#REF!+I38</f>
        <v>#REF!</v>
      </c>
      <c r="G38" s="6" t="e">
        <f>VLOOKUP($A38,#REF!,25,0)</f>
        <v>#REF!</v>
      </c>
      <c r="H38" s="6">
        <f>VLOOKUP($A38,[38]TONTJANV21!$A$6:$T$41,4,0)</f>
        <v>23000</v>
      </c>
      <c r="I38" s="6">
        <f t="shared" si="1"/>
        <v>19000</v>
      </c>
      <c r="J38" s="6">
        <f t="shared" si="2"/>
        <v>500</v>
      </c>
      <c r="K38" s="6">
        <f t="shared" si="3"/>
        <v>1000</v>
      </c>
      <c r="L38" s="6">
        <f t="shared" si="4"/>
        <v>2500</v>
      </c>
      <c r="M38" s="6" t="e">
        <f>VLOOKUP($A38,#REF!,5,0)</f>
        <v>#REF!</v>
      </c>
      <c r="N38" s="6" t="e">
        <f>VLOOKUP($A38,#REF!,27,0)</f>
        <v>#REF!</v>
      </c>
      <c r="O38" s="6" t="e">
        <f>VLOOKUP($A38,#REF!,26,0)</f>
        <v>#REF!</v>
      </c>
      <c r="P38" s="6" t="e">
        <f>VLOOKUP($A38,#REF!,20,0)</f>
        <v>#REF!</v>
      </c>
      <c r="Q38" s="6" t="e">
        <f t="shared" si="5"/>
        <v>#REF!</v>
      </c>
      <c r="R38" s="6" t="e">
        <f>VLOOKUP($A38,#REF!,23,0)</f>
        <v>#REF!</v>
      </c>
      <c r="S38" s="6" t="e">
        <f>VLOOKUP($A38,#REF!,17,0)</f>
        <v>#REF!</v>
      </c>
      <c r="T38" s="6" t="e">
        <f>VLOOKUP($A38,#REF!,18,0)</f>
        <v>#REF!</v>
      </c>
      <c r="U38" s="6" t="e">
        <f>VLOOKUP($A38,#REF!,21,0)</f>
        <v>#REF!</v>
      </c>
      <c r="V38" s="6" t="e">
        <f>VLOOKUP($A38,#REF!,22,0)</f>
        <v>#REF!</v>
      </c>
      <c r="W38" s="2"/>
      <c r="X38" s="2"/>
      <c r="Y38" s="6" t="e">
        <f>VLOOKUP(A38,#REF!,40,0)</f>
        <v>#REF!</v>
      </c>
      <c r="Z38" s="6" t="e">
        <f>VLOOKUP($A38,#REF!,41,0)</f>
        <v>#REF!</v>
      </c>
    </row>
    <row r="39" spans="1:34" x14ac:dyDescent="0.35">
      <c r="A39" s="15"/>
      <c r="B39" s="1"/>
      <c r="C39" s="1"/>
      <c r="D39" s="1"/>
      <c r="E39" s="5"/>
      <c r="F39" s="5"/>
      <c r="G39" s="5"/>
      <c r="H39" s="6"/>
      <c r="I39" s="6"/>
      <c r="J39" s="6"/>
      <c r="K39" s="6"/>
      <c r="L39" s="6"/>
      <c r="M39" s="6"/>
      <c r="N39" s="6"/>
      <c r="P39" s="6"/>
      <c r="Q39" s="6"/>
      <c r="R39" s="6"/>
      <c r="S39" s="6"/>
      <c r="T39" s="10"/>
      <c r="U39" s="10"/>
      <c r="V39" s="10"/>
      <c r="W39" s="2"/>
    </row>
    <row r="40" spans="1:34" x14ac:dyDescent="0.35">
      <c r="A40" s="15"/>
      <c r="B40" s="1"/>
      <c r="C40" s="1"/>
      <c r="D40" s="1"/>
      <c r="E40" s="5"/>
      <c r="F40" s="5"/>
      <c r="G40" s="5"/>
      <c r="H40" s="6"/>
      <c r="I40" s="6"/>
      <c r="J40" s="6"/>
      <c r="K40" s="6"/>
      <c r="L40" s="6"/>
      <c r="M40" s="6"/>
      <c r="N40" s="6"/>
      <c r="P40" s="6"/>
      <c r="Q40" s="6"/>
      <c r="R40" s="6"/>
      <c r="S40" s="6"/>
      <c r="T40" s="10"/>
      <c r="U40" s="10"/>
      <c r="V40" s="10"/>
      <c r="W40" s="2"/>
    </row>
    <row r="41" spans="1:34" x14ac:dyDescent="0.35">
      <c r="A41" s="1"/>
      <c r="B41" s="1"/>
      <c r="C41" s="1"/>
      <c r="D41" s="1"/>
      <c r="E41" s="1"/>
      <c r="F41" s="5"/>
      <c r="G41" s="1"/>
      <c r="H41" s="1"/>
    </row>
    <row r="42" spans="1:34" ht="17.5" x14ac:dyDescent="0.35">
      <c r="A42" s="1" t="s">
        <v>57</v>
      </c>
      <c r="B42" s="1"/>
      <c r="C42" s="1"/>
      <c r="D42" s="1"/>
      <c r="E42" s="9" t="e">
        <f t="shared" ref="E42:O42" si="6">SUM(E6:E38)</f>
        <v>#REF!</v>
      </c>
      <c r="F42" s="9" t="e">
        <f t="shared" si="6"/>
        <v>#REF!</v>
      </c>
      <c r="G42" s="9" t="e">
        <f t="shared" si="6"/>
        <v>#REF!</v>
      </c>
      <c r="H42" s="9" t="e">
        <f t="shared" si="6"/>
        <v>#N/A</v>
      </c>
      <c r="I42" s="9" t="e">
        <f t="shared" si="6"/>
        <v>#N/A</v>
      </c>
      <c r="J42" s="9" t="e">
        <f t="shared" si="6"/>
        <v>#N/A</v>
      </c>
      <c r="K42" s="9" t="e">
        <f t="shared" si="6"/>
        <v>#N/A</v>
      </c>
      <c r="L42" s="9" t="e">
        <f t="shared" si="6"/>
        <v>#N/A</v>
      </c>
      <c r="M42" s="9" t="e">
        <f t="shared" si="6"/>
        <v>#REF!</v>
      </c>
      <c r="N42" s="9" t="e">
        <f t="shared" si="6"/>
        <v>#REF!</v>
      </c>
      <c r="O42" s="9" t="e">
        <f t="shared" si="6"/>
        <v>#REF!</v>
      </c>
      <c r="P42" s="9" t="e">
        <f>SUM(P6:P36)</f>
        <v>#REF!</v>
      </c>
      <c r="Q42" s="9" t="e">
        <f>SUM(Q6:Q38)</f>
        <v>#REF!</v>
      </c>
      <c r="R42" s="9"/>
      <c r="S42" s="9" t="e">
        <f>SUM(S6:S38)</f>
        <v>#REF!</v>
      </c>
      <c r="T42" s="9"/>
      <c r="U42" s="9"/>
      <c r="V42" s="9"/>
      <c r="W42" s="9">
        <f>SUM(W6:W35)</f>
        <v>0</v>
      </c>
      <c r="X42" s="9">
        <f>SUM(X6:X35)</f>
        <v>0</v>
      </c>
      <c r="Z42" s="9" t="e">
        <f>SUM(Z6:Z35)</f>
        <v>#REF!</v>
      </c>
    </row>
    <row r="45" spans="1:34" ht="17.5" x14ac:dyDescent="0.35">
      <c r="E45" s="4"/>
      <c r="F45" s="9" t="s">
        <v>59</v>
      </c>
      <c r="G45" s="9">
        <f>[3]TONTDEC20!$E$51</f>
        <v>600000</v>
      </c>
    </row>
    <row r="46" spans="1:34" ht="17.5" x14ac:dyDescent="0.35">
      <c r="E46" s="4"/>
      <c r="F46" s="9" t="s">
        <v>84</v>
      </c>
      <c r="G46" s="9" t="e">
        <f>+M42</f>
        <v>#REF!</v>
      </c>
    </row>
    <row r="47" spans="1:34" ht="17.5" x14ac:dyDescent="0.35">
      <c r="E47" s="4"/>
      <c r="F47" s="9" t="s">
        <v>8</v>
      </c>
      <c r="G47" s="9" t="e">
        <f>+G42</f>
        <v>#REF!</v>
      </c>
    </row>
    <row r="48" spans="1:34" ht="17.5" x14ac:dyDescent="0.35">
      <c r="E48" s="4"/>
      <c r="F48" s="9" t="s">
        <v>9</v>
      </c>
      <c r="G48" s="9" t="e">
        <f>+I42</f>
        <v>#N/A</v>
      </c>
    </row>
    <row r="49" spans="5:8" ht="17.5" x14ac:dyDescent="0.35">
      <c r="E49" s="4"/>
      <c r="F49" s="9" t="s">
        <v>10</v>
      </c>
      <c r="G49" s="9" t="e">
        <f>+J42</f>
        <v>#N/A</v>
      </c>
    </row>
    <row r="50" spans="5:8" ht="17.5" x14ac:dyDescent="0.35">
      <c r="E50" s="4"/>
      <c r="F50" s="9" t="s">
        <v>58</v>
      </c>
      <c r="G50" s="9" t="e">
        <f>+K42</f>
        <v>#N/A</v>
      </c>
    </row>
    <row r="51" spans="5:8" ht="17.5" x14ac:dyDescent="0.35">
      <c r="E51" s="4"/>
      <c r="F51" s="9" t="s">
        <v>12</v>
      </c>
      <c r="G51" s="9" t="e">
        <f>+L42</f>
        <v>#N/A</v>
      </c>
    </row>
    <row r="52" spans="5:8" ht="17.5" x14ac:dyDescent="0.35">
      <c r="E52" s="4"/>
      <c r="F52" s="9" t="s">
        <v>71</v>
      </c>
      <c r="G52" s="9">
        <f>+N41</f>
        <v>0</v>
      </c>
    </row>
    <row r="53" spans="5:8" ht="17.5" x14ac:dyDescent="0.35">
      <c r="E53" s="4"/>
      <c r="F53" s="9" t="s">
        <v>13</v>
      </c>
      <c r="G53" s="9" t="e">
        <f>+O42</f>
        <v>#REF!</v>
      </c>
    </row>
    <row r="54" spans="5:8" ht="17.5" x14ac:dyDescent="0.35">
      <c r="E54" s="4"/>
      <c r="F54" s="9" t="s">
        <v>85</v>
      </c>
      <c r="G54" s="9" t="e">
        <f>+P42</f>
        <v>#REF!</v>
      </c>
    </row>
    <row r="55" spans="5:8" ht="17.5" x14ac:dyDescent="0.35">
      <c r="E55" s="4"/>
      <c r="F55" s="9" t="s">
        <v>62</v>
      </c>
      <c r="G55" s="9" t="e">
        <f>+Q42</f>
        <v>#REF!</v>
      </c>
    </row>
    <row r="56" spans="5:8" ht="17.5" x14ac:dyDescent="0.35">
      <c r="E56" s="4"/>
      <c r="F56" s="9" t="s">
        <v>66</v>
      </c>
      <c r="G56" s="9" t="e">
        <f>+S42</f>
        <v>#REF!</v>
      </c>
    </row>
    <row r="57" spans="5:8" ht="17.5" x14ac:dyDescent="0.35">
      <c r="E57" s="4"/>
      <c r="F57" s="9" t="s">
        <v>65</v>
      </c>
      <c r="G57" s="9">
        <f>+W43</f>
        <v>0</v>
      </c>
    </row>
    <row r="58" spans="5:8" ht="17.5" x14ac:dyDescent="0.35">
      <c r="E58" s="4"/>
      <c r="F58" s="9" t="s">
        <v>14</v>
      </c>
      <c r="G58" s="9">
        <f>X42</f>
        <v>0</v>
      </c>
      <c r="H58" s="9"/>
    </row>
  </sheetData>
  <autoFilter ref="A5:U37" xr:uid="{00000000-0009-0000-0000-00002B000000}">
    <sortState ref="A5:L48">
      <sortCondition ref="B5:B48"/>
    </sortState>
  </autoFilter>
  <sortState ref="A6:Y38">
    <sortCondition ref="B6:B38"/>
  </sortState>
  <mergeCells count="1">
    <mergeCell ref="E4:I4"/>
  </mergeCells>
  <dataValidations disablePrompts="1" count="1">
    <dataValidation type="list" allowBlank="1" showInputMessage="1" showErrorMessage="1" sqref="T39:V40" xr:uid="{00000000-0002-0000-2B00-000000000000}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Z49"/>
  <sheetViews>
    <sheetView zoomScaleNormal="100" zoomScaleSheetLayoutView="106" workbookViewId="0">
      <pane xSplit="2" ySplit="5" topLeftCell="R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V6" sqref="V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3" width="20.81640625" customWidth="1"/>
    <col min="4" max="4" width="15" bestFit="1" customWidth="1"/>
    <col min="5" max="5" width="15" customWidth="1"/>
    <col min="6" max="6" width="16.81640625" bestFit="1" customWidth="1"/>
    <col min="7" max="7" width="15.26953125" customWidth="1"/>
    <col min="8" max="8" width="15" bestFit="1" customWidth="1"/>
    <col min="9" max="10" width="15.26953125" customWidth="1"/>
    <col min="11" max="11" width="16.81640625" bestFit="1" customWidth="1"/>
    <col min="12" max="15" width="16.81640625" customWidth="1"/>
    <col min="16" max="20" width="20.7265625" customWidth="1"/>
    <col min="21" max="21" width="17.54296875" style="138" bestFit="1" customWidth="1"/>
    <col min="22" max="22" width="16.54296875" customWidth="1"/>
    <col min="23" max="23" width="12.453125" bestFit="1" customWidth="1"/>
    <col min="24" max="24" width="15" bestFit="1" customWidth="1"/>
  </cols>
  <sheetData>
    <row r="1" spans="1:26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3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3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6.5" thickBot="1" x14ac:dyDescent="0.65">
      <c r="A4" s="195" t="s">
        <v>247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</row>
    <row r="5" spans="1:26" ht="57" thickTop="1" x14ac:dyDescent="0.3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248</v>
      </c>
      <c r="Q5" s="71" t="s">
        <v>242</v>
      </c>
      <c r="R5" s="71" t="s">
        <v>304</v>
      </c>
      <c r="S5" s="71" t="s">
        <v>307</v>
      </c>
      <c r="T5" s="71" t="s">
        <v>175</v>
      </c>
      <c r="U5" s="71" t="s">
        <v>69</v>
      </c>
      <c r="V5" s="72" t="s">
        <v>176</v>
      </c>
      <c r="W5" s="135" t="s">
        <v>305</v>
      </c>
      <c r="X5" s="136" t="s">
        <v>306</v>
      </c>
    </row>
    <row r="6" spans="1:26" x14ac:dyDescent="0.35">
      <c r="A6" s="1" t="s">
        <v>16</v>
      </c>
      <c r="B6" s="1" t="str">
        <f>VLOOKUP(A6,[30]LISTADHERENT!A$5:H$60,3,0)</f>
        <v>ASELBY</v>
      </c>
      <c r="C6" s="6" t="e">
        <f>VLOOKUP($A6,#REF!,3,0)</f>
        <v>#REF!</v>
      </c>
      <c r="D6" s="6" t="e">
        <f>VLOOKUP($A6,#REF!,4,0)</f>
        <v>#REF!</v>
      </c>
      <c r="E6" s="6" t="e">
        <f>VLOOKUP($A6,#REF!,5,0)</f>
        <v>#REF!</v>
      </c>
      <c r="F6" s="6" t="e">
        <f>VLOOKUP($A6,#REF!,6,0)</f>
        <v>#REF!</v>
      </c>
      <c r="G6" s="6" t="e">
        <f>VLOOKUP($A6,#REF!,7,0)</f>
        <v>#REF!</v>
      </c>
      <c r="H6" s="6" t="e">
        <f>VLOOKUP($A6,#REF!,11,0)</f>
        <v>#REF!</v>
      </c>
      <c r="I6" s="43"/>
      <c r="J6" s="43"/>
      <c r="K6" s="43" t="e">
        <f>D6+G6+H6</f>
        <v>#REF!</v>
      </c>
      <c r="L6" s="43"/>
      <c r="M6" s="43"/>
      <c r="N6" s="43"/>
      <c r="O6" s="43">
        <f>M6+N6</f>
        <v>0</v>
      </c>
      <c r="P6" s="43"/>
      <c r="Q6" s="43"/>
      <c r="R6" s="43" t="e">
        <f>VLOOKUP($A6,#REF!,35,0)</f>
        <v>#REF!</v>
      </c>
      <c r="S6" s="43"/>
      <c r="T6" s="43"/>
      <c r="U6" s="43">
        <v>816544</v>
      </c>
      <c r="V6" s="44" t="e">
        <f>F6+N6</f>
        <v>#REF!</v>
      </c>
      <c r="W6" s="43">
        <v>0</v>
      </c>
      <c r="X6" s="11" t="e">
        <f>IF(Q6=0,70000,0)+Q6+R6+(600000-V6)</f>
        <v>#REF!</v>
      </c>
      <c r="Y6" s="2"/>
      <c r="Z6" s="2"/>
    </row>
    <row r="7" spans="1:26" x14ac:dyDescent="0.35">
      <c r="A7" s="1" t="s">
        <v>19</v>
      </c>
      <c r="B7" s="1" t="str">
        <f>VLOOKUP(A7,[30]LISTADHERENT!A$5:H$60,3,0)</f>
        <v>BOUTCHOUANG WILLIAM</v>
      </c>
      <c r="C7" s="6" t="e">
        <f>VLOOKUP($A7,#REF!,3,0)</f>
        <v>#REF!</v>
      </c>
      <c r="D7" s="6" t="e">
        <f>VLOOKUP($A7,#REF!,4,0)</f>
        <v>#REF!</v>
      </c>
      <c r="E7" s="6" t="e">
        <f>VLOOKUP($A7,#REF!,5,0)</f>
        <v>#REF!</v>
      </c>
      <c r="F7" s="6" t="e">
        <f>VLOOKUP($A7,#REF!,6,0)</f>
        <v>#REF!</v>
      </c>
      <c r="G7" s="6" t="e">
        <f>VLOOKUP($A7,#REF!,7,0)</f>
        <v>#REF!</v>
      </c>
      <c r="H7" s="6" t="e">
        <f>VLOOKUP($A7,#REF!,11,0)</f>
        <v>#REF!</v>
      </c>
      <c r="I7" s="43"/>
      <c r="J7" s="43"/>
      <c r="K7" s="43" t="e">
        <f t="shared" ref="K7:K36" si="0">D7+G7+H7</f>
        <v>#REF!</v>
      </c>
      <c r="L7" s="43"/>
      <c r="M7" s="43">
        <v>20000</v>
      </c>
      <c r="N7" s="43">
        <v>30000</v>
      </c>
      <c r="O7" s="43">
        <f t="shared" ref="O7:O36" si="1">M7+N7</f>
        <v>50000</v>
      </c>
      <c r="P7" s="43" t="e">
        <f>IF(Q7&lt;70000,K7-O7-(70000-Q7),K7-O7)</f>
        <v>#REF!</v>
      </c>
      <c r="Q7" s="43" t="e">
        <f>VLOOKUP($A7,#REF!,30,0)</f>
        <v>#REF!</v>
      </c>
      <c r="R7" s="43" t="e">
        <f>VLOOKUP($A7,#REF!,35,0)</f>
        <v>#REF!</v>
      </c>
      <c r="S7" s="43" t="e">
        <f>IF(Q7=0,P7-R7-Q7,P7-R7)-W7</f>
        <v>#REF!</v>
      </c>
      <c r="T7" s="43">
        <v>40000</v>
      </c>
      <c r="U7" s="43"/>
      <c r="V7" s="44" t="e">
        <f t="shared" ref="V7:V36" si="2">F7+N7</f>
        <v>#REF!</v>
      </c>
      <c r="W7" s="43">
        <v>0</v>
      </c>
      <c r="X7" s="11"/>
      <c r="Y7" s="2"/>
      <c r="Z7" s="2"/>
    </row>
    <row r="8" spans="1:26" x14ac:dyDescent="0.35">
      <c r="A8" s="1" t="s">
        <v>23</v>
      </c>
      <c r="B8" s="1" t="str">
        <f>VLOOKUP(A8,[30]LISTADHERENT!A$5:H$60,3,0)</f>
        <v xml:space="preserve">DJOMO JEAN PAUL </v>
      </c>
      <c r="C8" s="6" t="e">
        <f>VLOOKUP($A8,#REF!,3,0)</f>
        <v>#REF!</v>
      </c>
      <c r="D8" s="6" t="e">
        <f>VLOOKUP($A8,#REF!,4,0)</f>
        <v>#REF!</v>
      </c>
      <c r="E8" s="6" t="e">
        <f>VLOOKUP($A8,#REF!,5,0)</f>
        <v>#REF!</v>
      </c>
      <c r="F8" s="6" t="e">
        <f>VLOOKUP($A8,#REF!,6,0)</f>
        <v>#REF!</v>
      </c>
      <c r="G8" s="6" t="e">
        <f>VLOOKUP($A8,#REF!,7,0)</f>
        <v>#REF!</v>
      </c>
      <c r="H8" s="6" t="e">
        <f>VLOOKUP($A8,#REF!,11,0)</f>
        <v>#REF!</v>
      </c>
      <c r="I8" s="43"/>
      <c r="J8" s="43"/>
      <c r="K8" s="43" t="e">
        <f t="shared" si="0"/>
        <v>#REF!</v>
      </c>
      <c r="L8" s="43"/>
      <c r="M8" s="43">
        <v>20000</v>
      </c>
      <c r="N8" s="43">
        <v>30000</v>
      </c>
      <c r="O8" s="43">
        <f t="shared" si="1"/>
        <v>50000</v>
      </c>
      <c r="P8" s="43" t="e">
        <f>IF(Q8&lt;70000,K8-O8-(70000-Q8),K8-O8)+70000</f>
        <v>#REF!</v>
      </c>
      <c r="Q8" s="43" t="e">
        <f>VLOOKUP($A8,#REF!,30,0)</f>
        <v>#REF!</v>
      </c>
      <c r="R8" s="43" t="e">
        <f>VLOOKUP($A8,#REF!,35,0)</f>
        <v>#REF!</v>
      </c>
      <c r="S8" s="43" t="e">
        <f>IF(Q8=0,P8-R8-Q8,P8-R8)-W8</f>
        <v>#REF!</v>
      </c>
      <c r="T8" s="43">
        <v>50000</v>
      </c>
      <c r="U8" s="43"/>
      <c r="V8" s="44" t="e">
        <f t="shared" si="2"/>
        <v>#REF!</v>
      </c>
      <c r="W8" s="43">
        <v>0</v>
      </c>
      <c r="X8" s="11"/>
      <c r="Y8" s="2"/>
      <c r="Z8" s="2"/>
    </row>
    <row r="9" spans="1:26" x14ac:dyDescent="0.35">
      <c r="A9" s="1" t="s">
        <v>154</v>
      </c>
      <c r="B9" s="1" t="str">
        <f>VLOOKUP(A9,[30]LISTADHERENT!A$5:H$60,3,0)</f>
        <v>DJOMOU TCHANDA</v>
      </c>
      <c r="C9" s="6" t="e">
        <f>VLOOKUP($A9,#REF!,3,0)</f>
        <v>#REF!</v>
      </c>
      <c r="D9" s="6" t="e">
        <f>VLOOKUP($A9,#REF!,4,0)</f>
        <v>#REF!</v>
      </c>
      <c r="E9" s="6" t="e">
        <f>VLOOKUP($A9,#REF!,5,0)</f>
        <v>#REF!</v>
      </c>
      <c r="F9" s="6" t="e">
        <f>VLOOKUP($A9,#REF!,6,0)</f>
        <v>#REF!</v>
      </c>
      <c r="G9" s="6" t="e">
        <f>VLOOKUP($A9,#REF!,7,0)</f>
        <v>#REF!</v>
      </c>
      <c r="H9" s="6" t="e">
        <f>VLOOKUP($A9,#REF!,11,0)</f>
        <v>#REF!</v>
      </c>
      <c r="I9" s="43"/>
      <c r="J9" s="43"/>
      <c r="K9" s="43" t="e">
        <f t="shared" si="0"/>
        <v>#REF!</v>
      </c>
      <c r="L9" s="43"/>
      <c r="M9" s="43">
        <v>20000</v>
      </c>
      <c r="N9" s="43">
        <v>30000</v>
      </c>
      <c r="O9" s="43">
        <f t="shared" si="1"/>
        <v>50000</v>
      </c>
      <c r="P9" s="43" t="e">
        <f t="shared" ref="P9:P36" si="3">IF(Q9&lt;70000,K9-O9-(70000-Q9),K9-O9)</f>
        <v>#REF!</v>
      </c>
      <c r="Q9" s="43" t="e">
        <f>VLOOKUP($A9,#REF!,30,0)</f>
        <v>#REF!</v>
      </c>
      <c r="R9" s="43" t="e">
        <f>VLOOKUP($A9,#REF!,35,0)</f>
        <v>#REF!</v>
      </c>
      <c r="S9" s="43" t="e">
        <f t="shared" ref="S9:S36" si="4">IF(Q9=0,P9-R9-Q9,P9-R9)-W9</f>
        <v>#REF!</v>
      </c>
      <c r="T9" s="43">
        <v>0</v>
      </c>
      <c r="U9" s="43"/>
      <c r="V9" s="44" t="e">
        <f t="shared" si="2"/>
        <v>#REF!</v>
      </c>
      <c r="W9" s="43">
        <v>0</v>
      </c>
      <c r="X9" s="11"/>
      <c r="Y9" s="2"/>
      <c r="Z9" s="2"/>
    </row>
    <row r="10" spans="1:26" x14ac:dyDescent="0.35">
      <c r="A10" s="1" t="s">
        <v>24</v>
      </c>
      <c r="B10" s="1" t="str">
        <f>VLOOKUP(A10,[30]LISTADHERENT!A$5:H$60,3,0)</f>
        <v>DJOUKWE NANGUEN GUY BLAISE</v>
      </c>
      <c r="C10" s="6" t="e">
        <f>VLOOKUP($A10,#REF!,3,0)</f>
        <v>#REF!</v>
      </c>
      <c r="D10" s="6" t="e">
        <f>VLOOKUP($A10,#REF!,4,0)</f>
        <v>#REF!</v>
      </c>
      <c r="E10" s="6" t="e">
        <f>VLOOKUP($A10,#REF!,5,0)</f>
        <v>#REF!</v>
      </c>
      <c r="F10" s="6" t="e">
        <f>VLOOKUP($A10,#REF!,6,0)</f>
        <v>#REF!</v>
      </c>
      <c r="G10" s="6" t="e">
        <f>VLOOKUP($A10,#REF!,7,0)</f>
        <v>#REF!</v>
      </c>
      <c r="H10" s="6" t="e">
        <f>VLOOKUP($A10,#REF!,11,0)</f>
        <v>#REF!</v>
      </c>
      <c r="I10" s="43"/>
      <c r="J10" s="43"/>
      <c r="K10" s="43" t="e">
        <f t="shared" si="0"/>
        <v>#REF!</v>
      </c>
      <c r="L10" s="43"/>
      <c r="M10" s="43">
        <v>20000</v>
      </c>
      <c r="N10" s="43">
        <v>30000</v>
      </c>
      <c r="O10" s="43">
        <f t="shared" si="1"/>
        <v>50000</v>
      </c>
      <c r="P10" s="43" t="e">
        <f t="shared" si="3"/>
        <v>#REF!</v>
      </c>
      <c r="Q10" s="43" t="e">
        <f>VLOOKUP($A10,#REF!,30,0)</f>
        <v>#REF!</v>
      </c>
      <c r="R10" s="43" t="e">
        <f>VLOOKUP($A10,#REF!,35,0)</f>
        <v>#REF!</v>
      </c>
      <c r="S10" s="43" t="e">
        <f t="shared" si="4"/>
        <v>#REF!</v>
      </c>
      <c r="T10" s="43">
        <v>20000</v>
      </c>
      <c r="U10" s="43"/>
      <c r="V10" s="44" t="e">
        <f t="shared" si="2"/>
        <v>#REF!</v>
      </c>
      <c r="W10" s="43">
        <v>0</v>
      </c>
      <c r="X10" s="11"/>
      <c r="Y10" s="2"/>
      <c r="Z10" s="2"/>
    </row>
    <row r="11" spans="1:26" x14ac:dyDescent="0.35">
      <c r="A11" s="1" t="s">
        <v>25</v>
      </c>
      <c r="B11" s="1" t="str">
        <f>VLOOKUP(A11,[30]LISTADHERENT!A$5:H$60,3,0)</f>
        <v>DJUOMBESSY ANTOINE</v>
      </c>
      <c r="C11" s="6" t="e">
        <f>VLOOKUP($A11,#REF!,3,0)</f>
        <v>#REF!</v>
      </c>
      <c r="D11" s="6" t="e">
        <f>VLOOKUP($A11,#REF!,4,0)</f>
        <v>#REF!</v>
      </c>
      <c r="E11" s="6" t="e">
        <f>VLOOKUP($A11,#REF!,5,0)</f>
        <v>#REF!</v>
      </c>
      <c r="F11" s="6" t="e">
        <f>VLOOKUP($A11,#REF!,6,0)</f>
        <v>#REF!</v>
      </c>
      <c r="G11" s="6" t="e">
        <f>VLOOKUP($A11,#REF!,7,0)</f>
        <v>#REF!</v>
      </c>
      <c r="H11" s="6" t="e">
        <f>VLOOKUP($A11,#REF!,11,0)</f>
        <v>#REF!</v>
      </c>
      <c r="I11" s="43"/>
      <c r="J11" s="43"/>
      <c r="K11" s="43" t="e">
        <f t="shared" si="0"/>
        <v>#REF!</v>
      </c>
      <c r="L11" s="43"/>
      <c r="M11" s="43">
        <v>20000</v>
      </c>
      <c r="N11" s="43">
        <v>30000</v>
      </c>
      <c r="O11" s="43">
        <f t="shared" si="1"/>
        <v>50000</v>
      </c>
      <c r="P11" s="43" t="e">
        <f t="shared" si="3"/>
        <v>#REF!</v>
      </c>
      <c r="Q11" s="43" t="e">
        <f>VLOOKUP($A11,#REF!,30,0)</f>
        <v>#REF!</v>
      </c>
      <c r="R11" s="43" t="e">
        <f>VLOOKUP($A11,#REF!,35,0)</f>
        <v>#REF!</v>
      </c>
      <c r="S11" s="43" t="e">
        <f t="shared" si="4"/>
        <v>#REF!</v>
      </c>
      <c r="T11" s="43">
        <v>60000</v>
      </c>
      <c r="U11" s="43"/>
      <c r="V11" s="44" t="e">
        <f t="shared" si="2"/>
        <v>#REF!</v>
      </c>
      <c r="W11" s="43">
        <v>0</v>
      </c>
      <c r="X11" s="11"/>
      <c r="Y11" s="2"/>
      <c r="Z11" s="2"/>
    </row>
    <row r="12" spans="1:26" x14ac:dyDescent="0.35">
      <c r="A12" s="1" t="s">
        <v>79</v>
      </c>
      <c r="B12" s="1" t="str">
        <f>VLOOKUP(A12,[30]LISTADHERENT!A$5:H$60,3,0)</f>
        <v>DOMOU FABIEN</v>
      </c>
      <c r="C12" s="6" t="e">
        <f>VLOOKUP($A12,#REF!,3,0)</f>
        <v>#REF!</v>
      </c>
      <c r="D12" s="6" t="e">
        <f>VLOOKUP($A12,#REF!,4,0)</f>
        <v>#REF!</v>
      </c>
      <c r="E12" s="6" t="e">
        <f>VLOOKUP($A12,#REF!,5,0)</f>
        <v>#REF!</v>
      </c>
      <c r="F12" s="6" t="e">
        <f>VLOOKUP($A12,#REF!,6,0)</f>
        <v>#REF!</v>
      </c>
      <c r="G12" s="6" t="e">
        <f>VLOOKUP($A12,#REF!,7,0)</f>
        <v>#REF!</v>
      </c>
      <c r="H12" s="6" t="e">
        <f>VLOOKUP($A12,#REF!,11,0)</f>
        <v>#REF!</v>
      </c>
      <c r="I12" s="43"/>
      <c r="J12" s="43"/>
      <c r="K12" s="43" t="e">
        <f t="shared" si="0"/>
        <v>#REF!</v>
      </c>
      <c r="L12" s="43"/>
      <c r="M12" s="43">
        <v>20000</v>
      </c>
      <c r="N12" s="43">
        <v>30000</v>
      </c>
      <c r="O12" s="43">
        <f t="shared" si="1"/>
        <v>50000</v>
      </c>
      <c r="P12" s="43" t="e">
        <f t="shared" si="3"/>
        <v>#REF!</v>
      </c>
      <c r="Q12" s="43" t="e">
        <f>VLOOKUP($A12,#REF!,30,0)</f>
        <v>#REF!</v>
      </c>
      <c r="R12" s="43" t="e">
        <f>VLOOKUP($A12,#REF!,35,0)</f>
        <v>#REF!</v>
      </c>
      <c r="S12" s="43" t="e">
        <f t="shared" si="4"/>
        <v>#REF!</v>
      </c>
      <c r="T12" s="43">
        <v>115000</v>
      </c>
      <c r="U12" s="43"/>
      <c r="V12" s="44" t="e">
        <f t="shared" si="2"/>
        <v>#REF!</v>
      </c>
      <c r="W12" s="43">
        <v>0</v>
      </c>
      <c r="X12" s="11"/>
      <c r="Y12" s="2"/>
      <c r="Z12" s="2"/>
    </row>
    <row r="13" spans="1:26" x14ac:dyDescent="0.35">
      <c r="A13" s="1" t="s">
        <v>26</v>
      </c>
      <c r="B13" s="1" t="str">
        <f>VLOOKUP(A13,[30]LISTADHERENT!A$5:H$60,3,0)</f>
        <v>DONHOU DAVID</v>
      </c>
      <c r="C13" s="6" t="e">
        <f>VLOOKUP($A13,#REF!,3,0)</f>
        <v>#REF!</v>
      </c>
      <c r="D13" s="6" t="e">
        <f>VLOOKUP($A13,#REF!,4,0)</f>
        <v>#REF!</v>
      </c>
      <c r="E13" s="6" t="e">
        <f>VLOOKUP($A13,#REF!,5,0)</f>
        <v>#REF!</v>
      </c>
      <c r="F13" s="6" t="e">
        <f>VLOOKUP($A13,#REF!,6,0)</f>
        <v>#REF!</v>
      </c>
      <c r="G13" s="6" t="e">
        <f>VLOOKUP($A13,#REF!,7,0)</f>
        <v>#REF!</v>
      </c>
      <c r="H13" s="6" t="e">
        <f>VLOOKUP($A13,#REF!,11,0)</f>
        <v>#REF!</v>
      </c>
      <c r="I13" s="43"/>
      <c r="J13" s="43"/>
      <c r="K13" s="43" t="e">
        <f t="shared" si="0"/>
        <v>#REF!</v>
      </c>
      <c r="L13" s="43"/>
      <c r="M13" s="43">
        <v>20000</v>
      </c>
      <c r="N13" s="43">
        <v>30000</v>
      </c>
      <c r="O13" s="43">
        <f t="shared" si="1"/>
        <v>50000</v>
      </c>
      <c r="P13" s="43" t="e">
        <f t="shared" si="3"/>
        <v>#REF!</v>
      </c>
      <c r="Q13" s="43" t="e">
        <f>VLOOKUP($A13,#REF!,30,0)</f>
        <v>#REF!</v>
      </c>
      <c r="R13" s="43" t="e">
        <f>VLOOKUP($A13,#REF!,35,0)</f>
        <v>#REF!</v>
      </c>
      <c r="S13" s="43" t="e">
        <f t="shared" si="4"/>
        <v>#REF!</v>
      </c>
      <c r="T13" s="43">
        <v>0</v>
      </c>
      <c r="U13" s="43"/>
      <c r="V13" s="44" t="e">
        <f t="shared" si="2"/>
        <v>#REF!</v>
      </c>
      <c r="W13" s="43">
        <v>0</v>
      </c>
      <c r="X13" s="11"/>
      <c r="Y13" s="2"/>
      <c r="Z13" s="2"/>
    </row>
    <row r="14" spans="1:26" x14ac:dyDescent="0.35">
      <c r="A14" s="1" t="s">
        <v>27</v>
      </c>
      <c r="B14" s="1" t="str">
        <f>VLOOKUP(A14,[30]LISTADHERENT!A$5:H$60,3,0)</f>
        <v>FOTSO THOMAS</v>
      </c>
      <c r="C14" s="6" t="e">
        <f>VLOOKUP($A14,#REF!,3,0)</f>
        <v>#REF!</v>
      </c>
      <c r="D14" s="6" t="e">
        <f>VLOOKUP($A14,#REF!,4,0)</f>
        <v>#REF!</v>
      </c>
      <c r="E14" s="6" t="e">
        <f>VLOOKUP($A14,#REF!,5,0)</f>
        <v>#REF!</v>
      </c>
      <c r="F14" s="6" t="e">
        <f>VLOOKUP($A14,#REF!,6,0)</f>
        <v>#REF!</v>
      </c>
      <c r="G14" s="6" t="e">
        <f>VLOOKUP($A14,#REF!,7,0)</f>
        <v>#REF!</v>
      </c>
      <c r="H14" s="6" t="e">
        <f>VLOOKUP($A14,#REF!,11,0)</f>
        <v>#REF!</v>
      </c>
      <c r="I14" s="43"/>
      <c r="J14" s="43"/>
      <c r="K14" s="43" t="e">
        <f t="shared" si="0"/>
        <v>#REF!</v>
      </c>
      <c r="L14" s="43"/>
      <c r="M14" s="43"/>
      <c r="N14" s="43"/>
      <c r="O14" s="43">
        <f t="shared" si="1"/>
        <v>0</v>
      </c>
      <c r="P14" s="43">
        <v>0</v>
      </c>
      <c r="Q14" s="43" t="e">
        <f>VLOOKUP($A14,#REF!,30,0)</f>
        <v>#REF!</v>
      </c>
      <c r="R14" s="43" t="e">
        <f>VLOOKUP($A14,#REF!,35,0)</f>
        <v>#REF!</v>
      </c>
      <c r="S14" s="43" t="e">
        <f>IF(Q14=0,P14-R14-Q14,P14-R14)</f>
        <v>#REF!</v>
      </c>
      <c r="T14" s="43"/>
      <c r="U14" s="43"/>
      <c r="V14" s="44" t="e">
        <f t="shared" si="2"/>
        <v>#REF!</v>
      </c>
      <c r="W14" s="43">
        <v>122105.098582853</v>
      </c>
      <c r="X14" s="11" t="e">
        <f t="shared" ref="X14:X34" si="5">IF(Q14=0,70000,0)+Q14+R14+(600000-V14)</f>
        <v>#REF!</v>
      </c>
      <c r="Y14" s="2"/>
      <c r="Z14" s="2"/>
    </row>
    <row r="15" spans="1:26" ht="14.25" customHeight="1" x14ac:dyDescent="0.35">
      <c r="A15" s="1" t="s">
        <v>28</v>
      </c>
      <c r="B15" s="1" t="str">
        <f>VLOOKUP(A15,[30]LISTADHERENT!A$5:H$60,3,0)</f>
        <v>HENGUE PAUL OMER</v>
      </c>
      <c r="C15" s="6" t="e">
        <f>VLOOKUP($A15,#REF!,3,0)</f>
        <v>#REF!</v>
      </c>
      <c r="D15" s="6" t="e">
        <f>VLOOKUP($A15,#REF!,4,0)</f>
        <v>#REF!</v>
      </c>
      <c r="E15" s="6" t="e">
        <f>VLOOKUP($A15,#REF!,5,0)</f>
        <v>#REF!</v>
      </c>
      <c r="F15" s="6" t="e">
        <f>VLOOKUP($A15,#REF!,6,0)</f>
        <v>#REF!</v>
      </c>
      <c r="G15" s="6" t="e">
        <f>VLOOKUP($A15,#REF!,7,0)</f>
        <v>#REF!</v>
      </c>
      <c r="H15" s="6" t="e">
        <f>VLOOKUP($A15,#REF!,11,0)</f>
        <v>#REF!</v>
      </c>
      <c r="I15" s="43"/>
      <c r="J15" s="43"/>
      <c r="K15" s="43" t="e">
        <f t="shared" si="0"/>
        <v>#REF!</v>
      </c>
      <c r="L15" s="43"/>
      <c r="M15" s="43">
        <v>20000</v>
      </c>
      <c r="N15" s="43">
        <v>30000</v>
      </c>
      <c r="O15" s="43">
        <f t="shared" si="1"/>
        <v>50000</v>
      </c>
      <c r="P15" s="43" t="e">
        <f t="shared" si="3"/>
        <v>#REF!</v>
      </c>
      <c r="Q15" s="43" t="e">
        <f>VLOOKUP($A15,#REF!,30,0)</f>
        <v>#REF!</v>
      </c>
      <c r="R15" s="43" t="e">
        <f>VLOOKUP($A15,#REF!,35,0)</f>
        <v>#REF!</v>
      </c>
      <c r="S15" s="43" t="e">
        <f t="shared" si="4"/>
        <v>#REF!</v>
      </c>
      <c r="T15" s="43">
        <v>0</v>
      </c>
      <c r="U15" s="43"/>
      <c r="V15" s="44" t="e">
        <f t="shared" si="2"/>
        <v>#REF!</v>
      </c>
      <c r="W15" s="43">
        <v>0</v>
      </c>
      <c r="X15" s="11"/>
      <c r="Y15" s="2"/>
      <c r="Z15" s="2"/>
    </row>
    <row r="16" spans="1:26" x14ac:dyDescent="0.35">
      <c r="A16" s="1" t="s">
        <v>29</v>
      </c>
      <c r="B16" s="1" t="str">
        <f>VLOOKUP(A16,[30]LISTADHERENT!A$5:H$60,3,0)</f>
        <v>HOTCHO BENJAMIN</v>
      </c>
      <c r="C16" s="6" t="e">
        <f>VLOOKUP($A16,#REF!,3,0)</f>
        <v>#REF!</v>
      </c>
      <c r="D16" s="6" t="e">
        <f>VLOOKUP($A16,#REF!,4,0)</f>
        <v>#REF!</v>
      </c>
      <c r="E16" s="6" t="e">
        <f>VLOOKUP($A16,#REF!,5,0)</f>
        <v>#REF!</v>
      </c>
      <c r="F16" s="6" t="e">
        <f>VLOOKUP($A16,#REF!,6,0)</f>
        <v>#REF!</v>
      </c>
      <c r="G16" s="6" t="e">
        <f>VLOOKUP($A16,#REF!,7,0)</f>
        <v>#REF!</v>
      </c>
      <c r="H16" s="6" t="e">
        <f>VLOOKUP($A16,#REF!,11,0)</f>
        <v>#REF!</v>
      </c>
      <c r="I16" s="43"/>
      <c r="J16" s="43"/>
      <c r="K16" s="43" t="e">
        <f t="shared" si="0"/>
        <v>#REF!</v>
      </c>
      <c r="L16" s="43"/>
      <c r="M16" s="43">
        <v>20000</v>
      </c>
      <c r="N16" s="43">
        <v>30000</v>
      </c>
      <c r="O16" s="43">
        <f t="shared" si="1"/>
        <v>50000</v>
      </c>
      <c r="P16" s="43" t="e">
        <f t="shared" si="3"/>
        <v>#REF!</v>
      </c>
      <c r="Q16" s="43" t="e">
        <f>VLOOKUP($A16,#REF!,30,0)</f>
        <v>#REF!</v>
      </c>
      <c r="R16" s="43" t="e">
        <f>VLOOKUP($A16,#REF!,35,0)</f>
        <v>#REF!</v>
      </c>
      <c r="S16" s="43" t="e">
        <f>IF(Q16=0,P16-R16-Q16,P16-R16)-W16-500000</f>
        <v>#REF!</v>
      </c>
      <c r="T16" s="43">
        <v>100000</v>
      </c>
      <c r="U16" s="43"/>
      <c r="V16" s="44" t="e">
        <f>F16+N16+500000</f>
        <v>#REF!</v>
      </c>
      <c r="W16" s="43">
        <v>0</v>
      </c>
      <c r="X16" s="11"/>
      <c r="Y16" s="2"/>
      <c r="Z16" s="2"/>
    </row>
    <row r="17" spans="1:26" s="14" customFormat="1" ht="13.5" customHeight="1" x14ac:dyDescent="0.35">
      <c r="A17" s="1" t="s">
        <v>33</v>
      </c>
      <c r="B17" s="1" t="str">
        <f>VLOOKUP(A17,[30]LISTADHERENT!A$5:H$60,3,0)</f>
        <v>KOUAMOU MOISE</v>
      </c>
      <c r="C17" s="6" t="e">
        <f>VLOOKUP($A17,#REF!,3,0)</f>
        <v>#REF!</v>
      </c>
      <c r="D17" s="6" t="e">
        <f>VLOOKUP($A17,#REF!,4,0)</f>
        <v>#REF!</v>
      </c>
      <c r="E17" s="6" t="e">
        <f>VLOOKUP($A17,#REF!,5,0)</f>
        <v>#REF!</v>
      </c>
      <c r="F17" s="6" t="e">
        <f>VLOOKUP($A17,#REF!,6,0)</f>
        <v>#REF!</v>
      </c>
      <c r="G17" s="6" t="e">
        <f>VLOOKUP($A17,#REF!,7,0)</f>
        <v>#REF!</v>
      </c>
      <c r="H17" s="6" t="e">
        <f>VLOOKUP($A17,#REF!,11,0)</f>
        <v>#REF!</v>
      </c>
      <c r="I17" s="46"/>
      <c r="J17" s="43"/>
      <c r="K17" s="43" t="e">
        <f t="shared" si="0"/>
        <v>#REF!</v>
      </c>
      <c r="L17" s="46"/>
      <c r="M17" s="43">
        <v>20000</v>
      </c>
      <c r="N17" s="43">
        <v>30000</v>
      </c>
      <c r="O17" s="43">
        <f t="shared" si="1"/>
        <v>50000</v>
      </c>
      <c r="P17" s="43" t="e">
        <f t="shared" si="3"/>
        <v>#REF!</v>
      </c>
      <c r="Q17" s="43" t="e">
        <f>VLOOKUP($A17,#REF!,30,0)</f>
        <v>#REF!</v>
      </c>
      <c r="R17" s="43" t="e">
        <f>VLOOKUP($A17,#REF!,35,0)</f>
        <v>#REF!</v>
      </c>
      <c r="S17" s="43" t="e">
        <f t="shared" si="4"/>
        <v>#REF!</v>
      </c>
      <c r="T17" s="43"/>
      <c r="U17" s="43"/>
      <c r="V17" s="44" t="e">
        <f t="shared" si="2"/>
        <v>#REF!</v>
      </c>
      <c r="W17" s="43">
        <v>0</v>
      </c>
      <c r="X17" s="11"/>
      <c r="Y17" s="11"/>
      <c r="Z17" s="11"/>
    </row>
    <row r="18" spans="1:26" s="14" customFormat="1" x14ac:dyDescent="0.35">
      <c r="A18" s="1" t="s">
        <v>35</v>
      </c>
      <c r="B18" s="1" t="str">
        <f>VLOOKUP(A18,[30]LISTADHERENT!A$5:H$60,3,0)</f>
        <v>KOUATCHO MESSACK</v>
      </c>
      <c r="C18" s="6" t="e">
        <f>VLOOKUP($A18,#REF!,3,0)</f>
        <v>#REF!</v>
      </c>
      <c r="D18" s="6" t="e">
        <f>VLOOKUP($A18,#REF!,4,0)</f>
        <v>#REF!</v>
      </c>
      <c r="E18" s="6" t="e">
        <f>VLOOKUP($A18,#REF!,5,0)</f>
        <v>#REF!</v>
      </c>
      <c r="F18" s="6" t="e">
        <f>VLOOKUP($A18,#REF!,6,0)</f>
        <v>#REF!</v>
      </c>
      <c r="G18" s="6" t="e">
        <f>VLOOKUP($A18,#REF!,7,0)</f>
        <v>#REF!</v>
      </c>
      <c r="H18" s="6" t="e">
        <f>VLOOKUP($A18,#REF!,11,0)</f>
        <v>#REF!</v>
      </c>
      <c r="I18" s="46"/>
      <c r="J18" s="43"/>
      <c r="K18" s="43" t="e">
        <f t="shared" si="0"/>
        <v>#REF!</v>
      </c>
      <c r="L18" s="46"/>
      <c r="M18" s="43">
        <v>20000</v>
      </c>
      <c r="N18" s="43">
        <v>30000</v>
      </c>
      <c r="O18" s="43">
        <f t="shared" si="1"/>
        <v>50000</v>
      </c>
      <c r="P18" s="43" t="e">
        <f t="shared" si="3"/>
        <v>#REF!</v>
      </c>
      <c r="Q18" s="43" t="e">
        <f>VLOOKUP($A18,#REF!,30,0)</f>
        <v>#REF!</v>
      </c>
      <c r="R18" s="43" t="e">
        <f>VLOOKUP($A18,#REF!,35,0)</f>
        <v>#REF!</v>
      </c>
      <c r="S18" s="43" t="e">
        <f t="shared" si="4"/>
        <v>#REF!</v>
      </c>
      <c r="T18" s="43">
        <v>50000</v>
      </c>
      <c r="U18" s="43"/>
      <c r="V18" s="44" t="e">
        <f t="shared" si="2"/>
        <v>#REF!</v>
      </c>
      <c r="W18" s="43">
        <v>0</v>
      </c>
      <c r="X18" s="11"/>
      <c r="Y18" s="11"/>
      <c r="Z18" s="11"/>
    </row>
    <row r="19" spans="1:26" x14ac:dyDescent="0.35">
      <c r="A19" s="1" t="s">
        <v>36</v>
      </c>
      <c r="B19" s="1" t="str">
        <f>VLOOKUP(A19,[30]LISTADHERENT!A$5:H$60,3,0)</f>
        <v>LOWE JEAN</v>
      </c>
      <c r="C19" s="6" t="e">
        <f>VLOOKUP($A19,#REF!,3,0)</f>
        <v>#REF!</v>
      </c>
      <c r="D19" s="6" t="e">
        <f>VLOOKUP($A19,#REF!,4,0)</f>
        <v>#REF!</v>
      </c>
      <c r="E19" s="6" t="e">
        <f>VLOOKUP($A19,#REF!,5,0)</f>
        <v>#REF!</v>
      </c>
      <c r="F19" s="6" t="e">
        <f>VLOOKUP($A19,#REF!,6,0)</f>
        <v>#REF!</v>
      </c>
      <c r="G19" s="6" t="e">
        <f>VLOOKUP($A19,#REF!,7,0)</f>
        <v>#REF!</v>
      </c>
      <c r="H19" s="6" t="e">
        <f>VLOOKUP($A19,#REF!,11,0)</f>
        <v>#REF!</v>
      </c>
      <c r="I19" s="43"/>
      <c r="J19" s="43"/>
      <c r="K19" s="43" t="e">
        <f t="shared" si="0"/>
        <v>#REF!</v>
      </c>
      <c r="L19" s="43"/>
      <c r="M19" s="43">
        <v>20000</v>
      </c>
      <c r="N19" s="43">
        <v>30000</v>
      </c>
      <c r="O19" s="43">
        <f t="shared" si="1"/>
        <v>50000</v>
      </c>
      <c r="P19" s="43" t="e">
        <f t="shared" si="3"/>
        <v>#REF!</v>
      </c>
      <c r="Q19" s="43" t="e">
        <f>VLOOKUP($A19,#REF!,30,0)</f>
        <v>#REF!</v>
      </c>
      <c r="R19" s="43" t="e">
        <f>VLOOKUP($A19,#REF!,35,0)</f>
        <v>#REF!</v>
      </c>
      <c r="S19" s="43" t="e">
        <f t="shared" si="4"/>
        <v>#REF!</v>
      </c>
      <c r="T19" s="43">
        <v>47000</v>
      </c>
      <c r="U19" s="43"/>
      <c r="V19" s="44" t="e">
        <f t="shared" si="2"/>
        <v>#REF!</v>
      </c>
      <c r="W19" s="43">
        <v>14388.173915576999</v>
      </c>
      <c r="X19" s="11" t="e">
        <f t="shared" si="5"/>
        <v>#REF!</v>
      </c>
      <c r="Y19" s="2"/>
      <c r="Z19" s="2"/>
    </row>
    <row r="20" spans="1:26" x14ac:dyDescent="0.35">
      <c r="A20" s="1" t="s">
        <v>75</v>
      </c>
      <c r="B20" s="1" t="str">
        <f>VLOOKUP(A20,[30]LISTADHERENT!A$5:H$60,3,0)</f>
        <v>MBOGNING TUGMA GUY</v>
      </c>
      <c r="C20" s="6" t="e">
        <f>VLOOKUP($A20,#REF!,3,0)</f>
        <v>#REF!</v>
      </c>
      <c r="D20" s="6" t="e">
        <f>VLOOKUP($A20,#REF!,4,0)</f>
        <v>#REF!</v>
      </c>
      <c r="E20" s="6" t="e">
        <f>VLOOKUP($A20,#REF!,5,0)</f>
        <v>#REF!</v>
      </c>
      <c r="F20" s="6" t="e">
        <f>VLOOKUP($A20,#REF!,6,0)</f>
        <v>#REF!</v>
      </c>
      <c r="G20" s="6" t="e">
        <f>VLOOKUP($A20,#REF!,7,0)</f>
        <v>#REF!</v>
      </c>
      <c r="H20" s="6" t="e">
        <f>VLOOKUP($A20,#REF!,11,0)</f>
        <v>#REF!</v>
      </c>
      <c r="I20" s="43"/>
      <c r="J20" s="43"/>
      <c r="K20" s="43" t="e">
        <f t="shared" si="0"/>
        <v>#REF!</v>
      </c>
      <c r="L20" s="43"/>
      <c r="M20" s="43">
        <v>20000</v>
      </c>
      <c r="N20" s="43">
        <v>30000</v>
      </c>
      <c r="O20" s="43">
        <f t="shared" si="1"/>
        <v>50000</v>
      </c>
      <c r="P20" s="43" t="e">
        <f t="shared" si="3"/>
        <v>#REF!</v>
      </c>
      <c r="Q20" s="43" t="e">
        <f>VLOOKUP($A20,#REF!,30,0)</f>
        <v>#REF!</v>
      </c>
      <c r="R20" s="43" t="e">
        <f>VLOOKUP($A20,#REF!,35,0)</f>
        <v>#REF!</v>
      </c>
      <c r="S20" s="43" t="e">
        <f t="shared" si="4"/>
        <v>#REF!</v>
      </c>
      <c r="T20" s="43"/>
      <c r="U20" s="43"/>
      <c r="V20" s="44" t="e">
        <f t="shared" si="2"/>
        <v>#REF!</v>
      </c>
      <c r="W20" s="43">
        <v>0</v>
      </c>
      <c r="X20" s="11"/>
      <c r="Y20" s="2"/>
      <c r="Z20" s="2"/>
    </row>
    <row r="21" spans="1:26" x14ac:dyDescent="0.35">
      <c r="A21" s="1" t="s">
        <v>50</v>
      </c>
      <c r="B21" s="1" t="str">
        <f>VLOOKUP(A21,[30]LISTADHERENT!A$5:H$60,3,0)</f>
        <v>NANGUEN MARTIN</v>
      </c>
      <c r="C21" s="6" t="e">
        <f>VLOOKUP($A21,#REF!,3,0)</f>
        <v>#REF!</v>
      </c>
      <c r="D21" s="6" t="e">
        <f>VLOOKUP($A21,#REF!,4,0)</f>
        <v>#REF!</v>
      </c>
      <c r="E21" s="6" t="e">
        <f>VLOOKUP($A21,#REF!,5,0)</f>
        <v>#REF!</v>
      </c>
      <c r="F21" s="6" t="e">
        <f>VLOOKUP($A21,#REF!,6,0)</f>
        <v>#REF!</v>
      </c>
      <c r="G21" s="6" t="e">
        <f>VLOOKUP($A21,#REF!,7,0)</f>
        <v>#REF!</v>
      </c>
      <c r="H21" s="6" t="e">
        <f>VLOOKUP($A21,#REF!,11,0)</f>
        <v>#REF!</v>
      </c>
      <c r="I21" s="43"/>
      <c r="J21" s="43"/>
      <c r="K21" s="43" t="e">
        <f t="shared" si="0"/>
        <v>#REF!</v>
      </c>
      <c r="L21" s="43"/>
      <c r="M21" s="43">
        <v>20000</v>
      </c>
      <c r="N21" s="43">
        <v>30000</v>
      </c>
      <c r="O21" s="43">
        <f t="shared" si="1"/>
        <v>50000</v>
      </c>
      <c r="P21" s="43" t="e">
        <f t="shared" si="3"/>
        <v>#REF!</v>
      </c>
      <c r="Q21" s="43" t="e">
        <f>VLOOKUP($A21,#REF!,30,0)</f>
        <v>#REF!</v>
      </c>
      <c r="R21" s="43" t="e">
        <f>VLOOKUP($A21,#REF!,35,0)</f>
        <v>#REF!</v>
      </c>
      <c r="S21" s="43" t="e">
        <f t="shared" si="4"/>
        <v>#REF!</v>
      </c>
      <c r="T21" s="43"/>
      <c r="U21" s="43"/>
      <c r="V21" s="44" t="e">
        <f t="shared" si="2"/>
        <v>#REF!</v>
      </c>
      <c r="W21" s="43">
        <v>0</v>
      </c>
      <c r="X21" s="11"/>
      <c r="Y21" s="2" t="s">
        <v>22</v>
      </c>
      <c r="Z21" s="2"/>
    </row>
    <row r="22" spans="1:26" x14ac:dyDescent="0.35">
      <c r="A22" s="1" t="s">
        <v>37</v>
      </c>
      <c r="B22" s="1" t="str">
        <f>VLOOKUP(A22,[30]LISTADHERENT!A$5:H$60,3,0)</f>
        <v>NANKAM APPOLINAIRE</v>
      </c>
      <c r="C22" s="6" t="e">
        <f>VLOOKUP($A22,#REF!,3,0)</f>
        <v>#REF!</v>
      </c>
      <c r="D22" s="6" t="e">
        <f>VLOOKUP($A22,#REF!,4,0)</f>
        <v>#REF!</v>
      </c>
      <c r="E22" s="6" t="e">
        <f>VLOOKUP($A22,#REF!,5,0)</f>
        <v>#REF!</v>
      </c>
      <c r="F22" s="6" t="e">
        <f>VLOOKUP($A22,#REF!,6,0)</f>
        <v>#REF!</v>
      </c>
      <c r="G22" s="6" t="e">
        <f>VLOOKUP($A22,#REF!,7,0)</f>
        <v>#REF!</v>
      </c>
      <c r="H22" s="6" t="e">
        <f>VLOOKUP($A22,#REF!,11,0)</f>
        <v>#REF!</v>
      </c>
      <c r="I22" s="43"/>
      <c r="J22" s="43"/>
      <c r="K22" s="43" t="e">
        <f t="shared" si="0"/>
        <v>#REF!</v>
      </c>
      <c r="L22" s="43"/>
      <c r="M22" s="43">
        <v>20000</v>
      </c>
      <c r="N22" s="43">
        <v>30000</v>
      </c>
      <c r="O22" s="43">
        <f t="shared" si="1"/>
        <v>50000</v>
      </c>
      <c r="P22" s="43" t="e">
        <f t="shared" si="3"/>
        <v>#REF!</v>
      </c>
      <c r="Q22" s="43" t="e">
        <f>VLOOKUP($A22,#REF!,30,0)</f>
        <v>#REF!</v>
      </c>
      <c r="R22" s="43" t="e">
        <f>VLOOKUP($A22,#REF!,35,0)</f>
        <v>#REF!</v>
      </c>
      <c r="S22" s="43" t="e">
        <f t="shared" si="4"/>
        <v>#REF!</v>
      </c>
      <c r="T22" s="43"/>
      <c r="U22" s="43"/>
      <c r="V22" s="44" t="e">
        <f t="shared" si="2"/>
        <v>#REF!</v>
      </c>
      <c r="W22" s="43">
        <v>0</v>
      </c>
      <c r="X22" s="11"/>
      <c r="Y22" s="2"/>
      <c r="Z22" s="2"/>
    </row>
    <row r="23" spans="1:26" x14ac:dyDescent="0.35">
      <c r="A23" s="1" t="s">
        <v>38</v>
      </c>
      <c r="B23" s="1" t="str">
        <f>VLOOKUP(A23,[30]LISTADHERENT!A$5:H$60,3,0)</f>
        <v>NDJOMO ETIENNE</v>
      </c>
      <c r="C23" s="6" t="e">
        <f>VLOOKUP($A23,#REF!,3,0)</f>
        <v>#REF!</v>
      </c>
      <c r="D23" s="6" t="e">
        <f>VLOOKUP($A23,#REF!,4,0)</f>
        <v>#REF!</v>
      </c>
      <c r="E23" s="6" t="e">
        <f>VLOOKUP($A23,#REF!,5,0)</f>
        <v>#REF!</v>
      </c>
      <c r="F23" s="6" t="e">
        <f>VLOOKUP($A23,#REF!,6,0)</f>
        <v>#REF!</v>
      </c>
      <c r="G23" s="6" t="e">
        <f>VLOOKUP($A23,#REF!,7,0)</f>
        <v>#REF!</v>
      </c>
      <c r="H23" s="6" t="e">
        <f>VLOOKUP($A23,#REF!,11,0)</f>
        <v>#REF!</v>
      </c>
      <c r="I23" s="43"/>
      <c r="J23" s="43"/>
      <c r="K23" s="43" t="e">
        <f t="shared" si="0"/>
        <v>#REF!</v>
      </c>
      <c r="L23" s="43"/>
      <c r="M23" s="43">
        <v>20000</v>
      </c>
      <c r="N23" s="43">
        <v>30000</v>
      </c>
      <c r="O23" s="43">
        <f t="shared" si="1"/>
        <v>50000</v>
      </c>
      <c r="P23" s="43" t="e">
        <f t="shared" si="3"/>
        <v>#REF!</v>
      </c>
      <c r="Q23" s="43" t="e">
        <f>VLOOKUP($A23,#REF!,30,0)</f>
        <v>#REF!</v>
      </c>
      <c r="R23" s="43" t="e">
        <f>VLOOKUP($A23,#REF!,35,0)</f>
        <v>#REF!</v>
      </c>
      <c r="S23" s="43" t="e">
        <f t="shared" si="4"/>
        <v>#REF!</v>
      </c>
      <c r="T23" s="43">
        <v>100000</v>
      </c>
      <c r="U23" s="43"/>
      <c r="V23" s="44" t="e">
        <f t="shared" si="2"/>
        <v>#REF!</v>
      </c>
      <c r="W23" s="43">
        <v>0</v>
      </c>
      <c r="X23" s="11"/>
      <c r="Y23" s="2"/>
      <c r="Z23" s="2"/>
    </row>
    <row r="24" spans="1:26" x14ac:dyDescent="0.35">
      <c r="A24" s="1" t="s">
        <v>39</v>
      </c>
      <c r="B24" s="1" t="str">
        <f>VLOOKUP(A24,[30]LISTADHERENT!A$5:H$60,3,0)</f>
        <v>NGONDIEP CLAUDE</v>
      </c>
      <c r="C24" s="6" t="e">
        <f>VLOOKUP($A24,#REF!,3,0)</f>
        <v>#REF!</v>
      </c>
      <c r="D24" s="6" t="e">
        <f>VLOOKUP($A24,#REF!,4,0)</f>
        <v>#REF!</v>
      </c>
      <c r="E24" s="6" t="e">
        <f>VLOOKUP($A24,#REF!,5,0)</f>
        <v>#REF!</v>
      </c>
      <c r="F24" s="6" t="e">
        <f>VLOOKUP($A24,#REF!,6,0)</f>
        <v>#REF!</v>
      </c>
      <c r="G24" s="6" t="e">
        <f>VLOOKUP($A24,#REF!,7,0)</f>
        <v>#REF!</v>
      </c>
      <c r="H24" s="6" t="e">
        <f>VLOOKUP($A24,#REF!,11,0)</f>
        <v>#REF!</v>
      </c>
      <c r="I24" s="43"/>
      <c r="J24" s="43"/>
      <c r="K24" s="43" t="e">
        <f t="shared" si="0"/>
        <v>#REF!</v>
      </c>
      <c r="L24" s="43"/>
      <c r="M24" s="43">
        <v>20000</v>
      </c>
      <c r="N24" s="43">
        <v>30000</v>
      </c>
      <c r="O24" s="43">
        <f t="shared" si="1"/>
        <v>50000</v>
      </c>
      <c r="P24" s="43" t="e">
        <f t="shared" si="3"/>
        <v>#REF!</v>
      </c>
      <c r="Q24" s="43" t="e">
        <f>VLOOKUP($A24,#REF!,30,0)</f>
        <v>#REF!</v>
      </c>
      <c r="R24" s="43" t="e">
        <f>VLOOKUP($A24,#REF!,35,0)</f>
        <v>#REF!</v>
      </c>
      <c r="S24" s="43" t="e">
        <f t="shared" si="4"/>
        <v>#REF!</v>
      </c>
      <c r="T24" s="43">
        <v>150000</v>
      </c>
      <c r="U24" s="43"/>
      <c r="V24" s="44" t="e">
        <f t="shared" si="2"/>
        <v>#REF!</v>
      </c>
      <c r="W24" s="43">
        <v>0</v>
      </c>
      <c r="X24" s="11"/>
      <c r="Y24" s="2"/>
      <c r="Z24" s="2"/>
    </row>
    <row r="25" spans="1:26" x14ac:dyDescent="0.35">
      <c r="A25" s="1" t="s">
        <v>41</v>
      </c>
      <c r="B25" s="1" t="str">
        <f>VLOOKUP(A25,[30]LISTADHERENT!A$5:H$60,3,0)</f>
        <v>NGUIEMEGNI MATHIEU BLAISE</v>
      </c>
      <c r="C25" s="6" t="e">
        <f>VLOOKUP($A25,#REF!,3,0)</f>
        <v>#REF!</v>
      </c>
      <c r="D25" s="6" t="e">
        <f>VLOOKUP($A25,#REF!,4,0)</f>
        <v>#REF!</v>
      </c>
      <c r="E25" s="6" t="e">
        <f>VLOOKUP($A25,#REF!,5,0)</f>
        <v>#REF!</v>
      </c>
      <c r="F25" s="6" t="e">
        <f>VLOOKUP($A25,#REF!,6,0)</f>
        <v>#REF!</v>
      </c>
      <c r="G25" s="6" t="e">
        <f>VLOOKUP($A25,#REF!,7,0)</f>
        <v>#REF!</v>
      </c>
      <c r="H25" s="6" t="e">
        <f>VLOOKUP($A25,#REF!,11,0)</f>
        <v>#REF!</v>
      </c>
      <c r="I25" s="43"/>
      <c r="J25" s="43"/>
      <c r="K25" s="43" t="e">
        <f t="shared" si="0"/>
        <v>#REF!</v>
      </c>
      <c r="L25" s="43"/>
      <c r="M25" s="43">
        <v>20000</v>
      </c>
      <c r="N25" s="43">
        <v>30000</v>
      </c>
      <c r="O25" s="43">
        <f t="shared" si="1"/>
        <v>50000</v>
      </c>
      <c r="P25" s="43" t="e">
        <f t="shared" si="3"/>
        <v>#REF!</v>
      </c>
      <c r="Q25" s="43" t="e">
        <f>VLOOKUP($A25,#REF!,30,0)</f>
        <v>#REF!</v>
      </c>
      <c r="R25" s="43" t="e">
        <f>VLOOKUP($A25,#REF!,35,0)</f>
        <v>#REF!</v>
      </c>
      <c r="S25" s="43" t="e">
        <f t="shared" si="4"/>
        <v>#REF!</v>
      </c>
      <c r="T25" s="43">
        <v>100000</v>
      </c>
      <c r="U25" s="43"/>
      <c r="V25" s="44" t="e">
        <f t="shared" si="2"/>
        <v>#REF!</v>
      </c>
      <c r="W25" s="43">
        <v>0</v>
      </c>
      <c r="X25" s="11"/>
      <c r="Y25" s="2"/>
      <c r="Z25" s="2"/>
    </row>
    <row r="26" spans="1:26" x14ac:dyDescent="0.35">
      <c r="A26" s="1" t="s">
        <v>43</v>
      </c>
      <c r="B26" s="1" t="str">
        <f>VLOOKUP(A26,[30]LISTADHERENT!A$5:H$60,3,0)</f>
        <v>NKAMGANG JUSTIN DEJOLIE</v>
      </c>
      <c r="C26" s="6" t="e">
        <f>VLOOKUP($A26,#REF!,3,0)</f>
        <v>#REF!</v>
      </c>
      <c r="D26" s="6" t="e">
        <f>VLOOKUP($A26,#REF!,4,0)</f>
        <v>#REF!</v>
      </c>
      <c r="E26" s="6" t="e">
        <f>VLOOKUP($A26,#REF!,5,0)</f>
        <v>#REF!</v>
      </c>
      <c r="F26" s="6" t="e">
        <f>VLOOKUP($A26,#REF!,6,0)</f>
        <v>#REF!</v>
      </c>
      <c r="G26" s="6" t="e">
        <f>VLOOKUP($A26,#REF!,7,0)</f>
        <v>#REF!</v>
      </c>
      <c r="H26" s="6" t="e">
        <f>VLOOKUP($A26,#REF!,11,0)</f>
        <v>#REF!</v>
      </c>
      <c r="I26" s="43"/>
      <c r="J26" s="43"/>
      <c r="K26" s="43" t="e">
        <f t="shared" si="0"/>
        <v>#REF!</v>
      </c>
      <c r="L26" s="43"/>
      <c r="M26" s="43">
        <v>20000</v>
      </c>
      <c r="N26" s="43">
        <v>30000</v>
      </c>
      <c r="O26" s="43">
        <f t="shared" si="1"/>
        <v>50000</v>
      </c>
      <c r="P26" s="43" t="e">
        <f t="shared" si="3"/>
        <v>#REF!</v>
      </c>
      <c r="Q26" s="43" t="e">
        <f>VLOOKUP($A26,#REF!,30,0)</f>
        <v>#REF!</v>
      </c>
      <c r="R26" s="43" t="e">
        <f>VLOOKUP($A26,#REF!,35,0)</f>
        <v>#REF!</v>
      </c>
      <c r="S26" s="43" t="e">
        <f t="shared" si="4"/>
        <v>#REF!</v>
      </c>
      <c r="T26" s="43">
        <v>59000</v>
      </c>
      <c r="U26" s="43"/>
      <c r="V26" s="44" t="e">
        <f t="shared" si="2"/>
        <v>#REF!</v>
      </c>
      <c r="W26" s="43">
        <v>0</v>
      </c>
      <c r="X26" s="11"/>
      <c r="Y26" s="2"/>
      <c r="Z26" s="2"/>
    </row>
    <row r="27" spans="1:26" x14ac:dyDescent="0.35">
      <c r="A27" s="1" t="s">
        <v>30</v>
      </c>
      <c r="B27" s="1" t="str">
        <f>VLOOKUP(A27,[30]LISTADHERENT!A$5:H$60,3,0)</f>
        <v>NKEHE DAVID</v>
      </c>
      <c r="C27" s="6" t="e">
        <f>VLOOKUP($A27,#REF!,3,0)</f>
        <v>#REF!</v>
      </c>
      <c r="D27" s="6" t="e">
        <f>VLOOKUP($A27,#REF!,4,0)</f>
        <v>#REF!</v>
      </c>
      <c r="E27" s="6" t="e">
        <f>VLOOKUP($A27,#REF!,5,0)</f>
        <v>#REF!</v>
      </c>
      <c r="F27" s="6" t="e">
        <f>VLOOKUP($A27,#REF!,6,0)</f>
        <v>#REF!</v>
      </c>
      <c r="G27" s="6" t="e">
        <f>VLOOKUP($A27,#REF!,7,0)</f>
        <v>#REF!</v>
      </c>
      <c r="H27" s="6" t="e">
        <f>VLOOKUP($A27,#REF!,11,0)</f>
        <v>#REF!</v>
      </c>
      <c r="I27" s="43"/>
      <c r="J27" s="43"/>
      <c r="K27" s="43" t="e">
        <f t="shared" si="0"/>
        <v>#REF!</v>
      </c>
      <c r="L27" s="43"/>
      <c r="M27" s="43"/>
      <c r="N27" s="43"/>
      <c r="O27" s="43">
        <f t="shared" si="1"/>
        <v>0</v>
      </c>
      <c r="P27" s="43"/>
      <c r="Q27" s="43" t="e">
        <f>VLOOKUP($A27,#REF!,30,0)</f>
        <v>#REF!</v>
      </c>
      <c r="R27" s="43" t="e">
        <f>VLOOKUP($A27,#REF!,35,0)</f>
        <v>#REF!</v>
      </c>
      <c r="S27" s="43" t="e">
        <f>IF(Q27=0,P27-R27-Q27,P27-R27)</f>
        <v>#REF!</v>
      </c>
      <c r="T27" s="43"/>
      <c r="U27" s="43"/>
      <c r="V27" s="44" t="e">
        <f t="shared" si="2"/>
        <v>#REF!</v>
      </c>
      <c r="W27" s="43">
        <v>125025.722491623</v>
      </c>
      <c r="X27" s="11" t="e">
        <f t="shared" si="5"/>
        <v>#REF!</v>
      </c>
      <c r="Y27" s="2"/>
      <c r="Z27" s="2"/>
    </row>
    <row r="28" spans="1:26" x14ac:dyDescent="0.35">
      <c r="A28" s="1" t="s">
        <v>44</v>
      </c>
      <c r="B28" s="1" t="str">
        <f>VLOOKUP(A28,[30]LISTADHERENT!A$5:H$60,3,0)</f>
        <v>NKEPSEU DIEUDONNE</v>
      </c>
      <c r="C28" s="6" t="e">
        <f>VLOOKUP($A28,#REF!,3,0)</f>
        <v>#REF!</v>
      </c>
      <c r="D28" s="6" t="e">
        <f>VLOOKUP($A28,#REF!,4,0)</f>
        <v>#REF!</v>
      </c>
      <c r="E28" s="6" t="e">
        <f>VLOOKUP($A28,#REF!,5,0)</f>
        <v>#REF!</v>
      </c>
      <c r="F28" s="6" t="e">
        <f>VLOOKUP($A28,#REF!,6,0)</f>
        <v>#REF!</v>
      </c>
      <c r="G28" s="6" t="e">
        <f>VLOOKUP($A28,#REF!,7,0)</f>
        <v>#REF!</v>
      </c>
      <c r="H28" s="6" t="e">
        <f>VLOOKUP($A28,#REF!,11,0)</f>
        <v>#REF!</v>
      </c>
      <c r="I28" s="43"/>
      <c r="J28" s="43"/>
      <c r="K28" s="43" t="e">
        <f t="shared" si="0"/>
        <v>#REF!</v>
      </c>
      <c r="L28" s="43"/>
      <c r="M28" s="43">
        <v>20000</v>
      </c>
      <c r="N28" s="43">
        <v>30000</v>
      </c>
      <c r="O28" s="43">
        <f t="shared" si="1"/>
        <v>50000</v>
      </c>
      <c r="P28" s="43" t="e">
        <f t="shared" si="3"/>
        <v>#REF!</v>
      </c>
      <c r="Q28" s="43" t="e">
        <f>VLOOKUP($A28,#REF!,30,0)</f>
        <v>#REF!</v>
      </c>
      <c r="R28" s="43" t="e">
        <f>VLOOKUP($A28,#REF!,35,0)</f>
        <v>#REF!</v>
      </c>
      <c r="S28" s="43" t="e">
        <f t="shared" si="4"/>
        <v>#REF!</v>
      </c>
      <c r="T28" s="43">
        <v>70000</v>
      </c>
      <c r="U28" s="43"/>
      <c r="V28" s="44" t="e">
        <f t="shared" si="2"/>
        <v>#REF!</v>
      </c>
      <c r="W28" s="43">
        <v>0</v>
      </c>
      <c r="X28" s="11"/>
      <c r="Y28" s="2" t="s">
        <v>20</v>
      </c>
      <c r="Z28" s="2"/>
    </row>
    <row r="29" spans="1:26" s="14" customFormat="1" x14ac:dyDescent="0.35">
      <c r="A29" s="1" t="s">
        <v>45</v>
      </c>
      <c r="B29" s="1" t="str">
        <f>VLOOKUP(A29,[30]LISTADHERENT!A$5:H$60,3,0)</f>
        <v>PATEGO NJOSSU GUSTAVE</v>
      </c>
      <c r="C29" s="6" t="e">
        <f>VLOOKUP($A29,#REF!,3,0)</f>
        <v>#REF!</v>
      </c>
      <c r="D29" s="6" t="e">
        <f>VLOOKUP($A29,#REF!,4,0)</f>
        <v>#REF!</v>
      </c>
      <c r="E29" s="6" t="e">
        <f>VLOOKUP($A29,#REF!,5,0)</f>
        <v>#REF!</v>
      </c>
      <c r="F29" s="6" t="e">
        <f>VLOOKUP($A29,#REF!,6,0)</f>
        <v>#REF!</v>
      </c>
      <c r="G29" s="6" t="e">
        <f>VLOOKUP($A29,#REF!,7,0)</f>
        <v>#REF!</v>
      </c>
      <c r="H29" s="6" t="e">
        <f>VLOOKUP($A29,#REF!,11,0)</f>
        <v>#REF!</v>
      </c>
      <c r="I29" s="46"/>
      <c r="J29" s="46"/>
      <c r="K29" s="43" t="e">
        <f t="shared" si="0"/>
        <v>#REF!</v>
      </c>
      <c r="L29" s="46"/>
      <c r="M29" s="43">
        <v>20000</v>
      </c>
      <c r="N29" s="43">
        <v>30000</v>
      </c>
      <c r="O29" s="43">
        <f t="shared" si="1"/>
        <v>50000</v>
      </c>
      <c r="P29" s="43" t="e">
        <f t="shared" si="3"/>
        <v>#REF!</v>
      </c>
      <c r="Q29" s="43" t="e">
        <f>VLOOKUP($A29,#REF!,30,0)</f>
        <v>#REF!</v>
      </c>
      <c r="R29" s="43" t="e">
        <f>VLOOKUP($A29,#REF!,35,0)</f>
        <v>#REF!</v>
      </c>
      <c r="S29" s="43" t="e">
        <f t="shared" si="4"/>
        <v>#REF!</v>
      </c>
      <c r="T29" s="43">
        <v>50000</v>
      </c>
      <c r="U29" s="43"/>
      <c r="V29" s="44" t="e">
        <f t="shared" si="2"/>
        <v>#REF!</v>
      </c>
      <c r="W29" s="43">
        <v>0</v>
      </c>
      <c r="X29" s="11"/>
      <c r="Y29" s="11"/>
      <c r="Z29" s="11"/>
    </row>
    <row r="30" spans="1:26" ht="14.25" customHeight="1" x14ac:dyDescent="0.35">
      <c r="A30" s="1" t="s">
        <v>81</v>
      </c>
      <c r="B30" s="1" t="str">
        <f>VLOOKUP(A30,[30]LISTADHERENT!A$5:H$60,3,0)</f>
        <v>SIME BRICE</v>
      </c>
      <c r="C30" s="6" t="e">
        <f>VLOOKUP($A30,#REF!,3,0)</f>
        <v>#REF!</v>
      </c>
      <c r="D30" s="6" t="e">
        <f>VLOOKUP($A30,#REF!,4,0)</f>
        <v>#REF!</v>
      </c>
      <c r="E30" s="6" t="e">
        <f>VLOOKUP($A30,#REF!,5,0)</f>
        <v>#REF!</v>
      </c>
      <c r="F30" s="6" t="e">
        <f>VLOOKUP($A30,#REF!,6,0)</f>
        <v>#REF!</v>
      </c>
      <c r="G30" s="6" t="e">
        <f>VLOOKUP($A30,#REF!,7,0)</f>
        <v>#REF!</v>
      </c>
      <c r="H30" s="6" t="e">
        <f>VLOOKUP($A30,#REF!,11,0)</f>
        <v>#REF!</v>
      </c>
      <c r="I30" s="43"/>
      <c r="J30" s="43"/>
      <c r="K30" s="43" t="e">
        <f t="shared" si="0"/>
        <v>#REF!</v>
      </c>
      <c r="L30" s="43"/>
      <c r="M30" s="43">
        <v>20000</v>
      </c>
      <c r="N30" s="43">
        <v>30000</v>
      </c>
      <c r="O30" s="43">
        <f t="shared" si="1"/>
        <v>50000</v>
      </c>
      <c r="P30" s="43" t="e">
        <f t="shared" si="3"/>
        <v>#REF!</v>
      </c>
      <c r="Q30" s="43" t="e">
        <f>VLOOKUP($A30,#REF!,30,0)+100000</f>
        <v>#REF!</v>
      </c>
      <c r="R30" s="43" t="e">
        <f>VLOOKUP($A30,#REF!,35,0)</f>
        <v>#REF!</v>
      </c>
      <c r="S30" s="43" t="e">
        <f>IF(Q30=0,P30-R30-Q30,P30-R30)-W30-100000</f>
        <v>#REF!</v>
      </c>
      <c r="T30" s="43">
        <v>50000</v>
      </c>
      <c r="U30" s="43"/>
      <c r="V30" s="44" t="e">
        <f t="shared" si="2"/>
        <v>#REF!</v>
      </c>
      <c r="W30" s="43">
        <v>0</v>
      </c>
      <c r="X30" s="11"/>
      <c r="Y30" s="2"/>
      <c r="Z30" s="2"/>
    </row>
    <row r="31" spans="1:26" x14ac:dyDescent="0.35">
      <c r="A31" s="1" t="s">
        <v>47</v>
      </c>
      <c r="B31" s="1" t="str">
        <f>VLOOKUP(A31,[30]LISTADHERENT!A$5:H$60,3,0)</f>
        <v>SIMO FONGANG ERIC</v>
      </c>
      <c r="C31" s="6" t="e">
        <f>VLOOKUP($A31,#REF!,3,0)</f>
        <v>#REF!</v>
      </c>
      <c r="D31" s="6" t="e">
        <f>VLOOKUP($A31,#REF!,4,0)</f>
        <v>#REF!</v>
      </c>
      <c r="E31" s="6" t="e">
        <f>VLOOKUP($A31,#REF!,5,0)</f>
        <v>#REF!</v>
      </c>
      <c r="F31" s="6" t="e">
        <f>VLOOKUP($A31,#REF!,6,0)</f>
        <v>#REF!</v>
      </c>
      <c r="G31" s="6" t="e">
        <f>VLOOKUP($A31,#REF!,7,0)</f>
        <v>#REF!</v>
      </c>
      <c r="H31" s="6" t="e">
        <f>VLOOKUP($A31,#REF!,11,0)</f>
        <v>#REF!</v>
      </c>
      <c r="I31" s="43"/>
      <c r="J31" s="43"/>
      <c r="K31" s="43" t="e">
        <f t="shared" si="0"/>
        <v>#REF!</v>
      </c>
      <c r="L31" s="43"/>
      <c r="M31" s="43">
        <v>20000</v>
      </c>
      <c r="N31" s="43">
        <v>30000</v>
      </c>
      <c r="O31" s="43">
        <f t="shared" si="1"/>
        <v>50000</v>
      </c>
      <c r="P31" s="43"/>
      <c r="Q31" s="43" t="e">
        <f>VLOOKUP($A31,#REF!,30,0)</f>
        <v>#REF!</v>
      </c>
      <c r="R31" s="43" t="e">
        <f>VLOOKUP($A31,#REF!,35,0)</f>
        <v>#REF!</v>
      </c>
      <c r="S31" s="43" t="e">
        <f>IF(Q31=0,P31-R31-Q31,P31-R31)</f>
        <v>#REF!</v>
      </c>
      <c r="T31" s="43"/>
      <c r="U31" s="43"/>
      <c r="V31" s="44" t="e">
        <f t="shared" si="2"/>
        <v>#REF!</v>
      </c>
      <c r="W31" s="43">
        <v>96690.6257568859</v>
      </c>
      <c r="X31" s="11" t="e">
        <f t="shared" si="5"/>
        <v>#REF!</v>
      </c>
      <c r="Y31" s="2"/>
      <c r="Z31" s="2"/>
    </row>
    <row r="32" spans="1:26" x14ac:dyDescent="0.35">
      <c r="A32" s="1" t="s">
        <v>49</v>
      </c>
      <c r="B32" s="1" t="str">
        <f>VLOOKUP(A32,[30]LISTADHERENT!A$5:H$60,3,0)</f>
        <v>SIMO PIERRE</v>
      </c>
      <c r="C32" s="6" t="e">
        <f>VLOOKUP($A32,#REF!,3,0)</f>
        <v>#REF!</v>
      </c>
      <c r="D32" s="6" t="e">
        <f>VLOOKUP($A32,#REF!,4,0)</f>
        <v>#REF!</v>
      </c>
      <c r="E32" s="6" t="e">
        <f>VLOOKUP($A32,#REF!,5,0)</f>
        <v>#REF!</v>
      </c>
      <c r="F32" s="6" t="e">
        <f>VLOOKUP($A32,#REF!,6,0)</f>
        <v>#REF!</v>
      </c>
      <c r="G32" s="6" t="e">
        <f>VLOOKUP($A32,#REF!,7,0)</f>
        <v>#REF!</v>
      </c>
      <c r="H32" s="6" t="e">
        <f>VLOOKUP($A32,#REF!,11,0)</f>
        <v>#REF!</v>
      </c>
      <c r="I32" s="43"/>
      <c r="J32" s="43"/>
      <c r="K32" s="43" t="e">
        <f t="shared" si="0"/>
        <v>#REF!</v>
      </c>
      <c r="L32" s="43"/>
      <c r="M32" s="43">
        <v>20000</v>
      </c>
      <c r="N32" s="43">
        <v>30000</v>
      </c>
      <c r="O32" s="43">
        <f t="shared" si="1"/>
        <v>50000</v>
      </c>
      <c r="P32" s="43" t="e">
        <f t="shared" si="3"/>
        <v>#REF!</v>
      </c>
      <c r="Q32" s="43" t="e">
        <f>VLOOKUP($A32,#REF!,30,0)</f>
        <v>#REF!</v>
      </c>
      <c r="R32" s="43" t="e">
        <f>VLOOKUP($A32,#REF!,35,0)</f>
        <v>#REF!</v>
      </c>
      <c r="S32" s="43" t="e">
        <f t="shared" si="4"/>
        <v>#REF!</v>
      </c>
      <c r="T32" s="43">
        <v>100000</v>
      </c>
      <c r="U32" s="43"/>
      <c r="V32" s="44" t="e">
        <f t="shared" si="2"/>
        <v>#REF!</v>
      </c>
      <c r="W32" s="43">
        <v>0</v>
      </c>
      <c r="X32" s="11"/>
      <c r="Y32" s="2"/>
      <c r="Z32" s="2"/>
    </row>
    <row r="33" spans="1:26" x14ac:dyDescent="0.35">
      <c r="A33" s="1" t="s">
        <v>51</v>
      </c>
      <c r="B33" s="1" t="str">
        <f>VLOOKUP(A33,[30]LISTADHERENT!A$5:H$60,3,0)</f>
        <v>TCHOUAMOU MATHIEU</v>
      </c>
      <c r="C33" s="6" t="e">
        <f>VLOOKUP($A33,#REF!,3,0)</f>
        <v>#REF!</v>
      </c>
      <c r="D33" s="6" t="e">
        <f>VLOOKUP($A33,#REF!,4,0)</f>
        <v>#REF!</v>
      </c>
      <c r="E33" s="6" t="e">
        <f>VLOOKUP($A33,#REF!,5,0)</f>
        <v>#REF!</v>
      </c>
      <c r="F33" s="6" t="e">
        <f>VLOOKUP($A33,#REF!,6,0)</f>
        <v>#REF!</v>
      </c>
      <c r="G33" s="6" t="e">
        <f>VLOOKUP($A33,#REF!,7,0)</f>
        <v>#REF!</v>
      </c>
      <c r="H33" s="6" t="e">
        <f>VLOOKUP($A33,#REF!,11,0)</f>
        <v>#REF!</v>
      </c>
      <c r="I33" s="43"/>
      <c r="J33" s="43"/>
      <c r="K33" s="43" t="e">
        <f t="shared" si="0"/>
        <v>#REF!</v>
      </c>
      <c r="L33" s="43"/>
      <c r="M33" s="43">
        <v>20000</v>
      </c>
      <c r="N33" s="43">
        <v>30000</v>
      </c>
      <c r="O33" s="43">
        <f t="shared" si="1"/>
        <v>50000</v>
      </c>
      <c r="P33" s="43" t="e">
        <f t="shared" si="3"/>
        <v>#REF!</v>
      </c>
      <c r="Q33" s="43" t="e">
        <f>VLOOKUP($A33,#REF!,30,0)</f>
        <v>#REF!</v>
      </c>
      <c r="R33" s="43" t="e">
        <f>VLOOKUP($A33,#REF!,35,0)</f>
        <v>#REF!</v>
      </c>
      <c r="S33" s="43" t="e">
        <f t="shared" si="4"/>
        <v>#REF!</v>
      </c>
      <c r="T33" s="43">
        <v>40000</v>
      </c>
      <c r="U33" s="43"/>
      <c r="V33" s="44" t="e">
        <f t="shared" si="2"/>
        <v>#REF!</v>
      </c>
      <c r="W33" s="43">
        <v>0</v>
      </c>
      <c r="X33" s="11"/>
      <c r="Y33" s="2"/>
      <c r="Z33" s="2"/>
    </row>
    <row r="34" spans="1:26" ht="14.25" customHeight="1" x14ac:dyDescent="0.35">
      <c r="A34" s="1" t="s">
        <v>54</v>
      </c>
      <c r="B34" s="1" t="str">
        <f>VLOOKUP(A34,[30]LISTADHERENT!A$5:H$60,3,0)</f>
        <v>TIEYAM ERNEST</v>
      </c>
      <c r="C34" s="6" t="e">
        <f>VLOOKUP($A34,#REF!,3,0)</f>
        <v>#REF!</v>
      </c>
      <c r="D34" s="6" t="e">
        <f>VLOOKUP($A34,#REF!,4,0)</f>
        <v>#REF!</v>
      </c>
      <c r="E34" s="6" t="e">
        <f>VLOOKUP($A34,#REF!,5,0)</f>
        <v>#REF!</v>
      </c>
      <c r="F34" s="6" t="e">
        <f>VLOOKUP($A34,#REF!,6,0)</f>
        <v>#REF!</v>
      </c>
      <c r="G34" s="6" t="e">
        <f>VLOOKUP($A34,#REF!,7,0)</f>
        <v>#REF!</v>
      </c>
      <c r="H34" s="6" t="e">
        <f>VLOOKUP($A34,#REF!,11,0)</f>
        <v>#REF!</v>
      </c>
      <c r="I34" s="43"/>
      <c r="J34" s="43"/>
      <c r="K34" s="43" t="e">
        <f t="shared" si="0"/>
        <v>#REF!</v>
      </c>
      <c r="L34" s="43"/>
      <c r="M34" s="43"/>
      <c r="N34" s="43"/>
      <c r="O34" s="43">
        <f t="shared" si="1"/>
        <v>0</v>
      </c>
      <c r="P34" s="43"/>
      <c r="Q34" s="43" t="e">
        <f>VLOOKUP($A34,#REF!,30,0)</f>
        <v>#REF!</v>
      </c>
      <c r="R34" s="43" t="e">
        <f>VLOOKUP($A34,#REF!,35,0)</f>
        <v>#REF!</v>
      </c>
      <c r="S34" s="43" t="e">
        <f>IF(Q34=0,P34-R34-Q34,P34-R34)</f>
        <v>#REF!</v>
      </c>
      <c r="T34" s="43"/>
      <c r="U34" s="43"/>
      <c r="V34" s="44" t="e">
        <f t="shared" si="2"/>
        <v>#REF!</v>
      </c>
      <c r="W34" s="43">
        <v>124491.721682991</v>
      </c>
      <c r="X34" s="11" t="e">
        <f t="shared" si="5"/>
        <v>#REF!</v>
      </c>
      <c r="Y34" s="2"/>
      <c r="Z34" s="2"/>
    </row>
    <row r="35" spans="1:26" s="14" customFormat="1" ht="13.5" customHeight="1" x14ac:dyDescent="0.35">
      <c r="A35" s="1" t="s">
        <v>55</v>
      </c>
      <c r="B35" s="1" t="str">
        <f>VLOOKUP(A35,[30]LISTADHERENT!A$5:H$60,3,0)</f>
        <v>YEPMOU JEAN JACQUES</v>
      </c>
      <c r="C35" s="6" t="e">
        <f>VLOOKUP($A35,#REF!,3,0)</f>
        <v>#REF!</v>
      </c>
      <c r="D35" s="6" t="e">
        <f>VLOOKUP($A35,#REF!,4,0)</f>
        <v>#REF!</v>
      </c>
      <c r="E35" s="6" t="e">
        <f>VLOOKUP($A35,#REF!,5,0)</f>
        <v>#REF!</v>
      </c>
      <c r="F35" s="6" t="e">
        <f>VLOOKUP($A35,#REF!,6,0)</f>
        <v>#REF!</v>
      </c>
      <c r="G35" s="6" t="e">
        <f>VLOOKUP($A35,#REF!,7,0)</f>
        <v>#REF!</v>
      </c>
      <c r="H35" s="6" t="e">
        <f>VLOOKUP($A35,#REF!,11,0)</f>
        <v>#REF!</v>
      </c>
      <c r="I35" s="46"/>
      <c r="J35" s="46"/>
      <c r="K35" s="43" t="e">
        <f t="shared" si="0"/>
        <v>#REF!</v>
      </c>
      <c r="L35" s="46"/>
      <c r="M35" s="43">
        <v>20000</v>
      </c>
      <c r="N35" s="43">
        <v>30000</v>
      </c>
      <c r="O35" s="43">
        <f t="shared" si="1"/>
        <v>50000</v>
      </c>
      <c r="P35" s="43" t="e">
        <f>IF(Q35&lt;70000,K35-O35-(70000-Q35),K35-O35)-30000</f>
        <v>#REF!</v>
      </c>
      <c r="Q35" s="43" t="e">
        <f>VLOOKUP($A35,#REF!,30,0)</f>
        <v>#REF!</v>
      </c>
      <c r="R35" s="43" t="e">
        <f>VLOOKUP($A35,#REF!,35,0)</f>
        <v>#REF!</v>
      </c>
      <c r="S35" s="43" t="e">
        <f t="shared" si="4"/>
        <v>#REF!</v>
      </c>
      <c r="T35" s="43"/>
      <c r="U35" s="43"/>
      <c r="V35" s="44" t="e">
        <f t="shared" si="2"/>
        <v>#REF!</v>
      </c>
      <c r="W35" s="43">
        <v>0</v>
      </c>
      <c r="X35" s="11"/>
    </row>
    <row r="36" spans="1:26" x14ac:dyDescent="0.35">
      <c r="A36" s="1" t="s">
        <v>56</v>
      </c>
      <c r="B36" s="1" t="str">
        <f>VLOOKUP(A36,[30]LISTADHERENT!A$5:H$60,3,0)</f>
        <v>YOUMBI EMMANUEL</v>
      </c>
      <c r="C36" s="6" t="e">
        <f>VLOOKUP($A36,#REF!,3,0)</f>
        <v>#REF!</v>
      </c>
      <c r="D36" s="6" t="e">
        <f>VLOOKUP($A36,#REF!,4,0)</f>
        <v>#REF!</v>
      </c>
      <c r="E36" s="6" t="e">
        <f>VLOOKUP($A36,#REF!,5,0)</f>
        <v>#REF!</v>
      </c>
      <c r="F36" s="6" t="e">
        <f>VLOOKUP($A36,#REF!,6,0)</f>
        <v>#REF!</v>
      </c>
      <c r="G36" s="6" t="e">
        <f>VLOOKUP($A36,#REF!,7,0)</f>
        <v>#REF!</v>
      </c>
      <c r="H36" s="6" t="e">
        <f>VLOOKUP($A36,#REF!,11,0)</f>
        <v>#REF!</v>
      </c>
      <c r="I36" s="43"/>
      <c r="J36" s="43"/>
      <c r="K36" s="43" t="e">
        <f t="shared" si="0"/>
        <v>#REF!</v>
      </c>
      <c r="L36" s="43"/>
      <c r="M36" s="43">
        <v>20000</v>
      </c>
      <c r="N36" s="43">
        <v>30000</v>
      </c>
      <c r="O36" s="43">
        <f t="shared" si="1"/>
        <v>50000</v>
      </c>
      <c r="P36" s="43" t="e">
        <f t="shared" si="3"/>
        <v>#REF!</v>
      </c>
      <c r="Q36" s="43" t="e">
        <f>VLOOKUP($A36,#REF!,30,0)</f>
        <v>#REF!</v>
      </c>
      <c r="R36" s="43" t="e">
        <f>VLOOKUP($A36,#REF!,35,0)</f>
        <v>#REF!</v>
      </c>
      <c r="S36" s="43" t="e">
        <f t="shared" si="4"/>
        <v>#REF!</v>
      </c>
      <c r="T36" s="43"/>
      <c r="U36" s="43"/>
      <c r="V36" s="44" t="e">
        <f t="shared" si="2"/>
        <v>#REF!</v>
      </c>
      <c r="W36" s="43">
        <v>0</v>
      </c>
      <c r="X36" s="11"/>
    </row>
    <row r="37" spans="1:26" x14ac:dyDescent="0.35">
      <c r="A37" s="133"/>
      <c r="B37" s="1"/>
      <c r="C37" s="130"/>
      <c r="D37" s="130"/>
      <c r="E37" s="6"/>
      <c r="F37" s="6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43"/>
      <c r="T37" s="130"/>
      <c r="U37" s="130"/>
      <c r="V37" s="134"/>
      <c r="W37" s="43"/>
    </row>
    <row r="38" spans="1:26" ht="18" thickBot="1" x14ac:dyDescent="0.4">
      <c r="A38" s="53" t="s">
        <v>57</v>
      </c>
      <c r="B38" s="68"/>
      <c r="C38" s="73" t="e">
        <f>SUM(C6:C37)</f>
        <v>#REF!</v>
      </c>
      <c r="D38" s="73" t="e">
        <f t="shared" ref="D38:X38" si="6">SUM(D6:D37)</f>
        <v>#REF!</v>
      </c>
      <c r="E38" s="73" t="e">
        <f t="shared" si="6"/>
        <v>#REF!</v>
      </c>
      <c r="F38" s="73" t="e">
        <f t="shared" si="6"/>
        <v>#REF!</v>
      </c>
      <c r="G38" s="73" t="e">
        <f t="shared" si="6"/>
        <v>#REF!</v>
      </c>
      <c r="H38" s="73" t="e">
        <f t="shared" si="6"/>
        <v>#REF!</v>
      </c>
      <c r="I38" s="73">
        <f t="shared" si="6"/>
        <v>0</v>
      </c>
      <c r="J38" s="73">
        <f t="shared" si="6"/>
        <v>0</v>
      </c>
      <c r="K38" s="73" t="e">
        <f t="shared" si="6"/>
        <v>#REF!</v>
      </c>
      <c r="L38" s="73">
        <f t="shared" si="6"/>
        <v>0</v>
      </c>
      <c r="M38" s="73">
        <f t="shared" si="6"/>
        <v>540000</v>
      </c>
      <c r="N38" s="73">
        <f t="shared" si="6"/>
        <v>810000</v>
      </c>
      <c r="O38" s="73">
        <f t="shared" si="6"/>
        <v>1350000</v>
      </c>
      <c r="P38" s="73" t="e">
        <f t="shared" si="6"/>
        <v>#REF!</v>
      </c>
      <c r="Q38" s="73" t="e">
        <f t="shared" si="6"/>
        <v>#REF!</v>
      </c>
      <c r="R38" s="73" t="e">
        <f t="shared" si="6"/>
        <v>#REF!</v>
      </c>
      <c r="S38" s="73" t="e">
        <f t="shared" si="6"/>
        <v>#REF!</v>
      </c>
      <c r="T38" s="73">
        <f t="shared" si="6"/>
        <v>1201000</v>
      </c>
      <c r="U38" s="73">
        <f t="shared" si="6"/>
        <v>816544</v>
      </c>
      <c r="V38" s="73" t="e">
        <f t="shared" si="6"/>
        <v>#REF!</v>
      </c>
      <c r="W38" s="73">
        <f t="shared" si="6"/>
        <v>482701.34242992994</v>
      </c>
      <c r="X38" s="73" t="e">
        <f t="shared" si="6"/>
        <v>#REF!</v>
      </c>
    </row>
    <row r="39" spans="1:26" ht="15" thickTop="1" x14ac:dyDescent="0.35">
      <c r="G39" t="s">
        <v>311</v>
      </c>
    </row>
    <row r="40" spans="1:26" x14ac:dyDescent="0.35">
      <c r="E40" s="6">
        <v>30000</v>
      </c>
      <c r="F40" s="6"/>
      <c r="G40" s="6"/>
      <c r="H40" s="6"/>
      <c r="I40" s="6"/>
      <c r="J40" s="6"/>
      <c r="K40" s="6"/>
      <c r="L40" s="6"/>
    </row>
    <row r="41" spans="1:26" x14ac:dyDescent="0.35">
      <c r="F41" s="6">
        <v>23000</v>
      </c>
      <c r="G41" s="6">
        <v>2000</v>
      </c>
      <c r="H41" s="6">
        <f>F41+G41</f>
        <v>25000</v>
      </c>
      <c r="I41" s="6"/>
      <c r="J41" s="6"/>
      <c r="K41" s="6"/>
      <c r="L41" s="6"/>
      <c r="O41" s="2"/>
    </row>
    <row r="42" spans="1:26" x14ac:dyDescent="0.35">
      <c r="E42" t="s">
        <v>308</v>
      </c>
      <c r="F42" s="6">
        <v>500</v>
      </c>
      <c r="G42" s="6">
        <v>500</v>
      </c>
      <c r="H42" s="6">
        <f t="shared" ref="H42:H45" si="7">F42+G42</f>
        <v>1000</v>
      </c>
      <c r="I42" s="6"/>
      <c r="J42" s="6"/>
      <c r="K42" s="6"/>
      <c r="L42" s="6"/>
    </row>
    <row r="43" spans="1:26" x14ac:dyDescent="0.35">
      <c r="A43" s="1" t="s">
        <v>17</v>
      </c>
      <c r="B43" s="1" t="str">
        <f>VLOOKUP(A43,[30]LISTADHERENT!A$5:H$60,3,0)</f>
        <v>BAKOP ACHILLE</v>
      </c>
      <c r="C43" s="6" t="e">
        <f>VLOOKUP($A43,#REF!,3,0)</f>
        <v>#REF!</v>
      </c>
      <c r="E43" t="s">
        <v>309</v>
      </c>
      <c r="F43" s="6">
        <v>1000</v>
      </c>
      <c r="G43" s="6"/>
      <c r="H43" s="6">
        <f t="shared" si="7"/>
        <v>1000</v>
      </c>
      <c r="I43" s="6"/>
      <c r="J43" s="6"/>
      <c r="K43" s="6"/>
      <c r="L43" s="6"/>
    </row>
    <row r="44" spans="1:26" x14ac:dyDescent="0.35">
      <c r="A44" s="1" t="s">
        <v>301</v>
      </c>
      <c r="B44" s="1" t="str">
        <f>VLOOKUP(A44,[30]LISTADHERENT!A$5:H$60,3,0)</f>
        <v>HODIEP JULES</v>
      </c>
      <c r="C44" s="6" t="e">
        <f>VLOOKUP($A44,#REF!,3,0)</f>
        <v>#REF!</v>
      </c>
      <c r="E44" t="s">
        <v>310</v>
      </c>
      <c r="F44" s="6">
        <v>3000</v>
      </c>
      <c r="G44" s="6">
        <v>6000</v>
      </c>
      <c r="H44" s="6">
        <f t="shared" si="7"/>
        <v>9000</v>
      </c>
      <c r="I44" s="6">
        <f>H44*12</f>
        <v>108000</v>
      </c>
      <c r="J44" s="6"/>
      <c r="K44" s="6"/>
      <c r="L44" s="6"/>
    </row>
    <row r="45" spans="1:26" x14ac:dyDescent="0.35">
      <c r="A45" s="1" t="s">
        <v>300</v>
      </c>
      <c r="B45" s="1" t="str">
        <f>VLOOKUP(A45,[30]LISTADHERENT!A$5:H$60,3,0)</f>
        <v>NDOMBOU JEAN CLAUDE</v>
      </c>
      <c r="C45" s="6" t="e">
        <f>VLOOKUP($A45,#REF!,3,0)</f>
        <v>#REF!</v>
      </c>
      <c r="E45" t="s">
        <v>12</v>
      </c>
      <c r="F45" s="6">
        <v>2500</v>
      </c>
      <c r="G45" s="6">
        <v>1500</v>
      </c>
      <c r="H45" s="6">
        <f t="shared" si="7"/>
        <v>4000</v>
      </c>
      <c r="I45" s="6">
        <f>H45*26</f>
        <v>104000</v>
      </c>
      <c r="J45" s="6"/>
      <c r="K45" s="6"/>
      <c r="L45" s="6"/>
    </row>
    <row r="46" spans="1:26" x14ac:dyDescent="0.35">
      <c r="A46" s="1" t="s">
        <v>40</v>
      </c>
      <c r="B46" s="1" t="str">
        <f>VLOOKUP(A46,[30]LISTADHERENT!A$5:H$60,3,0)</f>
        <v>NGONGANG JEAN THEODORE</v>
      </c>
      <c r="C46" s="6" t="e">
        <f>VLOOKUP($A46,#REF!,3,0)</f>
        <v>#REF!</v>
      </c>
    </row>
    <row r="47" spans="1:26" x14ac:dyDescent="0.35">
      <c r="A47" s="1" t="s">
        <v>80</v>
      </c>
      <c r="B47" s="1" t="str">
        <f>VLOOKUP(A47,[30]LISTADHERENT!A$5:H$60,3,0)</f>
        <v>NGANHOU JEAN</v>
      </c>
      <c r="C47" s="6" t="e">
        <f>VLOOKUP($A47,#REF!,3,0)</f>
        <v>#REF!</v>
      </c>
      <c r="F47" s="6">
        <f t="shared" ref="F47:H47" si="8">SUM(F41:F46)</f>
        <v>30000</v>
      </c>
      <c r="G47" s="6">
        <f t="shared" si="8"/>
        <v>10000</v>
      </c>
      <c r="H47" s="6">
        <f t="shared" si="8"/>
        <v>40000</v>
      </c>
      <c r="I47" s="6"/>
      <c r="J47" s="6"/>
      <c r="K47" s="6"/>
    </row>
    <row r="49" spans="1:21" ht="17.5" x14ac:dyDescent="0.35">
      <c r="A49" s="1" t="s">
        <v>57</v>
      </c>
      <c r="B49" s="1"/>
      <c r="C49" s="9" t="e">
        <f>SUM(C43:C48)</f>
        <v>#REF!</v>
      </c>
      <c r="L49" s="138"/>
      <c r="M49" s="138"/>
      <c r="N49" s="2"/>
      <c r="O49" s="2"/>
      <c r="P49" s="2"/>
      <c r="Q49" s="2"/>
      <c r="R49" s="2"/>
      <c r="S49" s="2"/>
      <c r="T49" s="2"/>
      <c r="U49"/>
    </row>
  </sheetData>
  <autoFilter ref="A5:U38" xr:uid="{00000000-0009-0000-0000-00002C000000}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EFAE-DDF0-43D5-B407-E46BF586CBA3}">
  <dimension ref="A1:AM44"/>
  <sheetViews>
    <sheetView workbookViewId="0">
      <pane xSplit="2" ySplit="5" topLeftCell="Q6" activePane="bottomRight" state="frozen"/>
      <selection activeCell="F8" sqref="F8"/>
      <selection pane="topRight" activeCell="F8" sqref="F8"/>
      <selection pane="bottomLeft" activeCell="F8" sqref="F8"/>
      <selection pane="bottomRight" activeCell="S6" sqref="S6"/>
    </sheetView>
  </sheetViews>
  <sheetFormatPr baseColWidth="10" defaultColWidth="11" defaultRowHeight="14.5" x14ac:dyDescent="0.35"/>
  <cols>
    <col min="1" max="1" width="13.81640625" customWidth="1"/>
    <col min="2" max="2" width="29.54296875" bestFit="1" customWidth="1"/>
    <col min="3" max="4" width="16.81640625" bestFit="1" customWidth="1"/>
    <col min="5" max="5" width="12.1796875" customWidth="1"/>
    <col min="6" max="6" width="16.81640625" bestFit="1" customWidth="1"/>
    <col min="7" max="8" width="18.26953125" customWidth="1"/>
    <col min="9" max="9" width="16.81640625" bestFit="1" customWidth="1"/>
    <col min="10" max="10" width="15" bestFit="1" customWidth="1"/>
    <col min="11" max="11" width="17.54296875" style="188" bestFit="1" customWidth="1"/>
    <col min="12" max="12" width="17.54296875" style="188" customWidth="1"/>
    <col min="13" max="13" width="15.7265625" style="2" customWidth="1"/>
    <col min="14" max="14" width="12.453125" style="2" customWidth="1"/>
    <col min="15" max="15" width="13.08984375" style="2" bestFit="1" customWidth="1"/>
    <col min="16" max="16" width="12.453125" style="2" customWidth="1"/>
    <col min="17" max="17" width="16.81640625" style="2" bestFit="1" customWidth="1"/>
    <col min="18" max="18" width="16.81640625" style="2" customWidth="1"/>
    <col min="19" max="19" width="17" customWidth="1"/>
    <col min="20" max="20" width="15" customWidth="1"/>
    <col min="21" max="22" width="18.1796875" customWidth="1"/>
    <col min="23" max="23" width="14.6328125" bestFit="1" customWidth="1"/>
    <col min="26" max="26" width="12.453125" bestFit="1" customWidth="1"/>
    <col min="31" max="31" width="12.453125" bestFit="1" customWidth="1"/>
    <col min="35" max="35" width="13.08984375" bestFit="1" customWidth="1"/>
    <col min="36" max="36" width="12.453125" bestFit="1" customWidth="1"/>
    <col min="37" max="37" width="17.54296875" customWidth="1"/>
    <col min="38" max="38" width="21.453125" bestFit="1" customWidth="1"/>
    <col min="39" max="39" width="12.453125" style="2" bestFit="1" customWidth="1"/>
  </cols>
  <sheetData>
    <row r="1" spans="1:39" ht="26" x14ac:dyDescent="0.6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AL1" s="190"/>
      <c r="AM1" s="191"/>
    </row>
    <row r="2" spans="1:39" ht="26" x14ac:dyDescent="0.6">
      <c r="A2" s="1" t="s">
        <v>2</v>
      </c>
      <c r="B2" s="1">
        <v>2025</v>
      </c>
      <c r="C2" s="1"/>
      <c r="D2" s="1"/>
      <c r="E2" s="1"/>
      <c r="F2" s="1"/>
      <c r="G2" s="1"/>
      <c r="H2" s="5"/>
      <c r="I2" s="1"/>
      <c r="AK2" s="1"/>
      <c r="AL2" s="104"/>
      <c r="AM2" s="59"/>
    </row>
    <row r="3" spans="1:39" x14ac:dyDescent="0.35">
      <c r="A3" s="1" t="s">
        <v>3</v>
      </c>
      <c r="B3" s="5"/>
      <c r="C3" s="5"/>
      <c r="D3" s="5"/>
      <c r="E3" s="5"/>
      <c r="F3" s="5"/>
      <c r="G3" s="5"/>
      <c r="H3" s="5"/>
      <c r="I3" s="5"/>
      <c r="AK3" s="1"/>
      <c r="AL3" s="1"/>
      <c r="AM3"/>
    </row>
    <row r="4" spans="1:39" x14ac:dyDescent="0.35">
      <c r="A4">
        <v>1</v>
      </c>
      <c r="B4" s="5">
        <v>2</v>
      </c>
      <c r="C4">
        <v>3</v>
      </c>
      <c r="D4" s="5">
        <v>4</v>
      </c>
      <c r="E4">
        <v>5</v>
      </c>
      <c r="F4" s="5">
        <v>6</v>
      </c>
      <c r="G4">
        <v>7</v>
      </c>
      <c r="H4" s="5">
        <v>8</v>
      </c>
      <c r="I4">
        <v>9</v>
      </c>
      <c r="J4" s="5">
        <v>10</v>
      </c>
      <c r="K4">
        <v>11</v>
      </c>
      <c r="L4" s="5">
        <v>12</v>
      </c>
      <c r="M4">
        <v>13</v>
      </c>
      <c r="N4" s="5">
        <v>14</v>
      </c>
      <c r="O4">
        <v>15</v>
      </c>
      <c r="P4" s="5">
        <v>16</v>
      </c>
      <c r="Q4">
        <v>17</v>
      </c>
      <c r="R4" s="5">
        <v>18</v>
      </c>
      <c r="S4">
        <v>19</v>
      </c>
      <c r="T4" s="5">
        <v>20</v>
      </c>
      <c r="U4">
        <v>21</v>
      </c>
      <c r="V4" s="5">
        <v>22</v>
      </c>
      <c r="W4">
        <v>23</v>
      </c>
      <c r="X4" s="5">
        <v>24</v>
      </c>
      <c r="Y4">
        <v>25</v>
      </c>
      <c r="Z4" s="5">
        <v>26</v>
      </c>
      <c r="AA4">
        <v>27</v>
      </c>
      <c r="AB4" s="5">
        <v>28</v>
      </c>
      <c r="AC4">
        <v>29</v>
      </c>
      <c r="AD4" s="5">
        <v>30</v>
      </c>
      <c r="AE4">
        <v>31</v>
      </c>
      <c r="AF4" s="5">
        <v>32</v>
      </c>
      <c r="AG4">
        <v>33</v>
      </c>
      <c r="AH4" s="5">
        <v>34</v>
      </c>
      <c r="AI4">
        <v>35</v>
      </c>
      <c r="AJ4" s="5">
        <v>36</v>
      </c>
      <c r="AK4">
        <v>37</v>
      </c>
      <c r="AL4" s="5">
        <v>38</v>
      </c>
    </row>
    <row r="5" spans="1:39" ht="56.5" x14ac:dyDescent="0.35">
      <c r="A5" s="1" t="s">
        <v>4</v>
      </c>
      <c r="B5" s="1" t="s">
        <v>5</v>
      </c>
      <c r="C5" s="4" t="s">
        <v>212</v>
      </c>
      <c r="D5" s="4" t="s">
        <v>324</v>
      </c>
      <c r="E5" s="4" t="s">
        <v>213</v>
      </c>
      <c r="F5" s="4" t="s">
        <v>214</v>
      </c>
      <c r="G5" s="4" t="s">
        <v>332</v>
      </c>
      <c r="H5" s="158" t="s">
        <v>330</v>
      </c>
      <c r="I5" s="4" t="s">
        <v>7</v>
      </c>
      <c r="J5" s="1" t="s">
        <v>8</v>
      </c>
      <c r="K5" s="4" t="s">
        <v>60</v>
      </c>
      <c r="L5" s="1" t="s">
        <v>9</v>
      </c>
      <c r="M5" s="4" t="s">
        <v>10</v>
      </c>
      <c r="N5" s="4" t="s">
        <v>11</v>
      </c>
      <c r="O5" s="4" t="s">
        <v>12</v>
      </c>
      <c r="P5" s="4" t="s">
        <v>72</v>
      </c>
      <c r="Q5" s="4" t="s">
        <v>73</v>
      </c>
      <c r="R5" s="4" t="s">
        <v>13</v>
      </c>
      <c r="S5" s="4" t="s">
        <v>61</v>
      </c>
      <c r="T5" s="4" t="s">
        <v>331</v>
      </c>
      <c r="U5" s="4" t="s">
        <v>83</v>
      </c>
      <c r="V5" s="4" t="s">
        <v>345</v>
      </c>
      <c r="W5" s="185" t="s">
        <v>346</v>
      </c>
      <c r="X5" s="4" t="s">
        <v>321</v>
      </c>
      <c r="Y5" s="4" t="s">
        <v>83</v>
      </c>
      <c r="Z5" s="4" t="s">
        <v>65</v>
      </c>
      <c r="AA5" s="4" t="s">
        <v>14</v>
      </c>
      <c r="AB5" s="4" t="s">
        <v>210</v>
      </c>
      <c r="AC5" s="4" t="s">
        <v>211</v>
      </c>
      <c r="AD5" s="83" t="s">
        <v>216</v>
      </c>
      <c r="AE5" s="4" t="s">
        <v>254</v>
      </c>
      <c r="AF5" s="83" t="s">
        <v>339</v>
      </c>
      <c r="AG5" s="83" t="s">
        <v>340</v>
      </c>
      <c r="AH5" s="83" t="s">
        <v>341</v>
      </c>
      <c r="AI5" s="83" t="s">
        <v>342</v>
      </c>
      <c r="AJ5" s="4" t="s">
        <v>65</v>
      </c>
      <c r="AK5" s="83" t="s">
        <v>274</v>
      </c>
      <c r="AL5" s="83" t="s">
        <v>335</v>
      </c>
    </row>
    <row r="6" spans="1:39" x14ac:dyDescent="0.35">
      <c r="A6" s="1" t="s">
        <v>16</v>
      </c>
      <c r="B6" s="1" t="str">
        <f>VLOOKUP(A6,[24]LISTADHERENT!A$5:H$60,3,0)</f>
        <v>ASELBY</v>
      </c>
      <c r="C6" s="36">
        <f>+MVTDEC24!C6</f>
        <v>0</v>
      </c>
      <c r="D6" s="36">
        <f>+MVTDEC24!D6</f>
        <v>1023134</v>
      </c>
      <c r="E6" s="36">
        <f>MVTJANV25!E6+MVTFEV25!E6+MVTMARS25!E6+MVTAVRIL25!E6+MVTMAI25!E6+MVTJUIN25!E6+MVTJUIL25!E6+MVTAOUT25!E6+MVTSEPT25!E6+MVTOCT25!E6+MVTNOV25!E6+MVTDEC25!E6</f>
        <v>0</v>
      </c>
      <c r="F6" s="36">
        <f>MVTJANV25!F6+MVTFEV25!F6+MVTMARS25!F6+MVTAVRIL25!F6+MVTMAI25!F6+MVTJUIN25!F6+MVTJUIL25!F6+MVTAOUT25!F6+MVTSEPT25!F6+MVTOCT25!F6+MVTNOV25!F6+MVTDEC25!F6</f>
        <v>13226469.338717744</v>
      </c>
      <c r="G6" s="5">
        <f>MVTJANV25!G6+MVTFEV25!G6+MVTMARS25!G6+MVTAVRIL25!G6+MVTMAI25!G6+MVTJUIN25!G6+MVTJUIL25!G6+MVTAOUT25!G6+MVTSEPT25!G6+MVTOCT25!G6+MVTNOV25!G6+MVTDEC25!G6</f>
        <v>13196944.364028955</v>
      </c>
      <c r="H6" s="36">
        <f>MVTDEC24!H6+MVTJANV25!H6+MVTFEV25!H6+MVTMARS25!H6+MVTAVRIL25!H6+MVTMAI25!H6+MVTJUIN25!H6+MVTJUIL25!H6+MVTAOUT25!H6+MVTSEPT25!H6+MVTOCT25!H6+MVTNOV25!H6</f>
        <v>83346.090793779207</v>
      </c>
      <c r="I6" s="184">
        <f>F6+H6</f>
        <v>13309815.429511523</v>
      </c>
      <c r="J6" s="36">
        <f>MVTJANV25!J6+MVTFEV25!J6+MVTMARS25!J6+MVTAVRIL25!J6+MVTMAI25!J6+MVTJUIN25!J6+MVTJUIL25!J6+MVTAOUT25!J6+MVTSEPT25!J6+MVTOCT25!J6+MVTNOV25!J6+MVTDEC25!J6</f>
        <v>0</v>
      </c>
      <c r="K6" s="36">
        <f>MVTJANV25!K6+MVTFEV25!K6+MVTMARS25!K6+MVTAVRIL25!K6+MVTMAI25!K6+MVTJUIN25!K6+MVTJUIL25!K6+MVTAOUT25!K6+MVTSEPT25!K6+MVTOCT25!K6+MVTNOV25!K6+MVTDEC25!K6</f>
        <v>0</v>
      </c>
      <c r="L6" s="36">
        <f>MVTJANV25!L6+MVTFEV25!L6+MVTMARS25!L6+MVTAVRIL25!L6+MVTMAI25!L6+MVTJUIN25!L6+MVTJUIL25!L6+MVTAOUT25!L6+MVTSEPT25!L6+MVTOCT25!L6+MVTNOV25!L6+MVTDEC25!L6</f>
        <v>80000</v>
      </c>
      <c r="M6" s="36">
        <f>MVTJANV25!M6+MVTFEV25!M6+MVTMARS25!M6+MVTAVRIL25!M6+MVTMAI25!M6+MVTJUIN25!M6+MVTJUIL25!M6+MVTAOUT25!M6+MVTSEPT25!M6+MVTOCT25!M6+MVTNOV25!M6+MVTDEC25!M6</f>
        <v>0</v>
      </c>
      <c r="N6" s="36">
        <f>MVTJANV25!N6+MVTFEV25!N6+MVTMARS25!N6+MVTAVRIL25!N6+MVTMAI25!N6+MVTJUIN25!N6+MVTJUIL25!N6+MVTAOUT25!N6+MVTSEPT25!N6+MVTOCT25!N6+MVTNOV25!N6+MVTDEC25!N6</f>
        <v>0</v>
      </c>
      <c r="O6" s="36">
        <f>MVTJANV25!O6+MVTFEV25!O6+MVTMARS25!O6+MVTAVRIL25!O6+MVTMAI25!O6+MVTJUIN25!O6+MVTJUIL25!O6+MVTAOUT25!O6+MVTSEPT25!O6+MVTOCT25!O6+MVTNOV25!O6+MVTDEC25!O6</f>
        <v>0</v>
      </c>
      <c r="P6" s="36">
        <f>MVTJANV25!P6+MVTFEV25!P6+MVTMARS25!P6+MVTAVRIL25!P6+MVTMAI25!P6+MVTJUIN25!P6+MVTJUIL25!P6+MVTAOUT25!P6+MVTSEPT25!P6+MVTOCT25!P6+MVTNOV25!P6+MVTDEC25!P6</f>
        <v>0</v>
      </c>
      <c r="Q6" s="36">
        <f>MVTJANV25!Q6+MVTFEV25!Q6+MVTMARS25!Q6+MVTAVRIL25!Q6+MVTMAI25!Q6+MVTJUIN25!Q6+MVTJUIL25!Q6+MVTAOUT25!Q6+MVTSEPT25!Q6+MVTOCT25!Q6+MVTNOV25!Q6+MVTDEC25!Q6</f>
        <v>0</v>
      </c>
      <c r="R6" s="36">
        <f>MVTJANV25!R6+MVTFEV25!R6+MVTMARS25!R6+MVTAVRIL25!R6+MVTMAI25!R6+MVTJUIN25!R6+MVTJUIL25!R6+MVTAOUT25!R6+MVTSEPT25!R6+MVTOCT25!R6+MVTNOV25!R6+MVTDEC25!R6</f>
        <v>0</v>
      </c>
      <c r="S6" s="36">
        <f>MVTDEC24!S6+MVTJANV25!S6+MVTFEV25!S6+MVTMARS25!S6+MVTAVRIL25!S6+MVTMAI25!S6+MVTJUIN25!S6+MVTJUIL25!S6+MVTAOUT25!S6+MVTSEPT25!S6+MVTOCT25!S6+MVTNOV25!S6+MVTDEC25!S6</f>
        <v>0</v>
      </c>
      <c r="T6" s="36">
        <f>MVTDEC24!T6+MVTJANV25!T6+MVTFEV25!T6+MVTMARS25!T6+MVTAVRIL25!T6+MVTMAI25!T6+MVTJUIN25!T6+MVTJUIL25!T6+MVTAOUT25!T6+MVTSEPT25!T6+MVTOCT25!T6+MVTNOV25!T6</f>
        <v>0</v>
      </c>
      <c r="U6" s="36">
        <f>MVTJANV25!U6+MVTFEV25!U6+MVTMARS25!U6+MVTAVRIL25!U6+MVTMAI25!U6+MVTJUIN25!U6+MVTJUIL25!U6+MVTAOUT25!U6+MVTSEPT25!U6+MVTOCT25!U6+MVTNOV25!U6</f>
        <v>0</v>
      </c>
      <c r="V6" s="36">
        <f>MVTJANV25!V6+MVTFEV25!V6+MVTMARS25!V6+MVTAVRIL25!V6+MVTMAI25!V6+MVTJUIN25!V6+MVTJUIL25!V6+MVTAOUT25!V6+MVTSEPT25!V6+MVTOCT25!V6+MVTNOV25!V6+MVTDEC25!V6</f>
        <v>0</v>
      </c>
      <c r="W6" s="36">
        <f>S6-V6</f>
        <v>0</v>
      </c>
      <c r="X6" s="36"/>
      <c r="Y6" s="36">
        <f>MVTJANV25!Y6+MVTFEV25!Y6+MVTMARS25!Y6+MVTAVRIL25!Y6+MVTMAI25!Y6+MVTJUIN25!Y6+MVTJUIL25!Y6+MVTAOUT25!Y6+MVTSEPT25!Y6+MVTOCT25!Y6+MVTNOV25!Y6+MVTDEC25!Y6</f>
        <v>0</v>
      </c>
      <c r="Z6" s="36">
        <f>MVTJANV25!Z6+MVTFEV25!Z6+MVTMARS25!Z6+MVTAVRIL25!Z6+MVTMAI25!Z6+MVTJUIN25!Z6+MVTJUIL25!Z6+MVTAOUT25!Z6+MVTSEPT25!Z6+MVTOCT25!Z6+MVTNOV25!Z6+MVTDEC25!Z6</f>
        <v>0</v>
      </c>
      <c r="AA6" s="36">
        <f>MVTJANV25!AA6+MVTFEV25!AA6+MVTMARS25!AA6+MVTAVRIL25!AA6+MVTMAI25!AA6+MVTJUIN25!AA6+MVTJUIL25!AA6+MVTAOUT25!AA6+MVTSEPT25!AA6+MVTOCT25!AA6+MVTNOV25!AA6+MVTDEC25!AA6</f>
        <v>0</v>
      </c>
      <c r="AB6" s="36">
        <f>MVTJANV25!AB6+MVTFEV25!AB6+MVTMARS25!AB6+MVTAVRIL25!AB6+MVTMAI25!AB6+MVTJUIN25!AB6+MVTJUIL25!AB6+MVTAOUT25!AB6+MVTSEPT25!AB6+MVTOCT25!AB6+MVTNOV25!AB6+MVTDEC25!AB6</f>
        <v>0</v>
      </c>
      <c r="AC6" s="36">
        <f>MVTJANV25!AC6+MVTFEV25!AC6+MVTMARS25!AC6+MVTAVRIL25!AC6+MVTMAI25!AC6+MVTJUIN25!AC6+MVTJUIL25!AC6+MVTAOUT25!AC6+MVTSEPT25!AC6+MVTOCT25!AC6+MVTNOV25!AC6+MVTDEC25!AC6</f>
        <v>0</v>
      </c>
      <c r="AD6" s="36">
        <f>MVTJANV25!AD6+MVTFEV25!AD6+MVTMARS25!AD6+MVTAVRIL25!AD6+MVTMAI25!AD6+MVTJUIN25!AD6+MVTJUIL25!AD6+MVTAOUT25!AD6+MVTSEPT25!AD6+MVTOCT25!AD6+MVTNOV25!AD6+MVTDEC25!AD6</f>
        <v>0</v>
      </c>
      <c r="AE6" s="36">
        <f>MVTJANV25!AE6+MVTFEV25!AE6+MVTMARS25!AE6+MVTAVRIL25!AE6+MVTMAI25!AE6+MVTJUIN25!AE6+MVTJUIL25!AE6+MVTAOUT25!AE6+MVTSEPT25!AE6+MVTOCT25!AE6+MVTNOV25!AE6+MVTDEC25!AE6</f>
        <v>0</v>
      </c>
      <c r="AF6" s="36">
        <f>MVTJANV25!AF6+MVTFEV25!AF6+MVTMARS25!AF6+MVTAVRIL25!AF6+MVTMAI25!AF6+MVTJUIN25!AF6+MVTJUIL25!AF6+MVTAOUT25!AF6+MVTSEPT25!AF6+MVTOCT25!AF6+MVTNOV25!AF6+MVTDEC25!AF6</f>
        <v>266000</v>
      </c>
      <c r="AG6" s="36">
        <f>MVTJANV25!AG6+MVTFEV25!AG6+MVTMARS25!AG6+MVTAVRIL25!AG6+MVTMAI25!AG6+MVTJUIN25!AG6+MVTJUIL25!AG6+MVTAOUT25!AG6+MVTSEPT25!AG6+MVTOCT25!AG6+MVTNOV25!AG6+MVTDEC25!AG6</f>
        <v>200000</v>
      </c>
      <c r="AH6" s="36">
        <f>MVTJANV25!AH6+MVTFEV25!AH6+MVTMARS25!AH6+MVTAVRIL25!AH6+MVTMAI25!AH6+MVTJUIN25!AH6+MVTJUIL25!AH6+MVTAOUT25!AH6+MVTSEPT25!AH6+MVTOCT25!AH6+MVTNOV25!AH6+MVTDEC25!AH6</f>
        <v>1060000</v>
      </c>
      <c r="AI6" s="36">
        <f>MVTJANV25!AI6+MVTFEV25!AI6+MVTMARS25!AI6+MVTAVRIL25!AI6+MVTMAI25!AI6+MVTJUIN25!AI6+MVTJUIL25!AI6+MVTAOUT25!AI6+MVTSEPT25!AI6+MVTOCT25!AI6+MVTNOV25!AI6+MVTDEC25!AI6</f>
        <v>70000</v>
      </c>
      <c r="AJ6" s="36">
        <f>MVTJANV25!AJ6+MVTFEV25!AJ6+MVTMARS25!AJ6+MVTAVRIL25!AJ6+MVTMAI25!AJ6+MVTJUIN25!AJ6+MVTJUIL25!AJ6+MVTAOUT25!AJ6+MVTSEPT25!AJ6+MVTOCT25!AJ6+MVTNOV25!AJ6+MVTDEC25!AJ6</f>
        <v>0</v>
      </c>
      <c r="AK6" s="36">
        <f>MVTJANV25!AK6+MVTFEV25!AK6+MVTMARS25!AK6+MVTAVRIL25!AK6+MVTMAI25!AK6+MVTJUIN25!AK6+MVTJUIL25!AK6+MVTAOUT25!AK6+MVTSEPT25!AK6+MVTOCT25!AK6+MVTNOV25!AK6+MVTDEC25!AK6</f>
        <v>0</v>
      </c>
      <c r="AL6" s="36">
        <f>MVTJANV25!AL6+MVTFEV25!AL6+MVTMARS25!AL6+MVTAVRIL25!AL6+MVTMAI25!AL6+MVTJUIN25!AL6+MVTJUIL25!AL6+MVTAOUT25!AL6+MVTSEPT25!AL6+MVTOCT25!AL6+MVTNOV25!AL6+MVTDEC25!AL6</f>
        <v>801000</v>
      </c>
    </row>
    <row r="7" spans="1:39" ht="15.5" x14ac:dyDescent="0.35">
      <c r="A7" s="1" t="s">
        <v>17</v>
      </c>
      <c r="B7" s="1" t="str">
        <f>VLOOKUP(A7,[24]LISTADHERENT!A$5:H$60,3,0)</f>
        <v>BAKOP ACHILLE</v>
      </c>
      <c r="C7" s="36">
        <f>+MVTDEC24!C7</f>
        <v>800000</v>
      </c>
      <c r="D7" s="36">
        <f>+MVTDEC24!D7</f>
        <v>18598</v>
      </c>
      <c r="E7" s="36">
        <f>MVTJANV25!E7+MVTFEV25!E7+MVTMARS25!E7+MVTAVRIL25!E7+MVTMAI25!E7+MVTJUIN25!E7+MVTJUIL25!E7+MVTAOUT25!E7+MVTSEPT25!E7+MVTOCT25!E7+MVTNOV25!E7+MVTDEC25!E7</f>
        <v>0</v>
      </c>
      <c r="F7" s="36">
        <f>MVTJANV25!F7+MVTFEV25!F7+MVTMARS25!F7+MVTAVRIL25!F7+MVTMAI25!F7+MVTJUIN25!F7+MVTJUIL25!F7+MVTAOUT25!F7+MVTSEPT25!F7+MVTOCT25!F7+MVTNOV25!F7+MVTDEC25!F7</f>
        <v>11955373.981257843</v>
      </c>
      <c r="G7" s="5">
        <f>MVTJANV25!G7+MVTFEV25!G7+MVTMARS25!G7+MVTAVRIL25!G7+MVTMAI25!G7+MVTJUIN25!G7+MVTJUIL25!G7+MVTAOUT25!G7+MVTSEPT25!G7+MVTOCT25!G7+MVTNOV25!G7+MVTDEC25!G7</f>
        <v>11454079.973512705</v>
      </c>
      <c r="H7" s="36">
        <f>MVTDEC24!H7+MVTJANV25!H7+MVTFEV25!H7+MVTMARS25!H7+MVTAVRIL25!H7+MVTMAI25!H7+MVTJUIN25!H7+MVTJUIL25!H7+MVTAOUT25!H7+MVTSEPT25!H7+MVTOCT25!H7+MVTNOV25!H7</f>
        <v>68937.110692788454</v>
      </c>
      <c r="I7" s="184">
        <f t="shared" ref="I7:I42" si="0">F7+H7</f>
        <v>12024311.091950631</v>
      </c>
      <c r="J7" s="36">
        <f>MVTJANV25!J7+MVTFEV25!J7+MVTMARS25!J7+MVTAVRIL25!J7+MVTMAI25!J7+MVTJUIN25!J7+MVTJUIL25!J7+MVTAOUT25!J7+MVTSEPT25!J7+MVTOCT25!J7+MVTNOV25!J7+MVTDEC25!J7</f>
        <v>0</v>
      </c>
      <c r="K7" s="36">
        <f>MVTJANV25!K7+MVTFEV25!K7+MVTMARS25!K7+MVTAVRIL25!K7+MVTMAI25!K7+MVTJUIN25!K7+MVTJUIL25!K7+MVTAOUT25!K7+MVTSEPT25!K7+MVTOCT25!K7+MVTNOV25!K7+MVTDEC25!K7</f>
        <v>295000</v>
      </c>
      <c r="L7" s="36">
        <f>MVTJANV25!L7+MVTFEV25!L7+MVTMARS25!L7+MVTAVRIL25!L7+MVTMAI25!L7+MVTJUIN25!L7+MVTJUIL25!L7+MVTAOUT25!L7+MVTSEPT25!L7+MVTOCT25!L7+MVTNOV25!L7+MVTDEC25!L7</f>
        <v>223000</v>
      </c>
      <c r="M7" s="36">
        <f>MVTJANV25!M7+MVTFEV25!M7+MVTMARS25!M7+MVTAVRIL25!M7+MVTMAI25!M7+MVTJUIN25!M7+MVTJUIL25!M7+MVTAOUT25!M7+MVTSEPT25!M7+MVTOCT25!M7+MVTNOV25!M7+MVTDEC25!M7</f>
        <v>12000</v>
      </c>
      <c r="N7" s="36">
        <f>MVTJANV25!N7+MVTFEV25!N7+MVTMARS25!N7+MVTAVRIL25!N7+MVTMAI25!N7+MVTJUIN25!N7+MVTJUIL25!N7+MVTAOUT25!N7+MVTSEPT25!N7+MVTOCT25!N7+MVTNOV25!N7+MVTDEC25!N7</f>
        <v>12000</v>
      </c>
      <c r="O7" s="36">
        <f>MVTJANV25!O7+MVTFEV25!O7+MVTMARS25!O7+MVTAVRIL25!O7+MVTMAI25!O7+MVTJUIN25!O7+MVTJUIL25!O7+MVTAOUT25!O7+MVTSEPT25!O7+MVTOCT25!O7+MVTNOV25!O7+MVTDEC25!O7</f>
        <v>48000</v>
      </c>
      <c r="P7" s="36">
        <f>MVTJANV25!P7+MVTFEV25!P7+MVTMARS25!P7+MVTAVRIL25!P7+MVTMAI25!P7+MVTJUIN25!P7+MVTJUIL25!P7+MVTAOUT25!P7+MVTSEPT25!P7+MVTOCT25!P7+MVTNOV25!P7+MVTDEC25!P7</f>
        <v>5000</v>
      </c>
      <c r="Q7" s="36">
        <f>MVTJANV25!Q7+MVTFEV25!Q7+MVTMARS25!Q7+MVTAVRIL25!Q7+MVTMAI25!Q7+MVTJUIN25!Q7+MVTJUIL25!Q7+MVTAOUT25!Q7+MVTSEPT25!Q7+MVTOCT25!Q7+MVTNOV25!Q7+MVTDEC25!Q7</f>
        <v>0</v>
      </c>
      <c r="R7" s="36">
        <f>MVTJANV25!R7+MVTFEV25!R7+MVTMARS25!R7+MVTAVRIL25!R7+MVTMAI25!R7+MVTJUIN25!R7+MVTJUIL25!R7+MVTAOUT25!R7+MVTSEPT25!R7+MVTOCT25!R7+MVTNOV25!R7+MVTDEC25!R7</f>
        <v>0</v>
      </c>
      <c r="S7" s="36">
        <f>MVTDEC24!S7+MVTJANV25!S7+MVTFEV25!S7+MVTMARS25!S7+MVTAVRIL25!S7+MVTMAI25!S7+MVTJUIN25!S7+MVTJUIL25!S7+MVTAOUT25!S7+MVTSEPT25!S7+MVTOCT25!S7+MVTNOV25!S7</f>
        <v>1000000</v>
      </c>
      <c r="T7" s="36">
        <f>MVTDEC24!T7+MVTJANV25!T7+MVTFEV25!T7+MVTMARS25!T7+MVTAVRIL25!T7+MVTMAI25!T7+MVTJUIN25!T7+MVTJUIL25!T7+MVTAOUT25!T7+MVTSEPT25!T7+MVTOCT25!T7+MVTNOV25!T7</f>
        <v>110000</v>
      </c>
      <c r="U7" s="36">
        <f>MVTJANV25!U7+MVTFEV25!U7+MVTMARS25!U7+MVTAVRIL25!U7+MVTMAI25!U7+MVTJUIN25!U7+MVTJUIL25!U7+MVTAOUT25!U7+MVTSEPT25!U7+MVTOCT25!U7+MVTNOV25!U7+MVTDEC25!U7</f>
        <v>0</v>
      </c>
      <c r="V7" s="36">
        <f>MVTJANV25!V7+MVTFEV25!V7+MVTMARS25!V7+MVTAVRIL25!V7+MVTMAI25!V7+MVTJUIN25!V7+MVTJUIL25!V7+MVTAOUT25!V7+MVTSEPT25!V7+MVTOCT25!V7+MVTNOV25!V7+MVTDEC25!V7</f>
        <v>1000000</v>
      </c>
      <c r="W7" s="36">
        <f t="shared" ref="W7:W42" si="1">S7-V7</f>
        <v>0</v>
      </c>
      <c r="X7" s="186">
        <v>46010</v>
      </c>
      <c r="Y7" s="36">
        <f>MVTJANV25!Y7+MVTFEV25!Y7+MVTMARS25!Y7+MVTAVRIL25!Y7+MVTMAI25!Y7+MVTJUIN25!Y7+MVTJUIL25!Y7+MVTAOUT25!Y7+MVTSEPT25!Y7+MVTOCT25!Y7+MVTNOV25!Y7+MVTDEC25!Y7</f>
        <v>0</v>
      </c>
      <c r="Z7" s="36">
        <f>MVTJANV25!Z7+MVTFEV25!Z7+MVTMARS25!Z7+MVTAVRIL25!Z7+MVTMAI25!Z7+MVTJUIN25!Z7+MVTJUIL25!Z7+MVTAOUT25!Z7+MVTSEPT25!Z7+MVTOCT25!Z7+MVTNOV25!Z7+MVTDEC25!Z7</f>
        <v>0</v>
      </c>
      <c r="AA7" s="36">
        <f>MVTJANV25!AA7+MVTFEV25!AA7+MVTMARS25!AA7+MVTAVRIL25!AA7+MVTMAI25!AA7+MVTJUIN25!AA7+MVTJUIL25!AA7+MVTAOUT25!AA7+MVTSEPT25!AA7+MVTOCT25!AA7+MVTNOV25!AA7+MVTDEC25!AA7</f>
        <v>0</v>
      </c>
      <c r="AB7" s="36">
        <f>MVTJANV25!AB7+MVTFEV25!AB7+MVTMARS25!AB7+MVTAVRIL25!AB7+MVTMAI25!AB7+MVTJUIN25!AB7+MVTJUIL25!AB7+MVTAOUT25!AB7+MVTSEPT25!AB7+MVTOCT25!AB7+MVTNOV25!AB7+MVTDEC25!AB7</f>
        <v>0</v>
      </c>
      <c r="AC7" s="36">
        <f>MVTJANV25!AC7+MVTFEV25!AC7+MVTMARS25!AC7+MVTAVRIL25!AC7+MVTMAI25!AC7+MVTJUIN25!AC7+MVTJUIL25!AC7+MVTAOUT25!AC7+MVTSEPT25!AC7+MVTOCT25!AC7+MVTNOV25!AC7+MVTDEC25!AC7</f>
        <v>0</v>
      </c>
      <c r="AD7" s="36">
        <f>MVTJANV25!AD7+MVTFEV25!AD7+MVTMARS25!AD7+MVTAVRIL25!AD7+MVTMAI25!AD7+MVTJUIN25!AD7+MVTJUIL25!AD7+MVTAOUT25!AD7+MVTSEPT25!AD7+MVTOCT25!AD7+MVTNOV25!AD7+MVTDEC25!AD7</f>
        <v>0</v>
      </c>
      <c r="AE7" s="36">
        <f>MVTJANV25!AE7+MVTFEV25!AE7+MVTMARS25!AE7+MVTAVRIL25!AE7+MVTMAI25!AE7+MVTJUIN25!AE7+MVTJUIL25!AE7+MVTAOUT25!AE7+MVTSEPT25!AE7+MVTOCT25!AE7+MVTNOV25!AE7+MVTDEC25!AE7</f>
        <v>0</v>
      </c>
      <c r="AF7" s="36">
        <f>MVTJANV25!AF7+MVTFEV25!AF7+MVTMARS25!AF7+MVTAVRIL25!AF7+MVTMAI25!AF7+MVTJUIN25!AF7+MVTJUIL25!AF7+MVTAOUT25!AF7+MVTSEPT25!AF7+MVTOCT25!AF7+MVTNOV25!AF7+MVTDEC25!AF7</f>
        <v>0</v>
      </c>
      <c r="AG7" s="36">
        <f>MVTJANV25!AG7+MVTFEV25!AG7+MVTMARS25!AG7+MVTAVRIL25!AG7+MVTMAI25!AG7+MVTJUIN25!AG7+MVTJUIL25!AG7+MVTAOUT25!AG7+MVTSEPT25!AG7+MVTOCT25!AG7+MVTNOV25!AG7+MVTDEC25!AG7</f>
        <v>0</v>
      </c>
      <c r="AH7" s="36">
        <f>MVTJANV25!AH7+MVTFEV25!AH7+MVTMARS25!AH7+MVTAVRIL25!AH7+MVTMAI25!AH7+MVTJUIN25!AH7+MVTJUIL25!AH7+MVTAOUT25!AH7+MVTSEPT25!AH7+MVTOCT25!AH7+MVTNOV25!AH7+MVTDEC25!AH7</f>
        <v>0</v>
      </c>
      <c r="AI7" s="36">
        <f>MVTJANV25!AI7+MVTFEV25!AI7+MVTMARS25!AI7+MVTAVRIL25!AI7+MVTMAI25!AI7+MVTJUIN25!AI7+MVTJUIL25!AI7+MVTAOUT25!AI7+MVTSEPT25!AI7+MVTOCT25!AI7+MVTNOV25!AI7+MVTDEC25!AI7</f>
        <v>0</v>
      </c>
      <c r="AJ7" s="36">
        <f>MVTJANV25!AJ7+MVTFEV25!AJ7+MVTMARS25!AJ7+MVTAVRIL25!AJ7+MVTMAI25!AJ7+MVTJUIN25!AJ7+MVTJUIL25!AJ7+MVTAOUT25!AJ7+MVTSEPT25!AJ7+MVTOCT25!AJ7+MVTNOV25!AJ7+MVTDEC25!AJ7</f>
        <v>0</v>
      </c>
      <c r="AK7" s="36">
        <f>MVTJANV25!AK7+MVTFEV25!AK7+MVTMARS25!AK7+MVTAVRIL25!AK7+MVTMAI25!AK7+MVTJUIN25!AK7+MVTJUIL25!AK7+MVTAOUT25!AK7+MVTSEPT25!AK7+MVTOCT25!AK7+MVTNOV25!AK7+MVTDEC25!AK7</f>
        <v>0</v>
      </c>
    </row>
    <row r="8" spans="1:39" ht="15.5" x14ac:dyDescent="0.35">
      <c r="A8" s="1" t="s">
        <v>19</v>
      </c>
      <c r="B8" s="1" t="str">
        <f>VLOOKUP(A8,[24]LISTADHERENT!A$5:H$60,3,0)</f>
        <v>BOUTCHOUANG WILLIAM</v>
      </c>
      <c r="C8" s="36">
        <f>+MVTDEC24!C8</f>
        <v>800000</v>
      </c>
      <c r="D8" s="36">
        <f>+MVTDEC24!D8</f>
        <v>132669</v>
      </c>
      <c r="E8" s="36">
        <f>MVTJANV25!E8+MVTFEV25!E8+MVTMARS25!E8+MVTAVRIL25!E8+MVTMAI25!E8+MVTJUIN25!E8+MVTJUIL25!E8+MVTAOUT25!E8+MVTSEPT25!E8+MVTOCT25!E8+MVTNOV25!E8+MVTDEC25!E8</f>
        <v>0</v>
      </c>
      <c r="F8" s="36">
        <f>MVTJANV25!F8+MVTFEV25!F8+MVTMARS25!F8+MVTAVRIL25!F8+MVTMAI25!F8+MVTJUIN25!F8+MVTJUIL25!F8+MVTAOUT25!F8+MVTSEPT25!F8+MVTOCT25!F8+MVTNOV25!F8+MVTDEC25!F8</f>
        <v>13480306.743941305</v>
      </c>
      <c r="G8" s="5">
        <f>MVTJANV25!G8+MVTFEV25!G8+MVTMARS25!G8+MVTAVRIL25!G8+MVTMAI25!G8+MVTJUIN25!G8+MVTJUIL25!G8+MVTAOUT25!G8+MVTSEPT25!G8+MVTOCT25!G8+MVTNOV25!G8+MVTDEC25!G8</f>
        <v>13031586.27791951</v>
      </c>
      <c r="H8" s="36">
        <f>MVTDEC24!H8+MVTJANV25!H8+MVTFEV25!H8+MVTMARS25!H8+MVTAVRIL25!H8+MVTMAI25!H8+MVTJUIN25!H8+MVTJUIL25!H8+MVTAOUT25!H8+MVTSEPT25!H8+MVTOCT25!H8+MVTNOV25!H8</f>
        <v>78276.309347178671</v>
      </c>
      <c r="I8" s="184">
        <f t="shared" si="0"/>
        <v>13558583.053288484</v>
      </c>
      <c r="J8" s="36">
        <f>MVTJANV25!J8+MVTFEV25!J8+MVTMARS25!J8+MVTAVRIL25!J8+MVTMAI25!J8+MVTJUIN25!J8+MVTJUIL25!J8+MVTAOUT25!J8+MVTSEPT25!J8+MVTOCT25!J8+MVTNOV25!J8+MVTDEC25!J8</f>
        <v>0</v>
      </c>
      <c r="K8" s="36">
        <f>MVTJANV25!K8+MVTFEV25!K8+MVTMARS25!K8+MVTAVRIL25!K8+MVTMAI25!K8+MVTJUIN25!K8+MVTJUIL25!K8+MVTAOUT25!K8+MVTSEPT25!K8+MVTOCT25!K8+MVTNOV25!K8+MVTDEC25!K8</f>
        <v>300000</v>
      </c>
      <c r="L8" s="36">
        <f>MVTJANV25!L8+MVTFEV25!L8+MVTMARS25!L8+MVTAVRIL25!L8+MVTMAI25!L8+MVTJUIN25!L8+MVTJUIL25!L8+MVTAOUT25!L8+MVTSEPT25!L8+MVTOCT25!L8+MVTNOV25!L8+MVTDEC25!L8</f>
        <v>228000</v>
      </c>
      <c r="M8" s="36">
        <f>MVTJANV25!M8+MVTFEV25!M8+MVTMARS25!M8+MVTAVRIL25!M8+MVTMAI25!M8+MVTJUIN25!M8+MVTJUIL25!M8+MVTAOUT25!M8+MVTSEPT25!M8+MVTOCT25!M8+MVTNOV25!M8+MVTDEC25!M8</f>
        <v>12000</v>
      </c>
      <c r="N8" s="36">
        <f>MVTJANV25!N8+MVTFEV25!N8+MVTMARS25!N8+MVTAVRIL25!N8+MVTMAI25!N8+MVTJUIN25!N8+MVTJUIL25!N8+MVTAOUT25!N8+MVTSEPT25!N8+MVTOCT25!N8+MVTNOV25!N8+MVTDEC25!N8</f>
        <v>12000</v>
      </c>
      <c r="O8" s="36">
        <f>MVTJANV25!O8+MVTFEV25!O8+MVTMARS25!O8+MVTAVRIL25!O8+MVTMAI25!O8+MVTJUIN25!O8+MVTJUIL25!O8+MVTAOUT25!O8+MVTSEPT25!O8+MVTOCT25!O8+MVTNOV25!O8+MVTDEC25!O8</f>
        <v>48000</v>
      </c>
      <c r="P8" s="36">
        <f>MVTJANV25!P8+MVTFEV25!P8+MVTMARS25!P8+MVTAVRIL25!P8+MVTMAI25!P8+MVTJUIN25!P8+MVTJUIL25!P8+MVTAOUT25!P8+MVTSEPT25!P8+MVTOCT25!P8+MVTNOV25!P8+MVTDEC25!P8</f>
        <v>0</v>
      </c>
      <c r="Q8" s="36">
        <f>MVTJANV25!Q8+MVTFEV25!Q8+MVTMARS25!Q8+MVTAVRIL25!Q8+MVTMAI25!Q8+MVTJUIN25!Q8+MVTJUIL25!Q8+MVTAOUT25!Q8+MVTSEPT25!Q8+MVTOCT25!Q8+MVTNOV25!Q8+MVTDEC25!Q8</f>
        <v>0</v>
      </c>
      <c r="R8" s="36">
        <f>MVTJANV25!R8+MVTFEV25!R8+MVTMARS25!R8+MVTAVRIL25!R8+MVTMAI25!R8+MVTJUIN25!R8+MVTJUIL25!R8+MVTAOUT25!R8+MVTSEPT25!R8+MVTOCT25!R8+MVTNOV25!R8+MVTDEC25!R8</f>
        <v>0</v>
      </c>
      <c r="S8" s="36">
        <f>MVTDEC24!S8+MVTJANV25!S8+MVTFEV25!S8+MVTMARS25!S8+MVTAVRIL25!S8+MVTMAI25!S8+MVTJUIN25!S8+MVTJUIL25!S8+MVTAOUT25!S8+MVTSEPT25!S8+MVTOCT25!S8+MVTNOV25!S8</f>
        <v>2000000</v>
      </c>
      <c r="T8" s="36">
        <f>MVTDEC24!T8+MVTJANV25!T8+MVTFEV25!T8+MVTMARS25!T8+MVTAVRIL25!T8+MVTMAI25!T8+MVTJUIN25!T8+MVTJUIL25!T8+MVTAOUT25!T8+MVTSEPT25!T8+MVTOCT25!T8+MVTNOV25!T8</f>
        <v>60000</v>
      </c>
      <c r="U8" s="36">
        <f>MVTJANV25!U8+MVTFEV25!U8+MVTMARS25!U8+MVTAVRIL25!U8+MVTMAI25!U8+MVTJUIN25!U8+MVTJUIL25!U8+MVTAOUT25!U8+MVTSEPT25!U8+MVTOCT25!U8+MVTNOV25!U8+MVTDEC25!U8</f>
        <v>0</v>
      </c>
      <c r="V8" s="36">
        <f>MVTJANV25!V8+MVTFEV25!V8+MVTMARS25!V8+MVTAVRIL25!V8+MVTMAI25!V8+MVTJUIN25!V8+MVTJUIL25!V8+MVTAOUT25!V8+MVTSEPT25!V8+MVTOCT25!V8+MVTNOV25!V8+MVTDEC25!V8</f>
        <v>2000000</v>
      </c>
      <c r="W8" s="36">
        <f t="shared" si="1"/>
        <v>0</v>
      </c>
      <c r="X8" s="186">
        <v>45827</v>
      </c>
      <c r="Y8" s="36">
        <f>MVTJANV25!Y8+MVTFEV25!Y8+MVTMARS25!Y8+MVTAVRIL25!Y8+MVTMAI25!Y8+MVTJUIN25!Y8+MVTJUIL25!Y8+MVTAOUT25!Y8+MVTSEPT25!Y8+MVTOCT25!Y8+MVTNOV25!Y8+MVTDEC25!Y8</f>
        <v>0</v>
      </c>
      <c r="Z8" s="36">
        <f>MVTJANV25!Z8+MVTFEV25!Z8+MVTMARS25!Z8+MVTAVRIL25!Z8+MVTMAI25!Z8+MVTJUIN25!Z8+MVTJUIL25!Z8+MVTAOUT25!Z8+MVTSEPT25!Z8+MVTOCT25!Z8+MVTNOV25!Z8+MVTDEC25!Z8</f>
        <v>0</v>
      </c>
      <c r="AA8" s="36">
        <f>MVTJANV25!AA8+MVTFEV25!AA8+MVTMARS25!AA8+MVTAVRIL25!AA8+MVTMAI25!AA8+MVTJUIN25!AA8+MVTJUIL25!AA8+MVTAOUT25!AA8+MVTSEPT25!AA8+MVTOCT25!AA8+MVTNOV25!AA8+MVTDEC25!AA8</f>
        <v>0</v>
      </c>
      <c r="AB8" s="36">
        <f>MVTJANV25!AB8+MVTFEV25!AB8+MVTMARS25!AB8+MVTAVRIL25!AB8+MVTMAI25!AB8+MVTJUIN25!AB8+MVTJUIL25!AB8+MVTAOUT25!AB8+MVTSEPT25!AB8+MVTOCT25!AB8+MVTNOV25!AB8+MVTDEC25!AB8</f>
        <v>0</v>
      </c>
      <c r="AC8" s="36">
        <f>MVTJANV25!AC8+MVTFEV25!AC8+MVTMARS25!AC8+MVTAVRIL25!AC8+MVTMAI25!AC8+MVTJUIN25!AC8+MVTJUIL25!AC8+MVTAOUT25!AC8+MVTSEPT25!AC8+MVTOCT25!AC8+MVTNOV25!AC8+MVTDEC25!AC8</f>
        <v>0</v>
      </c>
      <c r="AD8" s="36">
        <f>MVTJANV25!AD8+MVTFEV25!AD8+MVTMARS25!AD8+MVTAVRIL25!AD8+MVTMAI25!AD8+MVTJUIN25!AD8+MVTJUIL25!AD8+MVTAOUT25!AD8+MVTSEPT25!AD8+MVTOCT25!AD8+MVTNOV25!AD8+MVTDEC25!AD8</f>
        <v>0</v>
      </c>
      <c r="AE8" s="36">
        <f>MVTJANV25!AE8+MVTFEV25!AE8+MVTMARS25!AE8+MVTAVRIL25!AE8+MVTMAI25!AE8+MVTJUIN25!AE8+MVTJUIL25!AE8+MVTAOUT25!AE8+MVTSEPT25!AE8+MVTOCT25!AE8+MVTNOV25!AE8+MVTDEC25!AE8</f>
        <v>0</v>
      </c>
      <c r="AF8" s="36">
        <f>MVTJANV25!AF8+MVTFEV25!AF8+MVTMARS25!AF8+MVTAVRIL25!AF8+MVTMAI25!AF8+MVTJUIN25!AF8+MVTJUIL25!AF8+MVTAOUT25!AF8+MVTSEPT25!AF8+MVTOCT25!AF8+MVTNOV25!AF8+MVTDEC25!AF8</f>
        <v>0</v>
      </c>
      <c r="AG8" s="36">
        <f>MVTJANV25!AG8+MVTFEV25!AG8+MVTMARS25!AG8+MVTAVRIL25!AG8+MVTMAI25!AG8+MVTJUIN25!AG8+MVTJUIL25!AG8+MVTAOUT25!AG8+MVTSEPT25!AG8+MVTOCT25!AG8+MVTNOV25!AG8+MVTDEC25!AG8</f>
        <v>0</v>
      </c>
      <c r="AH8" s="36">
        <f>MVTJANV25!AH8+MVTFEV25!AH8+MVTMARS25!AH8+MVTAVRIL25!AH8+MVTMAI25!AH8+MVTJUIN25!AH8+MVTJUIL25!AH8+MVTAOUT25!AH8+MVTSEPT25!AH8+MVTOCT25!AH8+MVTNOV25!AH8+MVTDEC25!AH8</f>
        <v>0</v>
      </c>
      <c r="AI8" s="36">
        <f>MVTJANV25!AI8+MVTFEV25!AI8+MVTMARS25!AI8+MVTAVRIL25!AI8+MVTMAI25!AI8+MVTJUIN25!AI8+MVTJUIL25!AI8+MVTAOUT25!AI8+MVTSEPT25!AI8+MVTOCT25!AI8+MVTNOV25!AI8+MVTDEC25!AI8</f>
        <v>100000</v>
      </c>
      <c r="AJ8" s="36">
        <f>MVTJANV25!AJ8+MVTFEV25!AJ8+MVTMARS25!AJ8+MVTAVRIL25!AJ8+MVTMAI25!AJ8+MVTJUIN25!AJ8+MVTJUIL25!AJ8+MVTAOUT25!AJ8+MVTSEPT25!AJ8+MVTOCT25!AJ8+MVTNOV25!AJ8+MVTDEC25!AJ8</f>
        <v>0</v>
      </c>
      <c r="AK8" s="36">
        <f>MVTJANV25!AK8+MVTFEV25!AK8+MVTMARS25!AK8+MVTAVRIL25!AK8+MVTMAI25!AK8+MVTJUIN25!AK8+MVTJUIL25!AK8+MVTAOUT25!AK8+MVTSEPT25!AK8+MVTOCT25!AK8+MVTNOV25!AK8+MVTDEC25!AK8</f>
        <v>0</v>
      </c>
    </row>
    <row r="9" spans="1:39" ht="15.5" x14ac:dyDescent="0.35">
      <c r="A9" s="1" t="s">
        <v>23</v>
      </c>
      <c r="B9" s="1" t="str">
        <f>VLOOKUP(A9,[24]LISTADHERENT!A$5:H$60,3,0)</f>
        <v xml:space="preserve">DJOMO JEAN PAUL </v>
      </c>
      <c r="C9" s="36">
        <f>+MVTDEC24!C9</f>
        <v>800000</v>
      </c>
      <c r="D9" s="36">
        <f>+MVTDEC24!D9</f>
        <v>6643</v>
      </c>
      <c r="E9" s="36">
        <f>MVTJANV25!E9+MVTFEV25!E9+MVTMARS25!E9+MVTAVRIL25!E9+MVTMAI25!E9+MVTJUIN25!E9+MVTJUIL25!E9+MVTAOUT25!E9+MVTSEPT25!E9+MVTOCT25!E9+MVTNOV25!E9+MVTDEC25!E9</f>
        <v>0</v>
      </c>
      <c r="F9" s="36">
        <f>MVTJANV25!F9+MVTFEV25!F9+MVTMARS25!F9+MVTAVRIL25!F9+MVTMAI25!F9+MVTJUIN25!F9+MVTJUIL25!F9+MVTAOUT25!F9+MVTSEPT25!F9+MVTOCT25!F9+MVTNOV25!F9+MVTDEC25!F9</f>
        <v>11860971.500579983</v>
      </c>
      <c r="G9" s="5">
        <f>MVTJANV25!G9+MVTFEV25!G9+MVTMARS25!G9+MVTAVRIL25!G9+MVTMAI25!G9+MVTJUIN25!G9+MVTJUIL25!G9+MVTAOUT25!G9+MVTSEPT25!G9+MVTOCT25!G9+MVTNOV25!G9+MVTDEC25!G9</f>
        <v>11415887.815722859</v>
      </c>
      <c r="H9" s="36">
        <f>MVTDEC24!H9+MVTJANV25!H9+MVTFEV25!H9+MVTMARS25!H9+MVTAVRIL25!H9+MVTMAI25!H9+MVTJUIN25!H9+MVTJUIL25!H9+MVTAOUT25!H9+MVTSEPT25!H9+MVTOCT25!H9+MVTNOV25!H9</f>
        <v>68010.034901820793</v>
      </c>
      <c r="I9" s="184">
        <f t="shared" si="0"/>
        <v>11928981.535481803</v>
      </c>
      <c r="J9" s="36">
        <f>MVTJANV25!J9+MVTFEV25!J9+MVTMARS25!J9+MVTAVRIL25!J9+MVTMAI25!J9+MVTJUIN25!J9+MVTJUIL25!J9+MVTAOUT25!J9+MVTSEPT25!J9+MVTOCT25!J9+MVTNOV25!J9+MVTDEC25!J9</f>
        <v>5000</v>
      </c>
      <c r="K9" s="36">
        <f>MVTJANV25!K9+MVTFEV25!K9+MVTMARS25!K9+MVTAVRIL25!K9+MVTMAI25!K9+MVTJUIN25!K9+MVTJUIL25!K9+MVTAOUT25!K9+MVTSEPT25!K9+MVTOCT25!K9+MVTNOV25!K9+MVTDEC25!K9</f>
        <v>300000</v>
      </c>
      <c r="L9" s="36">
        <f>MVTJANV25!L9+MVTFEV25!L9+MVTMARS25!L9+MVTAVRIL25!L9+MVTMAI25!L9+MVTJUIN25!L9+MVTJUIL25!L9+MVTAOUT25!L9+MVTSEPT25!L9+MVTOCT25!L9+MVTNOV25!L9+MVTDEC25!L9</f>
        <v>228000</v>
      </c>
      <c r="M9" s="36">
        <f>MVTJANV25!M9+MVTFEV25!M9+MVTMARS25!M9+MVTAVRIL25!M9+MVTMAI25!M9+MVTJUIN25!M9+MVTJUIL25!M9+MVTAOUT25!M9+MVTSEPT25!M9+MVTOCT25!M9+MVTNOV25!M9+MVTDEC25!M9</f>
        <v>12000</v>
      </c>
      <c r="N9" s="36">
        <f>MVTJANV25!N9+MVTFEV25!N9+MVTMARS25!N9+MVTAVRIL25!N9+MVTMAI25!N9+MVTJUIN25!N9+MVTJUIL25!N9+MVTAOUT25!N9+MVTSEPT25!N9+MVTOCT25!N9+MVTNOV25!N9+MVTDEC25!N9</f>
        <v>12000</v>
      </c>
      <c r="O9" s="36">
        <f>MVTJANV25!O9+MVTFEV25!O9+MVTMARS25!O9+MVTAVRIL25!O9+MVTMAI25!O9+MVTJUIN25!O9+MVTJUIL25!O9+MVTAOUT25!O9+MVTSEPT25!O9+MVTOCT25!O9+MVTNOV25!O9+MVTDEC25!O9</f>
        <v>48000</v>
      </c>
      <c r="P9" s="36">
        <f>MVTJANV25!P9+MVTFEV25!P9+MVTMARS25!P9+MVTAVRIL25!P9+MVTMAI25!P9+MVTJUIN25!P9+MVTJUIL25!P9+MVTAOUT25!P9+MVTSEPT25!P9+MVTOCT25!P9+MVTNOV25!P9+MVTDEC25!P9</f>
        <v>0</v>
      </c>
      <c r="Q9" s="36">
        <f>MVTJANV25!Q9+MVTFEV25!Q9+MVTMARS25!Q9+MVTAVRIL25!Q9+MVTMAI25!Q9+MVTJUIN25!Q9+MVTJUIL25!Q9+MVTAOUT25!Q9+MVTSEPT25!Q9+MVTOCT25!Q9+MVTNOV25!Q9+MVTDEC25!Q9</f>
        <v>0</v>
      </c>
      <c r="R9" s="36">
        <f>MVTJANV25!R9+MVTFEV25!R9+MVTMARS25!R9+MVTAVRIL25!R9+MVTMAI25!R9+MVTJUIN25!R9+MVTJUIL25!R9+MVTAOUT25!R9+MVTSEPT25!R9+MVTOCT25!R9+MVTNOV25!R9+MVTDEC25!R9</f>
        <v>0</v>
      </c>
      <c r="S9" s="36">
        <f>MVTDEC24!S9+MVTJANV25!S9+MVTFEV25!S9+MVTMARS25!S9+MVTAVRIL25!S9+MVTMAI25!S9+MVTJUIN25!S9+MVTJUIL25!S9+MVTAOUT25!S9+MVTSEPT25!S9+MVTOCT25!S9+MVTNOV25!S9</f>
        <v>1000000</v>
      </c>
      <c r="T9" s="36">
        <f>MVTDEC24!T9+MVTJANV25!T9+MVTFEV25!T9+MVTMARS25!T9+MVTAVRIL25!T9+MVTMAI25!T9+MVTJUIN25!T9+MVTJUIL25!T9+MVTAOUT25!T9+MVTSEPT25!T9+MVTOCT25!T9+MVTNOV25!T9</f>
        <v>120000</v>
      </c>
      <c r="U9" s="36">
        <f>MVTJANV25!U9+MVTFEV25!U9+MVTMARS25!U9+MVTAVRIL25!U9+MVTMAI25!U9+MVTJUIN25!U9+MVTJUIL25!U9+MVTAOUT25!U9+MVTSEPT25!U9+MVTOCT25!U9+MVTNOV25!U9+MVTDEC25!U9</f>
        <v>0</v>
      </c>
      <c r="V9" s="36">
        <f>MVTJANV25!V9+MVTFEV25!V9+MVTMARS25!V9+MVTAVRIL25!V9+MVTMAI25!V9+MVTJUIN25!V9+MVTJUIL25!V9+MVTAOUT25!V9+MVTSEPT25!V9+MVTOCT25!V9+MVTNOV25!V9+MVTDEC25!V9</f>
        <v>1000000</v>
      </c>
      <c r="W9" s="36">
        <f t="shared" si="1"/>
        <v>0</v>
      </c>
      <c r="X9" s="186">
        <v>46010</v>
      </c>
      <c r="Y9" s="36">
        <f>MVTJANV25!Y9+MVTFEV25!Y9+MVTMARS25!Y9+MVTAVRIL25!Y9+MVTMAI25!Y9+MVTJUIN25!Y9+MVTJUIL25!Y9+MVTAOUT25!Y9+MVTSEPT25!Y9+MVTOCT25!Y9+MVTNOV25!Y9+MVTDEC25!Y9</f>
        <v>0</v>
      </c>
      <c r="Z9" s="36">
        <f>MVTJANV25!Z9+MVTFEV25!Z9+MVTMARS25!Z9+MVTAVRIL25!Z9+MVTMAI25!Z9+MVTJUIN25!Z9+MVTJUIL25!Z9+MVTAOUT25!Z9+MVTSEPT25!Z9+MVTOCT25!Z9+MVTNOV25!Z9+MVTDEC25!Z9</f>
        <v>0</v>
      </c>
      <c r="AA9" s="36">
        <f>MVTJANV25!AA9+MVTFEV25!AA9+MVTMARS25!AA9+MVTAVRIL25!AA9+MVTMAI25!AA9+MVTJUIN25!AA9+MVTJUIL25!AA9+MVTAOUT25!AA9+MVTSEPT25!AA9+MVTOCT25!AA9+MVTNOV25!AA9+MVTDEC25!AA9</f>
        <v>0</v>
      </c>
      <c r="AB9" s="36">
        <f>MVTJANV25!AB9+MVTFEV25!AB9+MVTMARS25!AB9+MVTAVRIL25!AB9+MVTMAI25!AB9+MVTJUIN25!AB9+MVTJUIL25!AB9+MVTAOUT25!AB9+MVTSEPT25!AB9+MVTOCT25!AB9+MVTNOV25!AB9+MVTDEC25!AB9</f>
        <v>0</v>
      </c>
      <c r="AC9" s="36">
        <f>MVTJANV25!AC9+MVTFEV25!AC9+MVTMARS25!AC9+MVTAVRIL25!AC9+MVTMAI25!AC9+MVTJUIN25!AC9+MVTJUIL25!AC9+MVTAOUT25!AC9+MVTSEPT25!AC9+MVTOCT25!AC9+MVTNOV25!AC9+MVTDEC25!AC9</f>
        <v>0</v>
      </c>
      <c r="AD9" s="36">
        <f>MVTJANV25!AD9+MVTFEV25!AD9+MVTMARS25!AD9+MVTAVRIL25!AD9+MVTMAI25!AD9+MVTJUIN25!AD9+MVTJUIL25!AD9+MVTAOUT25!AD9+MVTSEPT25!AD9+MVTOCT25!AD9+MVTNOV25!AD9+MVTDEC25!AD9</f>
        <v>0</v>
      </c>
      <c r="AE9" s="36">
        <f>MVTJANV25!AE9+MVTFEV25!AE9+MVTMARS25!AE9+MVTAVRIL25!AE9+MVTMAI25!AE9+MVTJUIN25!AE9+MVTJUIL25!AE9+MVTAOUT25!AE9+MVTSEPT25!AE9+MVTOCT25!AE9+MVTNOV25!AE9+MVTDEC25!AE9</f>
        <v>0</v>
      </c>
      <c r="AF9" s="36">
        <f>MVTJANV25!AF9+MVTFEV25!AF9+MVTMARS25!AF9+MVTAVRIL25!AF9+MVTMAI25!AF9+MVTJUIN25!AF9+MVTJUIL25!AF9+MVTAOUT25!AF9+MVTSEPT25!AF9+MVTOCT25!AF9+MVTNOV25!AF9+MVTDEC25!AF9</f>
        <v>0</v>
      </c>
      <c r="AG9" s="36">
        <f>MVTJANV25!AG9+MVTFEV25!AG9+MVTMARS25!AG9+MVTAVRIL25!AG9+MVTMAI25!AG9+MVTJUIN25!AG9+MVTJUIL25!AG9+MVTAOUT25!AG9+MVTSEPT25!AG9+MVTOCT25!AG9+MVTNOV25!AG9+MVTDEC25!AG9</f>
        <v>0</v>
      </c>
      <c r="AH9" s="36">
        <f>MVTJANV25!AH9+MVTFEV25!AH9+MVTMARS25!AH9+MVTAVRIL25!AH9+MVTMAI25!AH9+MVTJUIN25!AH9+MVTJUIL25!AH9+MVTAOUT25!AH9+MVTSEPT25!AH9+MVTOCT25!AH9+MVTNOV25!AH9+MVTDEC25!AH9</f>
        <v>0</v>
      </c>
      <c r="AI9" s="36">
        <f>MVTJANV25!AI9+MVTFEV25!AI9+MVTMARS25!AI9+MVTAVRIL25!AI9+MVTMAI25!AI9+MVTJUIN25!AI9+MVTJUIL25!AI9+MVTAOUT25!AI9+MVTSEPT25!AI9+MVTOCT25!AI9+MVTNOV25!AI9+MVTDEC25!AI9</f>
        <v>100000</v>
      </c>
      <c r="AJ9" s="36">
        <f>MVTJANV25!AJ9+MVTFEV25!AJ9+MVTMARS25!AJ9+MVTAVRIL25!AJ9+MVTMAI25!AJ9+MVTJUIN25!AJ9+MVTJUIL25!AJ9+MVTAOUT25!AJ9+MVTSEPT25!AJ9+MVTOCT25!AJ9+MVTNOV25!AJ9+MVTDEC25!AJ9</f>
        <v>0</v>
      </c>
      <c r="AK9" s="36">
        <f>MVTJANV25!AK9+MVTFEV25!AK9+MVTMARS25!AK9+MVTAVRIL25!AK9+MVTMAI25!AK9+MVTJUIN25!AK9+MVTJUIL25!AK9+MVTAOUT25!AK9+MVTSEPT25!AK9+MVTOCT25!AK9+MVTNOV25!AK9+MVTDEC25!AK9</f>
        <v>0</v>
      </c>
    </row>
    <row r="10" spans="1:39" ht="15.5" x14ac:dyDescent="0.35">
      <c r="A10" s="1" t="s">
        <v>154</v>
      </c>
      <c r="B10" s="1" t="str">
        <f>VLOOKUP(A10,[24]LISTADHERENT!A$5:H$60,3,0)</f>
        <v>DJOMOU TCHAPDA</v>
      </c>
      <c r="C10" s="36">
        <f>+MVTDEC24!C10</f>
        <v>800000</v>
      </c>
      <c r="D10" s="36">
        <f>+MVTDEC24!D10</f>
        <v>7246</v>
      </c>
      <c r="E10" s="36">
        <f>MVTJANV25!E10+MVTFEV25!E10+MVTMARS25!E10+MVTAVRIL25!E10+MVTMAI25!E10+MVTJUIN25!E10+MVTJUIL25!E10+MVTAOUT25!E10+MVTSEPT25!E10+MVTOCT25!E10+MVTNOV25!E10+MVTDEC25!E10</f>
        <v>0</v>
      </c>
      <c r="F10" s="36">
        <f>MVTJANV25!F10+MVTFEV25!F10+MVTMARS25!F10+MVTAVRIL25!F10+MVTMAI25!F10+MVTJUIN25!F10+MVTJUIL25!F10+MVTAOUT25!F10+MVTSEPT25!F10+MVTOCT25!F10+MVTNOV25!F10+MVTDEC25!F10</f>
        <v>11959324.787707781</v>
      </c>
      <c r="G10" s="5">
        <f>MVTJANV25!G10+MVTFEV25!G10+MVTMARS25!G10+MVTAVRIL25!G10+MVTMAI25!G10+MVTJUIN25!G10+MVTJUIL25!G10+MVTAOUT25!G10+MVTSEPT25!G10+MVTOCT25!G10+MVTNOV25!G10+MVTDEC25!G10</f>
        <v>11518964.887618596</v>
      </c>
      <c r="H10" s="36">
        <f>MVTDEC24!H10+MVTJANV25!H10+MVTFEV25!H10+MVTMARS25!H10+MVTAVRIL25!H10+MVTMAI25!H10+MVTJUIN25!H10+MVTJUIL25!H10+MVTAOUT25!H10+MVTSEPT25!H10+MVTOCT25!H10+MVTNOV25!H10</f>
        <v>68278.202945778467</v>
      </c>
      <c r="I10" s="184">
        <f t="shared" si="0"/>
        <v>12027602.99065356</v>
      </c>
      <c r="J10" s="36">
        <f>MVTJANV25!J10+MVTFEV25!J10+MVTMARS25!J10+MVTAVRIL25!J10+MVTMAI25!J10+MVTJUIN25!J10+MVTJUIL25!J10+MVTAOUT25!J10+MVTSEPT25!J10+MVTOCT25!J10+MVTNOV25!J10+MVTDEC25!J10</f>
        <v>0</v>
      </c>
      <c r="K10" s="36">
        <f>MVTJANV25!K10+MVTFEV25!K10+MVTMARS25!K10+MVTAVRIL25!K10+MVTMAI25!K10+MVTJUIN25!K10+MVTJUIL25!K10+MVTAOUT25!K10+MVTSEPT25!K10+MVTOCT25!K10+MVTNOV25!K10+MVTDEC25!K10</f>
        <v>307500</v>
      </c>
      <c r="L10" s="36">
        <f>MVTJANV25!L10+MVTFEV25!L10+MVTMARS25!L10+MVTAVRIL25!L10+MVTMAI25!L10+MVTJUIN25!L10+MVTJUIL25!L10+MVTAOUT25!L10+MVTSEPT25!L10+MVTOCT25!L10+MVTNOV25!L10+MVTDEC25!L10</f>
        <v>235500</v>
      </c>
      <c r="M10" s="36">
        <f>MVTJANV25!M10+MVTFEV25!M10+MVTMARS25!M10+MVTAVRIL25!M10+MVTMAI25!M10+MVTJUIN25!M10+MVTJUIL25!M10+MVTAOUT25!M10+MVTSEPT25!M10+MVTOCT25!M10+MVTNOV25!M10+MVTDEC25!M10</f>
        <v>12000</v>
      </c>
      <c r="N10" s="36">
        <f>MVTJANV25!N10+MVTFEV25!N10+MVTMARS25!N10+MVTAVRIL25!N10+MVTMAI25!N10+MVTJUIN25!N10+MVTJUIL25!N10+MVTAOUT25!N10+MVTSEPT25!N10+MVTOCT25!N10+MVTNOV25!N10+MVTDEC25!N10</f>
        <v>12000</v>
      </c>
      <c r="O10" s="36">
        <f>MVTJANV25!O10+MVTFEV25!O10+MVTMARS25!O10+MVTAVRIL25!O10+MVTMAI25!O10+MVTJUIN25!O10+MVTJUIL25!O10+MVTAOUT25!O10+MVTSEPT25!O10+MVTOCT25!O10+MVTNOV25!O10+MVTDEC25!O10</f>
        <v>48000</v>
      </c>
      <c r="P10" s="36">
        <f>MVTJANV25!P10+MVTFEV25!P10+MVTMARS25!P10+MVTAVRIL25!P10+MVTMAI25!P10+MVTJUIN25!P10+MVTJUIL25!P10+MVTAOUT25!P10+MVTSEPT25!P10+MVTOCT25!P10+MVTNOV25!P10+MVTDEC25!P10</f>
        <v>3000</v>
      </c>
      <c r="Q10" s="36">
        <f>MVTJANV25!Q10+MVTFEV25!Q10+MVTMARS25!Q10+MVTAVRIL25!Q10+MVTMAI25!Q10+MVTJUIN25!Q10+MVTJUIL25!Q10+MVTAOUT25!Q10+MVTSEPT25!Q10+MVTOCT25!Q10+MVTNOV25!Q10+MVTDEC25!Q10</f>
        <v>0</v>
      </c>
      <c r="R10" s="36">
        <f>MVTJANV25!R10+MVTFEV25!R10+MVTMARS25!R10+MVTAVRIL25!R10+MVTMAI25!R10+MVTJUIN25!R10+MVTJUIL25!R10+MVTAOUT25!R10+MVTSEPT25!R10+MVTOCT25!R10+MVTNOV25!R10+MVTDEC25!R10</f>
        <v>0</v>
      </c>
      <c r="S10" s="36">
        <f>MVTDEC24!S10+MVTJANV25!S10+MVTFEV25!S10+MVTMARS25!S10+MVTAVRIL25!S10+MVTMAI25!S10+MVTJUIN25!S10+MVTJUIL25!S10+MVTAOUT25!S10+MVTSEPT25!S10+MVTOCT25!S10+MVTNOV25!S10</f>
        <v>1000000</v>
      </c>
      <c r="T10" s="36">
        <f>MVTDEC24!T10+MVTJANV25!T10+MVTFEV25!T10+MVTMARS25!T10+MVTAVRIL25!T10+MVTMAI25!T10+MVTJUIN25!T10+MVTJUIL25!T10+MVTAOUT25!T10+MVTSEPT25!T10+MVTOCT25!T10+MVTNOV25!T10</f>
        <v>120000</v>
      </c>
      <c r="U10" s="36">
        <f>MVTJANV25!U10+MVTFEV25!U10+MVTMARS25!U10+MVTAVRIL25!U10+MVTMAI25!U10+MVTJUIN25!U10+MVTJUIL25!U10+MVTAOUT25!U10+MVTSEPT25!U10+MVTOCT25!U10+MVTNOV25!U10+MVTDEC25!U10</f>
        <v>0</v>
      </c>
      <c r="V10" s="36">
        <f>MVTJANV25!V10+MVTFEV25!V10+MVTMARS25!V10+MVTAVRIL25!V10+MVTMAI25!V10+MVTJUIN25!V10+MVTJUIL25!V10+MVTAOUT25!V10+MVTSEPT25!V10+MVTOCT25!V10+MVTNOV25!V10+MVTDEC25!V10</f>
        <v>1000000</v>
      </c>
      <c r="W10" s="36">
        <f t="shared" si="1"/>
        <v>0</v>
      </c>
      <c r="X10" s="186">
        <v>46010</v>
      </c>
      <c r="Y10" s="36">
        <f>MVTJANV25!Y10+MVTFEV25!Y10+MVTMARS25!Y10+MVTAVRIL25!Y10+MVTMAI25!Y10+MVTJUIN25!Y10+MVTJUIL25!Y10+MVTAOUT25!Y10+MVTSEPT25!Y10+MVTOCT25!Y10+MVTNOV25!Y10+MVTDEC25!Y10</f>
        <v>0</v>
      </c>
      <c r="Z10" s="36">
        <f>MVTJANV25!Z10+MVTFEV25!Z10+MVTMARS25!Z10+MVTAVRIL25!Z10+MVTMAI25!Z10+MVTJUIN25!Z10+MVTJUIL25!Z10+MVTAOUT25!Z10+MVTSEPT25!Z10+MVTOCT25!Z10+MVTNOV25!Z10+MVTDEC25!Z10</f>
        <v>0</v>
      </c>
      <c r="AA10" s="36">
        <f>MVTJANV25!AA10+MVTFEV25!AA10+MVTMARS25!AA10+MVTAVRIL25!AA10+MVTMAI25!AA10+MVTJUIN25!AA10+MVTJUIL25!AA10+MVTAOUT25!AA10+MVTSEPT25!AA10+MVTOCT25!AA10+MVTNOV25!AA10+MVTDEC25!AA10</f>
        <v>0</v>
      </c>
      <c r="AB10" s="36">
        <f>MVTJANV25!AB10+MVTFEV25!AB10+MVTMARS25!AB10+MVTAVRIL25!AB10+MVTMAI25!AB10+MVTJUIN25!AB10+MVTJUIL25!AB10+MVTAOUT25!AB10+MVTSEPT25!AB10+MVTOCT25!AB10+MVTNOV25!AB10+MVTDEC25!AB10</f>
        <v>0</v>
      </c>
      <c r="AC10" s="36">
        <f>MVTJANV25!AC10+MVTFEV25!AC10+MVTMARS25!AC10+MVTAVRIL25!AC10+MVTMAI25!AC10+MVTJUIN25!AC10+MVTJUIL25!AC10+MVTAOUT25!AC10+MVTSEPT25!AC10+MVTOCT25!AC10+MVTNOV25!AC10+MVTDEC25!AC10</f>
        <v>0</v>
      </c>
      <c r="AD10" s="36">
        <f>MVTJANV25!AD10+MVTFEV25!AD10+MVTMARS25!AD10+MVTAVRIL25!AD10+MVTMAI25!AD10+MVTJUIN25!AD10+MVTJUIL25!AD10+MVTAOUT25!AD10+MVTSEPT25!AD10+MVTOCT25!AD10+MVTNOV25!AD10+MVTDEC25!AD10</f>
        <v>0</v>
      </c>
      <c r="AE10" s="36">
        <f>MVTJANV25!AE10+MVTFEV25!AE10+MVTMARS25!AE10+MVTAVRIL25!AE10+MVTMAI25!AE10+MVTJUIN25!AE10+MVTJUIL25!AE10+MVTAOUT25!AE10+MVTSEPT25!AE10+MVTOCT25!AE10+MVTNOV25!AE10+MVTDEC25!AE10</f>
        <v>0</v>
      </c>
      <c r="AF10" s="36">
        <f>MVTJANV25!AF10+MVTFEV25!AF10+MVTMARS25!AF10+MVTAVRIL25!AF10+MVTMAI25!AF10+MVTJUIN25!AF10+MVTJUIL25!AF10+MVTAOUT25!AF10+MVTSEPT25!AF10+MVTOCT25!AF10+MVTNOV25!AF10+MVTDEC25!AF10</f>
        <v>0</v>
      </c>
      <c r="AG10" s="36">
        <f>MVTJANV25!AG10+MVTFEV25!AG10+MVTMARS25!AG10+MVTAVRIL25!AG10+MVTMAI25!AG10+MVTJUIN25!AG10+MVTJUIL25!AG10+MVTAOUT25!AG10+MVTSEPT25!AG10+MVTOCT25!AG10+MVTNOV25!AG10+MVTDEC25!AG10</f>
        <v>0</v>
      </c>
      <c r="AH10" s="36">
        <f>MVTJANV25!AH10+MVTFEV25!AH10+MVTMARS25!AH10+MVTAVRIL25!AH10+MVTMAI25!AH10+MVTJUIN25!AH10+MVTJUIL25!AH10+MVTAOUT25!AH10+MVTSEPT25!AH10+MVTOCT25!AH10+MVTNOV25!AH10+MVTDEC25!AH10</f>
        <v>0</v>
      </c>
      <c r="AI10" s="36">
        <f>MVTJANV25!AI10+MVTFEV25!AI10+MVTMARS25!AI10+MVTAVRIL25!AI10+MVTMAI25!AI10+MVTJUIN25!AI10+MVTJUIL25!AI10+MVTAOUT25!AI10+MVTSEPT25!AI10+MVTOCT25!AI10+MVTNOV25!AI10+MVTDEC25!AI10</f>
        <v>0</v>
      </c>
      <c r="AJ10" s="36">
        <f>MVTJANV25!AJ10+MVTFEV25!AJ10+MVTMARS25!AJ10+MVTAVRIL25!AJ10+MVTMAI25!AJ10+MVTJUIN25!AJ10+MVTJUIL25!AJ10+MVTAOUT25!AJ10+MVTSEPT25!AJ10+MVTOCT25!AJ10+MVTNOV25!AJ10+MVTDEC25!AJ10</f>
        <v>0</v>
      </c>
      <c r="AK10" s="36">
        <f>MVTJANV25!AK10+MVTFEV25!AK10+MVTMARS25!AK10+MVTAVRIL25!AK10+MVTMAI25!AK10+MVTJUIN25!AK10+MVTJUIL25!AK10+MVTAOUT25!AK10+MVTSEPT25!AK10+MVTOCT25!AK10+MVTNOV25!AK10+MVTDEC25!AK10</f>
        <v>0</v>
      </c>
    </row>
    <row r="11" spans="1:39" ht="15.5" x14ac:dyDescent="0.35">
      <c r="A11" s="1" t="s">
        <v>24</v>
      </c>
      <c r="B11" s="1" t="str">
        <f>VLOOKUP(A11,[24]LISTADHERENT!A$5:H$60,3,0)</f>
        <v>DJOUKWE NANGUEN GUY BLAISE</v>
      </c>
      <c r="C11" s="36">
        <f>+MVTDEC24!C11</f>
        <v>800000</v>
      </c>
      <c r="D11" s="36">
        <f>+MVTDEC24!D11</f>
        <v>6032</v>
      </c>
      <c r="E11" s="36">
        <f>MVTJANV25!E11+MVTFEV25!E11+MVTMARS25!E11+MVTAVRIL25!E11+MVTMAI25!E11+MVTJUIN25!E11+MVTJUIL25!E11+MVTAOUT25!E11+MVTSEPT25!E11+MVTOCT25!E11+MVTNOV25!E11+MVTDEC25!E11</f>
        <v>0</v>
      </c>
      <c r="F11" s="36">
        <f>MVTJANV25!F11+MVTFEV25!F11+MVTMARS25!F11+MVTAVRIL25!F11+MVTMAI25!F11+MVTJUIN25!F11+MVTJUIL25!F11+MVTAOUT25!F11+MVTSEPT25!F11+MVTOCT25!F11+MVTNOV25!F11+MVTDEC25!F11</f>
        <v>13109664.130915789</v>
      </c>
      <c r="G11" s="5">
        <f>MVTJANV25!G11+MVTFEV25!G11+MVTMARS25!G11+MVTAVRIL25!G11+MVTMAI25!G11+MVTJUIN25!G11+MVTJUIL25!G11+MVTAOUT25!G11+MVTSEPT25!G11+MVTOCT25!G11+MVTNOV25!G11+MVTDEC25!G11</f>
        <v>11662235.945221346</v>
      </c>
      <c r="H11" s="36">
        <f>MVTDEC24!H11+MVTJANV25!H11+MVTFEV25!H11+MVTMARS25!H11+MVTAVRIL25!H11+MVTMAI25!H11+MVTJUIN25!H11+MVTJUIL25!H11+MVTAOUT25!H11+MVTSEPT25!H11+MVTOCT25!H11+MVTNOV25!H11</f>
        <v>68968.183232068608</v>
      </c>
      <c r="I11" s="184">
        <f t="shared" si="0"/>
        <v>13178632.314147858</v>
      </c>
      <c r="J11" s="36">
        <f>MVTJANV25!J11+MVTFEV25!J11+MVTMARS25!J11+MVTAVRIL25!J11+MVTMAI25!J11+MVTJUIN25!J11+MVTJUIL25!J11+MVTAOUT25!J11+MVTSEPT25!J11+MVTOCT25!J11+MVTNOV25!J11+MVTDEC25!J11</f>
        <v>0</v>
      </c>
      <c r="K11" s="36">
        <f>MVTJANV25!K11+MVTFEV25!K11+MVTMARS25!K11+MVTAVRIL25!K11+MVTMAI25!K11+MVTJUIN25!K11+MVTJUIL25!K11+MVTAOUT25!K11+MVTSEPT25!K11+MVTOCT25!K11+MVTNOV25!K11+MVTDEC25!K11</f>
        <v>550375</v>
      </c>
      <c r="L11" s="36">
        <f>MVTJANV25!L11+MVTFEV25!L11+MVTMARS25!L11+MVTAVRIL25!L11+MVTMAI25!L11+MVTJUIN25!L11+MVTJUIL25!L11+MVTAOUT25!L11+MVTSEPT25!L11+MVTOCT25!L11+MVTNOV25!L11+MVTDEC25!L11</f>
        <v>478375</v>
      </c>
      <c r="M11" s="36">
        <f>MVTJANV25!M11+MVTFEV25!M11+MVTMARS25!M11+MVTAVRIL25!M11+MVTMAI25!M11+MVTJUIN25!M11+MVTJUIL25!M11+MVTAOUT25!M11+MVTSEPT25!M11+MVTOCT25!M11+MVTNOV25!M11+MVTDEC25!M11</f>
        <v>12000</v>
      </c>
      <c r="N11" s="36">
        <f>MVTJANV25!N11+MVTFEV25!N11+MVTMARS25!N11+MVTAVRIL25!N11+MVTMAI25!N11+MVTJUIN25!N11+MVTJUIL25!N11+MVTAOUT25!N11+MVTSEPT25!N11+MVTOCT25!N11+MVTNOV25!N11+MVTDEC25!N11</f>
        <v>12000</v>
      </c>
      <c r="O11" s="36">
        <f>MVTJANV25!O11+MVTFEV25!O11+MVTMARS25!O11+MVTAVRIL25!O11+MVTMAI25!O11+MVTJUIN25!O11+MVTJUIL25!O11+MVTAOUT25!O11+MVTSEPT25!O11+MVTOCT25!O11+MVTNOV25!O11+MVTDEC25!O11</f>
        <v>48000</v>
      </c>
      <c r="P11" s="36">
        <f>MVTJANV25!P11+MVTFEV25!P11+MVTMARS25!P11+MVTAVRIL25!P11+MVTMAI25!P11+MVTJUIN25!P11+MVTJUIL25!P11+MVTAOUT25!P11+MVTSEPT25!P11+MVTOCT25!P11+MVTNOV25!P11+MVTDEC25!P11</f>
        <v>3000</v>
      </c>
      <c r="Q11" s="36">
        <f>MVTJANV25!Q11+MVTFEV25!Q11+MVTMARS25!Q11+MVTAVRIL25!Q11+MVTMAI25!Q11+MVTJUIN25!Q11+MVTJUIL25!Q11+MVTAOUT25!Q11+MVTSEPT25!Q11+MVTOCT25!Q11+MVTNOV25!Q11+MVTDEC25!Q11</f>
        <v>0</v>
      </c>
      <c r="R11" s="36">
        <f>MVTJANV25!R11+MVTFEV25!R11+MVTMARS25!R11+MVTAVRIL25!R11+MVTMAI25!R11+MVTJUIN25!R11+MVTJUIL25!R11+MVTAOUT25!R11+MVTSEPT25!R11+MVTOCT25!R11+MVTNOV25!R11+MVTDEC25!R11</f>
        <v>0</v>
      </c>
      <c r="S11" s="36">
        <f>MVTDEC24!S11+MVTJANV25!S11+MVTFEV25!S11+MVTMARS25!S11+MVTAVRIL25!S11+MVTMAI25!S11+MVTJUIN25!S11+MVTJUIL25!S11+MVTAOUT25!S11+MVTSEPT25!S11+MVTOCT25!S11+MVTNOV25!S11</f>
        <v>2135000</v>
      </c>
      <c r="T11" s="36">
        <f>MVTDEC24!T11+MVTJANV25!T11+MVTFEV25!T11+MVTMARS25!T11+MVTAVRIL25!T11+MVTMAI25!T11+MVTJUIN25!T11+MVTJUIL25!T11+MVTAOUT25!T11+MVTSEPT25!T11+MVTOCT25!T11+MVTNOV25!T11</f>
        <v>225000</v>
      </c>
      <c r="U11" s="36">
        <f>MVTJANV25!U11+MVTFEV25!U11+MVTMARS25!U11+MVTAVRIL25!U11+MVTMAI25!U11+MVTJUIN25!U11+MVTJUIL25!U11+MVTAOUT25!U11+MVTSEPT25!U11+MVTOCT25!U11+MVTNOV25!U11+MVTDEC25!U11</f>
        <v>0</v>
      </c>
      <c r="V11" s="36">
        <f>MVTJANV25!V11+MVTFEV25!V11+MVTMARS25!V11+MVTAVRIL25!V11+MVTMAI25!V11+MVTJUIN25!V11+MVTJUIL25!V11+MVTAOUT25!V11+MVTSEPT25!V11+MVTOCT25!V11+MVTNOV25!V11+MVTDEC25!V11</f>
        <v>2135000</v>
      </c>
      <c r="W11" s="36">
        <f>S11-V11</f>
        <v>0</v>
      </c>
      <c r="X11" s="186"/>
      <c r="Y11" s="36">
        <f>MVTJANV25!Y11+MVTFEV25!Y11+MVTMARS25!Y11+MVTAVRIL25!Y11+MVTMAI25!Y11+MVTJUIN25!Y11+MVTJUIL25!Y11+MVTAOUT25!Y11+MVTSEPT25!Y11+MVTOCT25!Y11+MVTNOV25!Y11+MVTDEC25!Y11</f>
        <v>0</v>
      </c>
      <c r="Z11" s="36">
        <f>MVTJANV25!Z11+MVTFEV25!Z11+MVTMARS25!Z11+MVTAVRIL25!Z11+MVTMAI25!Z11+MVTJUIN25!Z11+MVTJUIL25!Z11+MVTAOUT25!Z11+MVTSEPT25!Z11+MVTOCT25!Z11+MVTNOV25!Z11+MVTDEC25!Z11</f>
        <v>0</v>
      </c>
      <c r="AA11" s="36">
        <f>MVTJANV25!AA11+MVTFEV25!AA11+MVTMARS25!AA11+MVTAVRIL25!AA11+MVTMAI25!AA11+MVTJUIN25!AA11+MVTJUIL25!AA11+MVTAOUT25!AA11+MVTSEPT25!AA11+MVTOCT25!AA11+MVTNOV25!AA11+MVTDEC25!AA11</f>
        <v>0</v>
      </c>
      <c r="AB11" s="36">
        <f>MVTJANV25!AB11+MVTFEV25!AB11+MVTMARS25!AB11+MVTAVRIL25!AB11+MVTMAI25!AB11+MVTJUIN25!AB11+MVTJUIL25!AB11+MVTAOUT25!AB11+MVTSEPT25!AB11+MVTOCT25!AB11+MVTNOV25!AB11+MVTDEC25!AB11</f>
        <v>0</v>
      </c>
      <c r="AC11" s="36">
        <f>MVTJANV25!AC11+MVTFEV25!AC11+MVTMARS25!AC11+MVTAVRIL25!AC11+MVTMAI25!AC11+MVTJUIN25!AC11+MVTJUIL25!AC11+MVTAOUT25!AC11+MVTSEPT25!AC11+MVTOCT25!AC11+MVTNOV25!AC11+MVTDEC25!AC11</f>
        <v>0</v>
      </c>
      <c r="AD11" s="36">
        <f>MVTJANV25!AD11+MVTFEV25!AD11+MVTMARS25!AD11+MVTAVRIL25!AD11+MVTMAI25!AD11+MVTJUIN25!AD11+MVTJUIL25!AD11+MVTAOUT25!AD11+MVTSEPT25!AD11+MVTOCT25!AD11+MVTNOV25!AD11+MVTDEC25!AD11</f>
        <v>0</v>
      </c>
      <c r="AE11" s="36">
        <f>MVTJANV25!AE11+MVTFEV25!AE11+MVTMARS25!AE11+MVTAVRIL25!AE11+MVTMAI25!AE11+MVTJUIN25!AE11+MVTJUIL25!AE11+MVTAOUT25!AE11+MVTSEPT25!AE11+MVTOCT25!AE11+MVTNOV25!AE11+MVTDEC25!AE11</f>
        <v>0</v>
      </c>
      <c r="AF11" s="36">
        <f>MVTJANV25!AF11+MVTFEV25!AF11+MVTMARS25!AF11+MVTAVRIL25!AF11+MVTMAI25!AF11+MVTJUIN25!AF11+MVTJUIL25!AF11+MVTAOUT25!AF11+MVTSEPT25!AF11+MVTOCT25!AF11+MVTNOV25!AF11+MVTDEC25!AF11</f>
        <v>0</v>
      </c>
      <c r="AG11" s="36">
        <f>MVTJANV25!AG11+MVTFEV25!AG11+MVTMARS25!AG11+MVTAVRIL25!AG11+MVTMAI25!AG11+MVTJUIN25!AG11+MVTJUIL25!AG11+MVTAOUT25!AG11+MVTSEPT25!AG11+MVTOCT25!AG11+MVTNOV25!AG11+MVTDEC25!AG11</f>
        <v>0</v>
      </c>
      <c r="AH11" s="36">
        <f>MVTJANV25!AH11+MVTFEV25!AH11+MVTMARS25!AH11+MVTAVRIL25!AH11+MVTMAI25!AH11+MVTJUIN25!AH11+MVTJUIL25!AH11+MVTAOUT25!AH11+MVTSEPT25!AH11+MVTOCT25!AH11+MVTNOV25!AH11+MVTDEC25!AH11</f>
        <v>0</v>
      </c>
      <c r="AI11" s="36">
        <f>MVTJANV25!AI11+MVTFEV25!AI11+MVTMARS25!AI11+MVTAVRIL25!AI11+MVTMAI25!AI11+MVTJUIN25!AI11+MVTJUIL25!AI11+MVTAOUT25!AI11+MVTSEPT25!AI11+MVTOCT25!AI11+MVTNOV25!AI11+MVTDEC25!AI11</f>
        <v>100000</v>
      </c>
      <c r="AJ11" s="36">
        <f>MVTJANV25!AJ11+MVTFEV25!AJ11+MVTMARS25!AJ11+MVTAVRIL25!AJ11+MVTMAI25!AJ11+MVTJUIN25!AJ11+MVTJUIL25!AJ11+MVTAOUT25!AJ11+MVTSEPT25!AJ11+MVTOCT25!AJ11+MVTNOV25!AJ11+MVTDEC25!AJ11</f>
        <v>0</v>
      </c>
      <c r="AK11" s="36">
        <f>MVTJANV25!AK11+MVTFEV25!AK11+MVTMARS25!AK11+MVTAVRIL25!AK11+MVTMAI25!AK11+MVTJUIN25!AK11+MVTJUIL25!AK11+MVTAOUT25!AK11+MVTSEPT25!AK11+MVTOCT25!AK11+MVTNOV25!AK11+MVTDEC25!AK11</f>
        <v>0</v>
      </c>
    </row>
    <row r="12" spans="1:39" ht="15.5" x14ac:dyDescent="0.35">
      <c r="A12" s="1" t="s">
        <v>25</v>
      </c>
      <c r="B12" s="1" t="str">
        <f>VLOOKUP(A12,[24]LISTADHERENT!A$5:H$60,3,0)</f>
        <v>DJUOMBESSY ANTOINE</v>
      </c>
      <c r="C12" s="36">
        <f>+MVTDEC24!C12</f>
        <v>800000</v>
      </c>
      <c r="D12" s="36">
        <f>+MVTDEC24!D12</f>
        <v>14486</v>
      </c>
      <c r="E12" s="36">
        <f>MVTJANV25!E12+MVTFEV25!E12+MVTMARS25!E12+MVTAVRIL25!E12+MVTMAI25!E12+MVTJUIN25!E12+MVTJUIL25!E12+MVTAOUT25!E12+MVTSEPT25!E12+MVTOCT25!E12+MVTNOV25!E12+MVTDEC25!E12</f>
        <v>0</v>
      </c>
      <c r="F12" s="36">
        <f>MVTJANV25!F12+MVTFEV25!F12+MVTMARS25!F12+MVTAVRIL25!F12+MVTMAI25!F12+MVTJUIN25!F12+MVTJUIL25!F12+MVTAOUT25!F12+MVTSEPT25!F12+MVTOCT25!F12+MVTNOV25!F12+MVTDEC25!F12</f>
        <v>20475945.329871248</v>
      </c>
      <c r="G12" s="5">
        <f>MVTJANV25!G12+MVTFEV25!G12+MVTMARS25!G12+MVTAVRIL25!G12+MVTMAI25!G12+MVTJUIN25!G12+MVTJUIL25!G12+MVTAOUT25!G12+MVTSEPT25!G12+MVTOCT25!G12+MVTNOV25!G12+MVTDEC25!G12</f>
        <v>19545647.890708119</v>
      </c>
      <c r="H12" s="36">
        <f>MVTDEC24!H12+MVTJANV25!H12+MVTFEV25!H12+MVTMARS25!H12+MVTAVRIL25!H12+MVTMAI25!H12+MVTJUIN25!H12+MVTJUIL25!H12+MVTAOUT25!H12+MVTSEPT25!H12+MVTOCT25!H12+MVTNOV25!H12</f>
        <v>85780.246422867262</v>
      </c>
      <c r="I12" s="184">
        <f t="shared" si="0"/>
        <v>20561725.576294117</v>
      </c>
      <c r="J12" s="36">
        <f>MVTJANV25!J12+MVTFEV25!J12+MVTMARS25!J12+MVTAVRIL25!J12+MVTMAI25!J12+MVTJUIN25!J12+MVTJUIL25!J12+MVTAOUT25!J12+MVTSEPT25!J12+MVTOCT25!J12+MVTNOV25!J12+MVTDEC25!J12</f>
        <v>0</v>
      </c>
      <c r="K12" s="36">
        <f>MVTJANV25!K12+MVTFEV25!K12+MVTMARS25!K12+MVTAVRIL25!K12+MVTMAI25!K12+MVTJUIN25!K12+MVTJUIL25!K12+MVTAOUT25!K12+MVTSEPT25!K12+MVTOCT25!K12+MVTNOV25!K12+MVTDEC25!K12</f>
        <v>1280500</v>
      </c>
      <c r="L12" s="36">
        <f>MVTJANV25!L12+MVTFEV25!L12+MVTMARS25!L12+MVTAVRIL25!L12+MVTMAI25!L12+MVTJUIN25!L12+MVTJUIL25!L12+MVTAOUT25!L12+MVTSEPT25!L12+MVTOCT25!L12+MVTNOV25!L12+MVTDEC25!L12</f>
        <v>1208500</v>
      </c>
      <c r="M12" s="36">
        <f>MVTJANV25!M12+MVTFEV25!M12+MVTMARS25!M12+MVTAVRIL25!M12+MVTMAI25!M12+MVTJUIN25!M12+MVTJUIL25!M12+MVTAOUT25!M12+MVTSEPT25!M12+MVTOCT25!M12+MVTNOV25!M12+MVTDEC25!M12</f>
        <v>12000</v>
      </c>
      <c r="N12" s="36">
        <f>MVTJANV25!N12+MVTFEV25!N12+MVTMARS25!N12+MVTAVRIL25!N12+MVTMAI25!N12+MVTJUIN25!N12+MVTJUIL25!N12+MVTAOUT25!N12+MVTSEPT25!N12+MVTOCT25!N12+MVTNOV25!N12+MVTDEC25!N12</f>
        <v>12000</v>
      </c>
      <c r="O12" s="36">
        <f>MVTJANV25!O12+MVTFEV25!O12+MVTMARS25!O12+MVTAVRIL25!O12+MVTMAI25!O12+MVTJUIN25!O12+MVTJUIL25!O12+MVTAOUT25!O12+MVTSEPT25!O12+MVTOCT25!O12+MVTNOV25!O12+MVTDEC25!O12</f>
        <v>48000</v>
      </c>
      <c r="P12" s="36">
        <f>MVTJANV25!P12+MVTFEV25!P12+MVTMARS25!P12+MVTAVRIL25!P12+MVTMAI25!P12+MVTJUIN25!P12+MVTJUIL25!P12+MVTAOUT25!P12+MVTSEPT25!P12+MVTOCT25!P12+MVTNOV25!P12+MVTDEC25!P12</f>
        <v>0</v>
      </c>
      <c r="Q12" s="36">
        <f>MVTJANV25!Q12+MVTFEV25!Q12+MVTMARS25!Q12+MVTAVRIL25!Q12+MVTMAI25!Q12+MVTJUIN25!Q12+MVTJUIL25!Q12+MVTAOUT25!Q12+MVTSEPT25!Q12+MVTOCT25!Q12+MVTNOV25!Q12+MVTDEC25!Q12</f>
        <v>0</v>
      </c>
      <c r="R12" s="36">
        <f>MVTJANV25!R12+MVTFEV25!R12+MVTMARS25!R12+MVTAVRIL25!R12+MVTMAI25!R12+MVTJUIN25!R12+MVTJUIL25!R12+MVTAOUT25!R12+MVTSEPT25!R12+MVTOCT25!R12+MVTNOV25!R12+MVTDEC25!R12</f>
        <v>0</v>
      </c>
      <c r="S12" s="36">
        <f>MVTDEC24!S12+MVTJANV25!S12+MVTFEV25!S12+MVTMARS25!S12+MVTAVRIL25!S12+MVTMAI25!S12+MVTJUIN25!S12+MVTJUIL25!S12+MVTAOUT25!S12+MVTSEPT25!S12+MVTOCT25!S12+MVTNOV25!S12</f>
        <v>2150000</v>
      </c>
      <c r="T12" s="36">
        <f>MVTDEC24!T12+MVTJANV25!T12+MVTFEV25!T12+MVTMARS25!T12+MVTAVRIL25!T12+MVTMAI25!T12+MVTJUIN25!T12+MVTJUIL25!T12+MVTAOUT25!T12+MVTSEPT25!T12+MVTOCT25!T12+MVTNOV25!T12</f>
        <v>91500</v>
      </c>
      <c r="U12" s="36">
        <f>MVTJANV25!U12+MVTFEV25!U12+MVTMARS25!U12+MVTAVRIL25!U12+MVTMAI25!U12+MVTJUIN25!U12+MVTJUIL25!U12+MVTAOUT25!U12+MVTSEPT25!U12+MVTOCT25!U12+MVTNOV25!U12+MVTDEC25!U12</f>
        <v>0</v>
      </c>
      <c r="V12" s="36">
        <f>MVTJANV25!V12+MVTFEV25!V12+MVTMARS25!V12+MVTAVRIL25!V12+MVTMAI25!V12+MVTJUIN25!V12+MVTJUIL25!V12+MVTAOUT25!V12+MVTSEPT25!V12+MVTOCT25!V12+MVTNOV25!V12+MVTDEC25!V12</f>
        <v>2150000</v>
      </c>
      <c r="W12" s="36">
        <f t="shared" si="1"/>
        <v>0</v>
      </c>
      <c r="X12" s="186">
        <v>45980</v>
      </c>
      <c r="Y12" s="36">
        <f>MVTJANV25!Y12+MVTFEV25!Y12+MVTMARS25!Y12+MVTAVRIL25!Y12+MVTMAI25!Y12+MVTJUIN25!Y12+MVTJUIL25!Y12+MVTAOUT25!Y12+MVTSEPT25!Y12+MVTOCT25!Y12+MVTNOV25!Y12+MVTDEC25!Y12</f>
        <v>0</v>
      </c>
      <c r="Z12" s="36">
        <f>MVTJANV25!Z12+MVTFEV25!Z12+MVTMARS25!Z12+MVTAVRIL25!Z12+MVTMAI25!Z12+MVTJUIN25!Z12+MVTJUIL25!Z12+MVTAOUT25!Z12+MVTSEPT25!Z12+MVTOCT25!Z12+MVTNOV25!Z12+MVTDEC25!Z12</f>
        <v>0</v>
      </c>
      <c r="AA12" s="36">
        <f>MVTJANV25!AA12+MVTFEV25!AA12+MVTMARS25!AA12+MVTAVRIL25!AA12+MVTMAI25!AA12+MVTJUIN25!AA12+MVTJUIL25!AA12+MVTAOUT25!AA12+MVTSEPT25!AA12+MVTOCT25!AA12+MVTNOV25!AA12+MVTDEC25!AA12</f>
        <v>0</v>
      </c>
      <c r="AB12" s="36">
        <f>MVTJANV25!AB12+MVTFEV25!AB12+MVTMARS25!AB12+MVTAVRIL25!AB12+MVTMAI25!AB12+MVTJUIN25!AB12+MVTJUIL25!AB12+MVTAOUT25!AB12+MVTSEPT25!AB12+MVTOCT25!AB12+MVTNOV25!AB12+MVTDEC25!AB12</f>
        <v>0</v>
      </c>
      <c r="AC12" s="36">
        <f>MVTJANV25!AC12+MVTFEV25!AC12+MVTMARS25!AC12+MVTAVRIL25!AC12+MVTMAI25!AC12+MVTJUIN25!AC12+MVTJUIL25!AC12+MVTAOUT25!AC12+MVTSEPT25!AC12+MVTOCT25!AC12+MVTNOV25!AC12+MVTDEC25!AC12</f>
        <v>0</v>
      </c>
      <c r="AD12" s="36">
        <f>MVTJANV25!AD12+MVTFEV25!AD12+MVTMARS25!AD12+MVTAVRIL25!AD12+MVTMAI25!AD12+MVTJUIN25!AD12+MVTJUIL25!AD12+MVTAOUT25!AD12+MVTSEPT25!AD12+MVTOCT25!AD12+MVTNOV25!AD12+MVTDEC25!AD12</f>
        <v>0</v>
      </c>
      <c r="AE12" s="36">
        <f>MVTJANV25!AE12+MVTFEV25!AE12+MVTMARS25!AE12+MVTAVRIL25!AE12+MVTMAI25!AE12+MVTJUIN25!AE12+MVTJUIL25!AE12+MVTAOUT25!AE12+MVTSEPT25!AE12+MVTOCT25!AE12+MVTNOV25!AE12+MVTDEC25!AE12</f>
        <v>0</v>
      </c>
      <c r="AF12" s="36">
        <f>MVTJANV25!AF12+MVTFEV25!AF12+MVTMARS25!AF12+MVTAVRIL25!AF12+MVTMAI25!AF12+MVTJUIN25!AF12+MVTJUIL25!AF12+MVTAOUT25!AF12+MVTSEPT25!AF12+MVTOCT25!AF12+MVTNOV25!AF12+MVTDEC25!AF12</f>
        <v>0</v>
      </c>
      <c r="AG12" s="36">
        <f>MVTJANV25!AG12+MVTFEV25!AG12+MVTMARS25!AG12+MVTAVRIL25!AG12+MVTMAI25!AG12+MVTJUIN25!AG12+MVTJUIL25!AG12+MVTAOUT25!AG12+MVTSEPT25!AG12+MVTOCT25!AG12+MVTNOV25!AG12+MVTDEC25!AG12</f>
        <v>0</v>
      </c>
      <c r="AH12" s="36">
        <f>MVTJANV25!AH12+MVTFEV25!AH12+MVTMARS25!AH12+MVTAVRIL25!AH12+MVTMAI25!AH12+MVTJUIN25!AH12+MVTJUIL25!AH12+MVTAOUT25!AH12+MVTSEPT25!AH12+MVTOCT25!AH12+MVTNOV25!AH12+MVTDEC25!AH12</f>
        <v>0</v>
      </c>
      <c r="AI12" s="36">
        <f>MVTJANV25!AI12+MVTFEV25!AI12+MVTMARS25!AI12+MVTAVRIL25!AI12+MVTMAI25!AI12+MVTJUIN25!AI12+MVTJUIL25!AI12+MVTAOUT25!AI12+MVTSEPT25!AI12+MVTOCT25!AI12+MVTNOV25!AI12+MVTDEC25!AI12</f>
        <v>0</v>
      </c>
      <c r="AJ12" s="36">
        <f>MVTJANV25!AJ12+MVTFEV25!AJ12+MVTMARS25!AJ12+MVTAVRIL25!AJ12+MVTMAI25!AJ12+MVTJUIN25!AJ12+MVTJUIL25!AJ12+MVTAOUT25!AJ12+MVTSEPT25!AJ12+MVTOCT25!AJ12+MVTNOV25!AJ12+MVTDEC25!AJ12</f>
        <v>0</v>
      </c>
      <c r="AK12" s="36">
        <f>MVTJANV25!AK12+MVTFEV25!AK12+MVTMARS25!AK12+MVTAVRIL25!AK12+MVTMAI25!AK12+MVTJUIN25!AK12+MVTJUIL25!AK12+MVTAOUT25!AK12+MVTSEPT25!AK12+MVTOCT25!AK12+MVTNOV25!AK12+MVTDEC25!AK12</f>
        <v>0</v>
      </c>
    </row>
    <row r="13" spans="1:39" x14ac:dyDescent="0.35">
      <c r="A13" s="1" t="s">
        <v>79</v>
      </c>
      <c r="B13" s="1" t="str">
        <f>VLOOKUP(A13,[24]LISTADHERENT!A$5:H$60,3,0)</f>
        <v>DOMOU FABIEN</v>
      </c>
      <c r="C13" s="36">
        <f>+MVTDEC24!C13</f>
        <v>800000</v>
      </c>
      <c r="D13" s="36">
        <f>+MVTDEC24!D13</f>
        <v>6365</v>
      </c>
      <c r="E13" s="36">
        <f>MVTJANV25!E13+MVTFEV25!E13+MVTMARS25!E13+MVTAVRIL25!E13+MVTMAI25!E13+MVTJUIN25!E13+MVTJUIL25!E13+MVTAOUT25!E13+MVTSEPT25!E13+MVTOCT25!E13+MVTNOV25!E13+MVTDEC25!E13</f>
        <v>0</v>
      </c>
      <c r="F13" s="36">
        <f>MVTJANV25!F13+MVTFEV25!F13+MVTMARS25!F13+MVTAVRIL25!F13+MVTMAI25!F13+MVTJUIN25!F13+MVTJUIL25!F13+MVTAOUT25!F13+MVTSEPT25!F13+MVTOCT25!F13+MVTNOV25!F13+MVTDEC25!F13</f>
        <v>11857399.418647252</v>
      </c>
      <c r="G13" s="5">
        <f>MVTJANV25!G13+MVTFEV25!G13+MVTMARS25!G13+MVTAVRIL25!G13+MVTMAI25!G13+MVTJUIN25!G13+MVTJUIL25!G13+MVTAOUT25!G13+MVTSEPT25!G13+MVTOCT25!G13+MVTNOV25!G13+MVTDEC25!G13</f>
        <v>11412323.756143957</v>
      </c>
      <c r="H13" s="36">
        <f>MVTDEC24!H13+MVTJANV25!H13+MVTFEV25!H13+MVTMARS25!H13+MVTAVRIL25!H13+MVTMAI25!H13+MVTJUIN25!H13+MVTJUIL25!H13+MVTAOUT25!H13+MVTSEPT25!H13+MVTOCT25!H13+MVTNOV25!H13</f>
        <v>67987.388588394897</v>
      </c>
      <c r="I13" s="184">
        <f t="shared" si="0"/>
        <v>11925386.807235647</v>
      </c>
      <c r="J13" s="36">
        <f>MVTJANV25!J13+MVTFEV25!J13+MVTMARS25!J13+MVTAVRIL25!J13+MVTMAI25!J13+MVTJUIN25!J13+MVTJUIL25!J13+MVTAOUT25!J13+MVTSEPT25!J13+MVTOCT25!J13+MVTNOV25!J13+MVTDEC25!J13</f>
        <v>0</v>
      </c>
      <c r="K13" s="36">
        <f>MVTJANV25!K13+MVTFEV25!K13+MVTMARS25!K13+MVTAVRIL25!K13+MVTMAI25!K13+MVTJUIN25!K13+MVTJUIL25!K13+MVTAOUT25!K13+MVTSEPT25!K13+MVTOCT25!K13+MVTNOV25!K13+MVTDEC25!K13</f>
        <v>300000</v>
      </c>
      <c r="L13" s="36">
        <f>MVTJANV25!L13+MVTFEV25!L13+MVTMARS25!L13+MVTAVRIL25!L13+MVTMAI25!L13+MVTJUIN25!L13+MVTJUIL25!L13+MVTAOUT25!L13+MVTSEPT25!L13+MVTOCT25!L13+MVTNOV25!L13+MVTDEC25!L13</f>
        <v>228000</v>
      </c>
      <c r="M13" s="36">
        <f>MVTJANV25!M13+MVTFEV25!M13+MVTMARS25!M13+MVTAVRIL25!M13+MVTMAI25!M13+MVTJUIN25!M13+MVTJUIL25!M13+MVTAOUT25!M13+MVTSEPT25!M13+MVTOCT25!M13+MVTNOV25!M13+MVTDEC25!M13</f>
        <v>12000</v>
      </c>
      <c r="N13" s="36">
        <f>MVTJANV25!N13+MVTFEV25!N13+MVTMARS25!N13+MVTAVRIL25!N13+MVTMAI25!N13+MVTJUIN25!N13+MVTJUIL25!N13+MVTAOUT25!N13+MVTSEPT25!N13+MVTOCT25!N13+MVTNOV25!N13+MVTDEC25!N13</f>
        <v>12000</v>
      </c>
      <c r="O13" s="36">
        <f>MVTJANV25!O13+MVTFEV25!O13+MVTMARS25!O13+MVTAVRIL25!O13+MVTMAI25!O13+MVTJUIN25!O13+MVTJUIL25!O13+MVTAOUT25!O13+MVTSEPT25!O13+MVTOCT25!O13+MVTNOV25!O13+MVTDEC25!O13</f>
        <v>48000</v>
      </c>
      <c r="P13" s="36">
        <f>MVTJANV25!P13+MVTFEV25!P13+MVTMARS25!P13+MVTAVRIL25!P13+MVTMAI25!P13+MVTJUIN25!P13+MVTJUIL25!P13+MVTAOUT25!P13+MVTSEPT25!P13+MVTOCT25!P13+MVTNOV25!P13+MVTDEC25!P13</f>
        <v>0</v>
      </c>
      <c r="Q13" s="36">
        <f>MVTJANV25!Q13+MVTFEV25!Q13+MVTMARS25!Q13+MVTAVRIL25!Q13+MVTMAI25!Q13+MVTJUIN25!Q13+MVTJUIL25!Q13+MVTAOUT25!Q13+MVTSEPT25!Q13+MVTOCT25!Q13+MVTNOV25!Q13+MVTDEC25!Q13</f>
        <v>0</v>
      </c>
      <c r="R13" s="36">
        <f>MVTJANV25!R13+MVTFEV25!R13+MVTMARS25!R13+MVTAVRIL25!R13+MVTMAI25!R13+MVTJUIN25!R13+MVTJUIL25!R13+MVTAOUT25!R13+MVTSEPT25!R13+MVTOCT25!R13+MVTNOV25!R13+MVTDEC25!R13</f>
        <v>0</v>
      </c>
      <c r="S13" s="36">
        <f>MVTDEC24!S13+MVTJANV25!S13+MVTFEV25!S13+MVTMARS25!S13+MVTAVRIL25!S13+MVTMAI25!S13+MVTJUIN25!S13+MVTJUIL25!S13+MVTAOUT25!S13+MVTSEPT25!S13+MVTOCT25!S13+MVTNOV25!S13</f>
        <v>0</v>
      </c>
      <c r="T13" s="36">
        <f>MVTDEC24!T13+MVTJANV25!T13+MVTFEV25!T13+MVTMARS25!T13+MVTAVRIL25!T13+MVTMAI25!T13+MVTJUIN25!T13+MVTJUIL25!T13+MVTAOUT25!T13+MVTSEPT25!T13+MVTOCT25!T13+MVTNOV25!T13</f>
        <v>0</v>
      </c>
      <c r="U13" s="36">
        <f>MVTJANV25!U13+MVTFEV25!U13+MVTMARS25!U13+MVTAVRIL25!U13+MVTMAI25!U13+MVTJUIN25!U13+MVTJUIL25!U13+MVTAOUT25!U13+MVTSEPT25!U13+MVTOCT25!U13+MVTNOV25!U13+MVTDEC25!U13</f>
        <v>0</v>
      </c>
      <c r="V13" s="36">
        <f>MVTJANV25!V13+MVTFEV25!V13+MVTMARS25!V13+MVTAVRIL25!V13+MVTMAI25!V13+MVTJUIN25!V13+MVTJUIL25!V13+MVTAOUT25!V13+MVTSEPT25!V13+MVTOCT25!V13+MVTNOV25!V13+MVTDEC25!V13</f>
        <v>0</v>
      </c>
      <c r="W13" s="36">
        <f t="shared" si="1"/>
        <v>0</v>
      </c>
      <c r="X13" s="36"/>
      <c r="Y13" s="36">
        <f>MVTJANV25!Y13+MVTFEV25!Y13+MVTMARS25!Y13+MVTAVRIL25!Y13+MVTMAI25!Y13+MVTJUIN25!Y13+MVTJUIL25!Y13+MVTAOUT25!Y13+MVTSEPT25!Y13+MVTOCT25!Y13+MVTNOV25!Y13+MVTDEC25!Y13</f>
        <v>0</v>
      </c>
      <c r="Z13" s="36">
        <f>MVTJANV25!Z13+MVTFEV25!Z13+MVTMARS25!Z13+MVTAVRIL25!Z13+MVTMAI25!Z13+MVTJUIN25!Z13+MVTJUIL25!Z13+MVTAOUT25!Z13+MVTSEPT25!Z13+MVTOCT25!Z13+MVTNOV25!Z13+MVTDEC25!Z13</f>
        <v>0</v>
      </c>
      <c r="AA13" s="36">
        <f>MVTJANV25!AA13+MVTFEV25!AA13+MVTMARS25!AA13+MVTAVRIL25!AA13+MVTMAI25!AA13+MVTJUIN25!AA13+MVTJUIL25!AA13+MVTAOUT25!AA13+MVTSEPT25!AA13+MVTOCT25!AA13+MVTNOV25!AA13+MVTDEC25!AA13</f>
        <v>0</v>
      </c>
      <c r="AB13" s="36">
        <f>MVTJANV25!AB13+MVTFEV25!AB13+MVTMARS25!AB13+MVTAVRIL25!AB13+MVTMAI25!AB13+MVTJUIN25!AB13+MVTJUIL25!AB13+MVTAOUT25!AB13+MVTSEPT25!AB13+MVTOCT25!AB13+MVTNOV25!AB13+MVTDEC25!AB13</f>
        <v>0</v>
      </c>
      <c r="AC13" s="36">
        <f>MVTJANV25!AC13+MVTFEV25!AC13+MVTMARS25!AC13+MVTAVRIL25!AC13+MVTMAI25!AC13+MVTJUIN25!AC13+MVTJUIL25!AC13+MVTAOUT25!AC13+MVTSEPT25!AC13+MVTOCT25!AC13+MVTNOV25!AC13+MVTDEC25!AC13</f>
        <v>0</v>
      </c>
      <c r="AD13" s="36">
        <f>MVTJANV25!AD13+MVTFEV25!AD13+MVTMARS25!AD13+MVTAVRIL25!AD13+MVTMAI25!AD13+MVTJUIN25!AD13+MVTJUIL25!AD13+MVTAOUT25!AD13+MVTSEPT25!AD13+MVTOCT25!AD13+MVTNOV25!AD13+MVTDEC25!AD13</f>
        <v>0</v>
      </c>
      <c r="AE13" s="36">
        <f>MVTJANV25!AE13+MVTFEV25!AE13+MVTMARS25!AE13+MVTAVRIL25!AE13+MVTMAI25!AE13+MVTJUIN25!AE13+MVTJUIL25!AE13+MVTAOUT25!AE13+MVTSEPT25!AE13+MVTOCT25!AE13+MVTNOV25!AE13+MVTDEC25!AE13</f>
        <v>0</v>
      </c>
      <c r="AF13" s="36">
        <f>MVTJANV25!AF13+MVTFEV25!AF13+MVTMARS25!AF13+MVTAVRIL25!AF13+MVTMAI25!AF13+MVTJUIN25!AF13+MVTJUIL25!AF13+MVTAOUT25!AF13+MVTSEPT25!AF13+MVTOCT25!AF13+MVTNOV25!AF13+MVTDEC25!AF13</f>
        <v>0</v>
      </c>
      <c r="AG13" s="36">
        <f>MVTJANV25!AG13+MVTFEV25!AG13+MVTMARS25!AG13+MVTAVRIL25!AG13+MVTMAI25!AG13+MVTJUIN25!AG13+MVTJUIL25!AG13+MVTAOUT25!AG13+MVTSEPT25!AG13+MVTOCT25!AG13+MVTNOV25!AG13+MVTDEC25!AG13</f>
        <v>0</v>
      </c>
      <c r="AH13" s="36">
        <f>MVTJANV25!AH13+MVTFEV25!AH13+MVTMARS25!AH13+MVTAVRIL25!AH13+MVTMAI25!AH13+MVTJUIN25!AH13+MVTJUIL25!AH13+MVTAOUT25!AH13+MVTSEPT25!AH13+MVTOCT25!AH13+MVTNOV25!AH13+MVTDEC25!AH13</f>
        <v>0</v>
      </c>
      <c r="AI13" s="36">
        <f>MVTJANV25!AI13+MVTFEV25!AI13+MVTMARS25!AI13+MVTAVRIL25!AI13+MVTMAI25!AI13+MVTJUIN25!AI13+MVTJUIL25!AI13+MVTAOUT25!AI13+MVTSEPT25!AI13+MVTOCT25!AI13+MVTNOV25!AI13+MVTDEC25!AI13</f>
        <v>0</v>
      </c>
      <c r="AJ13" s="36">
        <f>MVTJANV25!AJ13+MVTFEV25!AJ13+MVTMARS25!AJ13+MVTAVRIL25!AJ13+MVTMAI25!AJ13+MVTJUIN25!AJ13+MVTJUIL25!AJ13+MVTAOUT25!AJ13+MVTSEPT25!AJ13+MVTOCT25!AJ13+MVTNOV25!AJ13+MVTDEC25!AJ13</f>
        <v>0</v>
      </c>
      <c r="AK13" s="36">
        <f>MVTJANV25!AK13+MVTFEV25!AK13+MVTMARS25!AK13+MVTAVRIL25!AK13+MVTMAI25!AK13+MVTJUIN25!AK13+MVTJUIL25!AK13+MVTAOUT25!AK13+MVTSEPT25!AK13+MVTOCT25!AK13+MVTNOV25!AK13+MVTDEC25!AK13</f>
        <v>0</v>
      </c>
    </row>
    <row r="14" spans="1:39" x14ac:dyDescent="0.35">
      <c r="A14" s="1" t="s">
        <v>26</v>
      </c>
      <c r="B14" s="1" t="str">
        <f>VLOOKUP(A14,[24]LISTADHERENT!A$5:H$60,3,0)</f>
        <v>DONHOU DAVID</v>
      </c>
      <c r="C14" s="36">
        <f>+MVTDEC24!C14</f>
        <v>800000</v>
      </c>
      <c r="D14" s="36">
        <f>+MVTDEC24!D14</f>
        <v>702391</v>
      </c>
      <c r="E14" s="36">
        <f>MVTJANV25!E14+MVTFEV25!E14+MVTMARS25!E14+MVTAVRIL25!E14+MVTMAI25!E14+MVTJUIN25!E14+MVTJUIL25!E14+MVTAOUT25!E14+MVTSEPT25!E14+MVTOCT25!E14+MVTNOV25!E14+MVTDEC25!E14</f>
        <v>0</v>
      </c>
      <c r="F14" s="36">
        <f>MVTJANV25!F14+MVTFEV25!F14+MVTMARS25!F14+MVTAVRIL25!F14+MVTMAI25!F14+MVTJUIN25!F14+MVTJUIL25!F14+MVTAOUT25!F14+MVTSEPT25!F14+MVTOCT25!F14+MVTNOV25!F14+MVTDEC25!F14</f>
        <v>20791768.770838298</v>
      </c>
      <c r="G14" s="5">
        <f>MVTJANV25!G14+MVTFEV25!G14+MVTMARS25!G14+MVTAVRIL25!G14+MVTMAI25!G14+MVTJUIN25!G14+MVTJUIL25!G14+MVTAOUT25!G14+MVTSEPT25!G14+MVTOCT25!G14+MVTNOV25!G14+MVTDEC25!G14</f>
        <v>20332626.390908919</v>
      </c>
      <c r="H14" s="36">
        <f>MVTDEC24!H14+MVTJANV25!H14+MVTFEV25!H14+MVTMARS25!H14+MVTAVRIL25!H14+MVTMAI25!H14+MVTJUIN25!H14+MVTJUIL25!H14+MVTAOUT25!H14+MVTSEPT25!H14+MVTOCT25!H14+MVTNOV25!H14</f>
        <v>124677.1319297915</v>
      </c>
      <c r="I14" s="184">
        <f t="shared" si="0"/>
        <v>20916445.90276809</v>
      </c>
      <c r="J14" s="36">
        <f>MVTJANV25!J14+MVTFEV25!J14+MVTMARS25!J14+MVTAVRIL25!J14+MVTMAI25!J14+MVTJUIN25!J14+MVTJUIL25!J14+MVTAOUT25!J14+MVTSEPT25!J14+MVTOCT25!J14+MVTNOV25!J14+MVTDEC25!J14</f>
        <v>0</v>
      </c>
      <c r="K14" s="36">
        <f>MVTJANV25!K14+MVTFEV25!K14+MVTMARS25!K14+MVTAVRIL25!K14+MVTMAI25!K14+MVTJUIN25!K14+MVTJUIL25!K14+MVTAOUT25!K14+MVTSEPT25!K14+MVTOCT25!K14+MVTNOV25!K14+MVTDEC25!K14</f>
        <v>297000</v>
      </c>
      <c r="L14" s="36">
        <f>MVTJANV25!L14+MVTFEV25!L14+MVTMARS25!L14+MVTAVRIL25!L14+MVTMAI25!L14+MVTJUIN25!L14+MVTJUIL25!L14+MVTAOUT25!L14+MVTSEPT25!L14+MVTOCT25!L14+MVTNOV25!L14+MVTDEC25!L14</f>
        <v>225000</v>
      </c>
      <c r="M14" s="36">
        <f>MVTJANV25!M14+MVTFEV25!M14+MVTMARS25!M14+MVTAVRIL25!M14+MVTMAI25!M14+MVTJUIN25!M14+MVTJUIL25!M14+MVTAOUT25!M14+MVTSEPT25!M14+MVTOCT25!M14+MVTNOV25!M14+MVTDEC25!M14</f>
        <v>12000</v>
      </c>
      <c r="N14" s="36">
        <f>MVTJANV25!N14+MVTFEV25!N14+MVTMARS25!N14+MVTAVRIL25!N14+MVTMAI25!N14+MVTJUIN25!N14+MVTJUIL25!N14+MVTAOUT25!N14+MVTSEPT25!N14+MVTOCT25!N14+MVTNOV25!N14+MVTDEC25!N14</f>
        <v>12000</v>
      </c>
      <c r="O14" s="36">
        <f>MVTJANV25!O14+MVTFEV25!O14+MVTMARS25!O14+MVTAVRIL25!O14+MVTMAI25!O14+MVTJUIN25!O14+MVTJUIL25!O14+MVTAOUT25!O14+MVTSEPT25!O14+MVTOCT25!O14+MVTNOV25!O14+MVTDEC25!O14</f>
        <v>48000</v>
      </c>
      <c r="P14" s="36">
        <f>MVTJANV25!P14+MVTFEV25!P14+MVTMARS25!P14+MVTAVRIL25!P14+MVTMAI25!P14+MVTJUIN25!P14+MVTJUIL25!P14+MVTAOUT25!P14+MVTSEPT25!P14+MVTOCT25!P14+MVTNOV25!P14+MVTDEC25!P14</f>
        <v>3000</v>
      </c>
      <c r="Q14" s="36">
        <f>MVTJANV25!Q14+MVTFEV25!Q14+MVTMARS25!Q14+MVTAVRIL25!Q14+MVTMAI25!Q14+MVTJUIN25!Q14+MVTJUIL25!Q14+MVTAOUT25!Q14+MVTSEPT25!Q14+MVTOCT25!Q14+MVTNOV25!Q14+MVTDEC25!Q14</f>
        <v>0</v>
      </c>
      <c r="R14" s="36">
        <f>MVTJANV25!R14+MVTFEV25!R14+MVTMARS25!R14+MVTAVRIL25!R14+MVTMAI25!R14+MVTJUIN25!R14+MVTJUIL25!R14+MVTAOUT25!R14+MVTSEPT25!R14+MVTOCT25!R14+MVTNOV25!R14+MVTDEC25!R14</f>
        <v>0</v>
      </c>
      <c r="S14" s="36">
        <f>MVTDEC24!S14+MVTJANV25!S14+MVTFEV25!S14+MVTMARS25!S14+MVTAVRIL25!S14+MVTMAI25!S14+MVTJUIN25!S14+MVTJUIL25!S14+MVTAOUT25!S14+MVTSEPT25!S14+MVTOCT25!S14+MVTNOV25!S14</f>
        <v>0</v>
      </c>
      <c r="T14" s="36">
        <f>MVTDEC24!T14+MVTJANV25!T14+MVTFEV25!T14+MVTMARS25!T14+MVTAVRIL25!T14+MVTMAI25!T14+MVTJUIN25!T14+MVTJUIL25!T14+MVTAOUT25!T14+MVTSEPT25!T14+MVTOCT25!T14+MVTNOV25!T14</f>
        <v>0</v>
      </c>
      <c r="U14" s="36">
        <f>MVTJANV25!U14+MVTFEV25!U14+MVTMARS25!U14+MVTAVRIL25!U14+MVTMAI25!U14+MVTJUIN25!U14+MVTJUIL25!U14+MVTAOUT25!U14+MVTSEPT25!U14+MVTOCT25!U14+MVTNOV25!U14+MVTDEC25!U14</f>
        <v>0</v>
      </c>
      <c r="V14" s="36">
        <f>MVTJANV25!V14+MVTFEV25!V14+MVTMARS25!V14+MVTAVRIL25!V14+MVTMAI25!V14+MVTJUIN25!V14+MVTJUIL25!V14+MVTAOUT25!V14+MVTSEPT25!V14+MVTOCT25!V14+MVTNOV25!V14+MVTDEC25!V14</f>
        <v>0</v>
      </c>
      <c r="W14" s="36">
        <f t="shared" si="1"/>
        <v>0</v>
      </c>
      <c r="X14" s="36"/>
      <c r="Y14" s="36">
        <f>MVTJANV25!Y14+MVTFEV25!Y14+MVTMARS25!Y14+MVTAVRIL25!Y14+MVTMAI25!Y14+MVTJUIN25!Y14+MVTJUIL25!Y14+MVTAOUT25!Y14+MVTSEPT25!Y14+MVTOCT25!Y14+MVTNOV25!Y14+MVTDEC25!Y14</f>
        <v>0</v>
      </c>
      <c r="Z14" s="36">
        <f>MVTJANV25!Z14+MVTFEV25!Z14+MVTMARS25!Z14+MVTAVRIL25!Z14+MVTMAI25!Z14+MVTJUIN25!Z14+MVTJUIL25!Z14+MVTAOUT25!Z14+MVTSEPT25!Z14+MVTOCT25!Z14+MVTNOV25!Z14+MVTDEC25!Z14</f>
        <v>0</v>
      </c>
      <c r="AA14" s="36">
        <f>MVTJANV25!AA14+MVTFEV25!AA14+MVTMARS25!AA14+MVTAVRIL25!AA14+MVTMAI25!AA14+MVTJUIN25!AA14+MVTJUIL25!AA14+MVTAOUT25!AA14+MVTSEPT25!AA14+MVTOCT25!AA14+MVTNOV25!AA14+MVTDEC25!AA14</f>
        <v>0</v>
      </c>
      <c r="AB14" s="36">
        <f>MVTJANV25!AB14+MVTFEV25!AB14+MVTMARS25!AB14+MVTAVRIL25!AB14+MVTMAI25!AB14+MVTJUIN25!AB14+MVTJUIL25!AB14+MVTAOUT25!AB14+MVTSEPT25!AB14+MVTOCT25!AB14+MVTNOV25!AB14+MVTDEC25!AB14</f>
        <v>0</v>
      </c>
      <c r="AC14" s="36">
        <f>MVTJANV25!AC14+MVTFEV25!AC14+MVTMARS25!AC14+MVTAVRIL25!AC14+MVTMAI25!AC14+MVTJUIN25!AC14+MVTJUIL25!AC14+MVTAOUT25!AC14+MVTSEPT25!AC14+MVTOCT25!AC14+MVTNOV25!AC14+MVTDEC25!AC14</f>
        <v>0</v>
      </c>
      <c r="AD14" s="36">
        <f>MVTJANV25!AD14+MVTFEV25!AD14+MVTMARS25!AD14+MVTAVRIL25!AD14+MVTMAI25!AD14+MVTJUIN25!AD14+MVTJUIL25!AD14+MVTAOUT25!AD14+MVTSEPT25!AD14+MVTOCT25!AD14+MVTNOV25!AD14+MVTDEC25!AD14</f>
        <v>0</v>
      </c>
      <c r="AE14" s="36">
        <f>MVTJANV25!AE14+MVTFEV25!AE14+MVTMARS25!AE14+MVTAVRIL25!AE14+MVTMAI25!AE14+MVTJUIN25!AE14+MVTJUIL25!AE14+MVTAOUT25!AE14+MVTSEPT25!AE14+MVTOCT25!AE14+MVTNOV25!AE14+MVTDEC25!AE14</f>
        <v>0</v>
      </c>
      <c r="AF14" s="36">
        <f>MVTJANV25!AF14+MVTFEV25!AF14+MVTMARS25!AF14+MVTAVRIL25!AF14+MVTMAI25!AF14+MVTJUIN25!AF14+MVTJUIL25!AF14+MVTAOUT25!AF14+MVTSEPT25!AF14+MVTOCT25!AF14+MVTNOV25!AF14+MVTDEC25!AF14</f>
        <v>0</v>
      </c>
      <c r="AG14" s="36">
        <f>MVTJANV25!AG14+MVTFEV25!AG14+MVTMARS25!AG14+MVTAVRIL25!AG14+MVTMAI25!AG14+MVTJUIN25!AG14+MVTJUIL25!AG14+MVTAOUT25!AG14+MVTSEPT25!AG14+MVTOCT25!AG14+MVTNOV25!AG14+MVTDEC25!AG14</f>
        <v>0</v>
      </c>
      <c r="AH14" s="36">
        <f>MVTJANV25!AH14+MVTFEV25!AH14+MVTMARS25!AH14+MVTAVRIL25!AH14+MVTMAI25!AH14+MVTJUIN25!AH14+MVTJUIL25!AH14+MVTAOUT25!AH14+MVTSEPT25!AH14+MVTOCT25!AH14+MVTNOV25!AH14+MVTDEC25!AH14</f>
        <v>0</v>
      </c>
      <c r="AI14" s="36">
        <f>MVTJANV25!AI14+MVTFEV25!AI14+MVTMARS25!AI14+MVTAVRIL25!AI14+MVTMAI25!AI14+MVTJUIN25!AI14+MVTJUIL25!AI14+MVTAOUT25!AI14+MVTSEPT25!AI14+MVTOCT25!AI14+MVTNOV25!AI14+MVTDEC25!AI14</f>
        <v>100000</v>
      </c>
      <c r="AJ14" s="36">
        <f>MVTJANV25!AJ14+MVTFEV25!AJ14+MVTMARS25!AJ14+MVTAVRIL25!AJ14+MVTMAI25!AJ14+MVTJUIN25!AJ14+MVTJUIL25!AJ14+MVTAOUT25!AJ14+MVTSEPT25!AJ14+MVTOCT25!AJ14+MVTNOV25!AJ14+MVTDEC25!AJ14</f>
        <v>0</v>
      </c>
      <c r="AK14" s="36">
        <f>MVTJANV25!AK14+MVTFEV25!AK14+MVTMARS25!AK14+MVTAVRIL25!AK14+MVTMAI25!AK14+MVTJUIN25!AK14+MVTJUIL25!AK14+MVTAOUT25!AK14+MVTSEPT25!AK14+MVTOCT25!AK14+MVTNOV25!AK14+MVTDEC25!AK14</f>
        <v>0</v>
      </c>
    </row>
    <row r="15" spans="1:39" x14ac:dyDescent="0.35">
      <c r="A15" s="1" t="s">
        <v>344</v>
      </c>
      <c r="B15" s="1" t="str">
        <f>VLOOKUP(A15,[24]LISTADHERENT!A$5:H$60,3,0)</f>
        <v>FAMPOU PAUL</v>
      </c>
      <c r="C15" s="36">
        <f>+MVTDEC24!C15</f>
        <v>0</v>
      </c>
      <c r="D15" s="36">
        <f>+MVTDEC24!D15</f>
        <v>0</v>
      </c>
      <c r="E15" s="36">
        <f>MVTJANV25!E15+MVTFEV25!E15+MVTMARS25!E15+MVTAVRIL25!E15+MVTMAI25!E15+MVTJUIN25!E15+MVTJUIL25!E15+MVTAOUT25!E15+MVTSEPT25!E15+MVTOCT25!E15+MVTNOV25!E15+MVTDEC25!E15</f>
        <v>0</v>
      </c>
      <c r="F15" s="36">
        <f>MVTJANV25!F15+MVTFEV25!F15+MVTMARS25!F15+MVTAVRIL25!F15+MVTMAI25!F15+MVTJUIN25!F15+MVTJUIL25!F15+MVTAOUT25!F15+MVTSEPT25!F15+MVTOCT25!F15+MVTNOV25!F15+MVTDEC25!F15</f>
        <v>7868253.9909234187</v>
      </c>
      <c r="G15" s="5">
        <f>MVTJANV25!G15+MVTFEV25!G15+MVTMARS25!G15+MVTAVRIL25!G15+MVTMAI25!G15+MVTJUIN25!G15+MVTJUIL25!G15+MVTAOUT25!G15+MVTSEPT25!G15+MVTOCT25!G15+MVTNOV25!G15+MVTDEC25!G15</f>
        <v>1180000</v>
      </c>
      <c r="H15" s="36">
        <f>MVTDEC24!H15+MVTJANV25!H15+MVTFEV25!H15+MVTMARS25!H15+MVTAVRIL25!H15+MVTMAI25!H15+MVTJUIN25!H15+MVTJUIL25!H15+MVTAOUT25!H15+MVTSEPT25!H15+MVTOCT25!H15+MVTNOV25!H15</f>
        <v>5255.3358519438016</v>
      </c>
      <c r="I15" s="184">
        <f t="shared" si="0"/>
        <v>7873509.3267753627</v>
      </c>
      <c r="J15" s="36">
        <f>MVTJANV25!J15+MVTFEV25!J15+MVTMARS25!J15+MVTAVRIL25!J15+MVTMAI25!J15+MVTJUIN25!J15+MVTJUIL25!J15+MVTAOUT25!J15+MVTSEPT25!J15+MVTOCT25!J15+MVTNOV25!J15+MVTDEC25!J15</f>
        <v>0</v>
      </c>
      <c r="K15" s="36">
        <f>MVTJANV25!K15+MVTFEV25!K15+MVTMARS25!K15+MVTAVRIL25!K15+MVTMAI25!K15+MVTJUIN25!K15+MVTJUIL25!K15+MVTAOUT25!K15+MVTSEPT25!K15+MVTOCT25!K15+MVTNOV25!K15+MVTDEC25!K15</f>
        <v>1099000</v>
      </c>
      <c r="L15" s="36">
        <f>MVTJANV25!L15+MVTFEV25!L15+MVTMARS25!L15+MVTAVRIL25!L15+MVTMAI25!L15+MVTJUIN25!L15+MVTJUIL25!L15+MVTAOUT25!L15+MVTSEPT25!L15+MVTOCT25!L15+MVTNOV25!L15+MVTDEC25!L15</f>
        <v>1027000</v>
      </c>
      <c r="M15" s="36">
        <f>MVTJANV25!M15+MVTFEV25!M15+MVTMARS25!M15+MVTAVRIL25!M15+MVTMAI25!M15+MVTJUIN25!M15+MVTJUIL25!M15+MVTAOUT25!M15+MVTSEPT25!M15+MVTOCT25!M15+MVTNOV25!M15+MVTDEC25!M15</f>
        <v>12000</v>
      </c>
      <c r="N15" s="36">
        <f>MVTJANV25!N15+MVTFEV25!N15+MVTMARS25!N15+MVTAVRIL25!N15+MVTMAI25!N15+MVTJUIN25!N15+MVTJUIL25!N15+MVTAOUT25!N15+MVTSEPT25!N15+MVTOCT25!N15+MVTNOV25!N15+MVTDEC25!N15</f>
        <v>12000</v>
      </c>
      <c r="O15" s="36">
        <f>MVTJANV25!O15+MVTFEV25!O15+MVTMARS25!O15+MVTAVRIL25!O15+MVTMAI25!O15+MVTJUIN25!O15+MVTJUIL25!O15+MVTAOUT25!O15+MVTSEPT25!O15+MVTOCT25!O15+MVTNOV25!O15+MVTDEC25!O15</f>
        <v>48000</v>
      </c>
      <c r="P15" s="36">
        <f>MVTJANV25!P15+MVTFEV25!P15+MVTMARS25!P15+MVTAVRIL25!P15+MVTMAI25!P15+MVTJUIN25!P15+MVTJUIL25!P15+MVTAOUT25!P15+MVTSEPT25!P15+MVTOCT25!P15+MVTNOV25!P15+MVTDEC25!P15</f>
        <v>0</v>
      </c>
      <c r="Q15" s="36">
        <f>MVTJANV25!Q15+MVTFEV25!Q15+MVTMARS25!Q15+MVTAVRIL25!Q15+MVTMAI25!Q15+MVTJUIN25!Q15+MVTJUIL25!Q15+MVTAOUT25!Q15+MVTSEPT25!Q15+MVTOCT25!Q15+MVTNOV25!Q15+MVTDEC25!Q15</f>
        <v>25000</v>
      </c>
      <c r="R15" s="36">
        <f>MVTJANV25!R15+MVTFEV25!R15+MVTMARS25!R15+MVTAVRIL25!R15+MVTMAI25!R15+MVTJUIN25!R15+MVTJUIL25!R15+MVTAOUT25!R15+MVTSEPT25!R15+MVTOCT25!R15+MVTNOV25!R15+MVTDEC25!R15</f>
        <v>120000</v>
      </c>
      <c r="S15" s="36">
        <f>MVTDEC24!S15+MVTJANV25!S15+MVTFEV25!S15+MVTMARS25!S15+MVTAVRIL25!S15+MVTMAI25!S15+MVTJUIN25!S15+MVTJUIL25!S15+MVTAOUT25!S15+MVTSEPT25!S15+MVTOCT25!S15+MVTNOV25!S15</f>
        <v>0</v>
      </c>
      <c r="T15" s="36">
        <f>MVTDEC24!T15+MVTJANV25!T15+MVTFEV25!T15+MVTMARS25!T15+MVTAVRIL25!T15+MVTMAI25!T15+MVTJUIN25!T15+MVTJUIL25!T15+MVTAOUT25!T15+MVTSEPT25!T15+MVTOCT25!T15+MVTNOV25!T15</f>
        <v>0</v>
      </c>
      <c r="U15" s="36">
        <f>MVTJANV25!U15+MVTFEV25!U15+MVTMARS25!U15+MVTAVRIL25!U15+MVTMAI25!U15+MVTJUIN25!U15+MVTJUIL25!U15+MVTAOUT25!U15+MVTSEPT25!U15+MVTOCT25!U15+MVTNOV25!U15+MVTDEC25!U15</f>
        <v>0</v>
      </c>
      <c r="V15" s="36">
        <f>MVTJANV25!V15+MVTFEV25!V15+MVTMARS25!V15+MVTAVRIL25!V15+MVTMAI25!V15+MVTJUIN25!V15+MVTJUIL25!V15+MVTAOUT25!V15+MVTSEPT25!V15+MVTOCT25!V15+MVTNOV25!V15+MVTDEC25!V15</f>
        <v>0</v>
      </c>
      <c r="W15" s="36">
        <f t="shared" si="1"/>
        <v>0</v>
      </c>
      <c r="X15" s="36"/>
      <c r="Y15" s="36">
        <f>MVTJANV25!Y15+MVTFEV25!Y15+MVTMARS25!Y15+MVTAVRIL25!Y15+MVTMAI25!Y15+MVTJUIN25!Y15+MVTJUIL25!Y15+MVTAOUT25!Y15+MVTSEPT25!Y15+MVTOCT25!Y15+MVTNOV25!Y15+MVTDEC25!Y15</f>
        <v>0</v>
      </c>
      <c r="Z15" s="36">
        <f>MVTJANV25!Z15+MVTFEV25!Z15+MVTMARS25!Z15+MVTAVRIL25!Z15+MVTMAI25!Z15+MVTJUIN25!Z15+MVTJUIL25!Z15+MVTAOUT25!Z15+MVTSEPT25!Z15+MVTOCT25!Z15+MVTNOV25!Z15+MVTDEC25!Z15</f>
        <v>0</v>
      </c>
      <c r="AA15" s="36">
        <f>MVTJANV25!AA15+MVTFEV25!AA15+MVTMARS25!AA15+MVTAVRIL25!AA15+MVTMAI25!AA15+MVTJUIN25!AA15+MVTJUIL25!AA15+MVTAOUT25!AA15+MVTSEPT25!AA15+MVTOCT25!AA15+MVTNOV25!AA15+MVTDEC25!AA15</f>
        <v>0</v>
      </c>
      <c r="AB15" s="36">
        <f>MVTJANV25!AB15+MVTFEV25!AB15+MVTMARS25!AB15+MVTAVRIL25!AB15+MVTMAI25!AB15+MVTJUIN25!AB15+MVTJUIL25!AB15+MVTAOUT25!AB15+MVTSEPT25!AB15+MVTOCT25!AB15+MVTNOV25!AB15+MVTDEC25!AB15</f>
        <v>0</v>
      </c>
      <c r="AC15" s="36">
        <f>MVTJANV25!AC15+MVTFEV25!AC15+MVTMARS25!AC15+MVTAVRIL25!AC15+MVTMAI25!AC15+MVTJUIN25!AC15+MVTJUIL25!AC15+MVTAOUT25!AC15+MVTSEPT25!AC15+MVTOCT25!AC15+MVTNOV25!AC15+MVTDEC25!AC15</f>
        <v>0</v>
      </c>
      <c r="AD15" s="36">
        <f>MVTJANV25!AD15+MVTFEV25!AD15+MVTMARS25!AD15+MVTAVRIL25!AD15+MVTMAI25!AD15+MVTJUIN25!AD15+MVTJUIL25!AD15+MVTAOUT25!AD15+MVTSEPT25!AD15+MVTOCT25!AD15+MVTNOV25!AD15+MVTDEC25!AD15</f>
        <v>0</v>
      </c>
      <c r="AE15" s="36">
        <f>MVTJANV25!AE15+MVTFEV25!AE15+MVTMARS25!AE15+MVTAVRIL25!AE15+MVTMAI25!AE15+MVTJUIN25!AE15+MVTJUIL25!AE15+MVTAOUT25!AE15+MVTSEPT25!AE15+MVTOCT25!AE15+MVTNOV25!AE15+MVTDEC25!AE15</f>
        <v>175000</v>
      </c>
      <c r="AF15" s="36">
        <f>MVTJANV25!AF15+MVTFEV25!AF15+MVTMARS25!AF15+MVTAVRIL25!AF15+MVTMAI25!AF15+MVTJUIN25!AF15+MVTJUIL25!AF15+MVTAOUT25!AF15+MVTSEPT25!AF15+MVTOCT25!AF15+MVTNOV25!AF15+MVTDEC25!AF15</f>
        <v>0</v>
      </c>
      <c r="AG15" s="36">
        <f>MVTJANV25!AG15+MVTFEV25!AG15+MVTMARS25!AG15+MVTAVRIL25!AG15+MVTMAI25!AG15+MVTJUIN25!AG15+MVTJUIL25!AG15+MVTAOUT25!AG15+MVTSEPT25!AG15+MVTOCT25!AG15+MVTNOV25!AG15+MVTDEC25!AG15</f>
        <v>0</v>
      </c>
      <c r="AH15" s="36">
        <f>MVTJANV25!AH15+MVTFEV25!AH15+MVTMARS25!AH15+MVTAVRIL25!AH15+MVTMAI25!AH15+MVTJUIN25!AH15+MVTJUIL25!AH15+MVTAOUT25!AH15+MVTSEPT25!AH15+MVTOCT25!AH15+MVTNOV25!AH15+MVTDEC25!AH15</f>
        <v>0</v>
      </c>
      <c r="AI15" s="36">
        <f>MVTJANV25!AI15+MVTFEV25!AI15+MVTMARS25!AI15+MVTAVRIL25!AI15+MVTMAI25!AI15+MVTJUIN25!AI15+MVTJUIL25!AI15+MVTAOUT25!AI15+MVTSEPT25!AI15+MVTOCT25!AI15+MVTNOV25!AI15+MVTDEC25!AI15</f>
        <v>0</v>
      </c>
      <c r="AJ15" s="36">
        <f>MVTJANV25!AJ15+MVTFEV25!AJ15+MVTMARS25!AJ15+MVTAVRIL25!AJ15+MVTMAI25!AJ15+MVTJUIN25!AJ15+MVTJUIL25!AJ15+MVTAOUT25!AJ15+MVTSEPT25!AJ15+MVTOCT25!AJ15+MVTNOV25!AJ15+MVTDEC25!AJ15</f>
        <v>0</v>
      </c>
      <c r="AK15" s="36">
        <f>MVTJANV25!AK15+MVTFEV25!AK15+MVTMARS25!AK15+MVTAVRIL25!AK15+MVTMAI25!AK15+MVTJUIN25!AK15+MVTJUIL25!AK15+MVTAOUT25!AK15+MVTSEPT25!AK15+MVTOCT25!AK15+MVTNOV25!AK15+MVTDEC25!AK15</f>
        <v>0</v>
      </c>
    </row>
    <row r="16" spans="1:39" ht="14.25" customHeight="1" x14ac:dyDescent="0.35">
      <c r="A16" s="1" t="s">
        <v>28</v>
      </c>
      <c r="B16" s="1" t="str">
        <f>VLOOKUP(A16,[24]LISTADHERENT!A$5:H$60,3,0)</f>
        <v>HENGUE PAUL OMER</v>
      </c>
      <c r="C16" s="36">
        <f>+MVTDEC24!C16</f>
        <v>800000</v>
      </c>
      <c r="D16" s="36">
        <f>+MVTDEC24!D16</f>
        <v>7143</v>
      </c>
      <c r="E16" s="36">
        <f>MVTJANV25!E16+MVTFEV25!E16+MVTMARS25!E16+MVTAVRIL25!E16+MVTMAI25!E16+MVTJUIN25!E16+MVTJUIL25!E16+MVTAOUT25!E16+MVTSEPT25!E16+MVTOCT25!E16+MVTNOV25!E16+MVTDEC25!E16</f>
        <v>0</v>
      </c>
      <c r="F16" s="36">
        <f>MVTJANV25!F16+MVTFEV25!F16+MVTMARS25!F16+MVTAVRIL25!F16+MVTMAI25!F16+MVTJUIN25!F16+MVTJUIL25!F16+MVTAOUT25!F16+MVTSEPT25!F16+MVTOCT25!F16+MVTNOV25!F16+MVTDEC25!F16</f>
        <v>11848215.045892213</v>
      </c>
      <c r="G16" s="5">
        <f>MVTJANV25!G16+MVTFEV25!G16+MVTMARS25!G16+MVTAVRIL25!G16+MVTMAI25!G16+MVTJUIN25!G16+MVTJUIL25!G16+MVTAOUT25!G16+MVTSEPT25!G16+MVTOCT25!G16+MVTNOV25!G16+MVTDEC25!G16</f>
        <v>11403251.502973285</v>
      </c>
      <c r="H16" s="36">
        <f>MVTDEC24!H16+MVTJANV25!H16+MVTFEV25!H16+MVTMARS25!H16+MVTAVRIL25!H16+MVTMAI25!H16+MVTJUIN25!H16+MVTJUIL25!H16+MVTAOUT25!H16+MVTSEPT25!H16+MVTOCT25!H16+MVTNOV25!H16</f>
        <v>68007.586920388829</v>
      </c>
      <c r="I16" s="184">
        <f t="shared" si="0"/>
        <v>11916222.632812601</v>
      </c>
      <c r="J16" s="36">
        <f>MVTJANV25!J16+MVTFEV25!J16+MVTMARS25!J16+MVTAVRIL25!J16+MVTMAI25!J16+MVTJUIN25!J16+MVTJUIL25!J16+MVTAOUT25!J16+MVTSEPT25!J16+MVTOCT25!J16+MVTNOV25!J16+MVTDEC25!J16</f>
        <v>0</v>
      </c>
      <c r="K16" s="36">
        <f>MVTJANV25!K16+MVTFEV25!K16+MVTMARS25!K16+MVTAVRIL25!K16+MVTMAI25!K16+MVTJUIN25!K16+MVTJUIL25!K16+MVTAOUT25!K16+MVTSEPT25!K16+MVTOCT25!K16+MVTNOV25!K16+MVTDEC25!K16</f>
        <v>295000</v>
      </c>
      <c r="L16" s="36">
        <f>MVTJANV25!L16+MVTFEV25!L16+MVTMARS25!L16+MVTAVRIL25!L16+MVTMAI25!L16+MVTJUIN25!L16+MVTJUIL25!L16+MVTAOUT25!L16+MVTSEPT25!L16+MVTOCT25!L16+MVTNOV25!L16+MVTDEC25!L16</f>
        <v>249000</v>
      </c>
      <c r="M16" s="36">
        <f>MVTJANV25!M16+MVTFEV25!M16+MVTMARS25!M16+MVTAVRIL25!M16+MVTMAI25!M16+MVTJUIN25!M16+MVTJUIL25!M16+MVTAOUT25!M16+MVTSEPT25!M16+MVTOCT25!M16+MVTNOV25!M16+MVTDEC25!M16</f>
        <v>12000</v>
      </c>
      <c r="N16" s="36">
        <f>MVTJANV25!N16+MVTFEV25!N16+MVTMARS25!N16+MVTAVRIL25!N16+MVTMAI25!N16+MVTJUIN25!N16+MVTJUIL25!N16+MVTAOUT25!N16+MVTSEPT25!N16+MVTOCT25!N16+MVTNOV25!N16+MVTDEC25!N16</f>
        <v>12000</v>
      </c>
      <c r="O16" s="36">
        <f>MVTJANV25!O16+MVTFEV25!O16+MVTMARS25!O16+MVTAVRIL25!O16+MVTMAI25!O16+MVTJUIN25!O16+MVTJUIL25!O16+MVTAOUT25!O16+MVTSEPT25!O16+MVTOCT25!O16+MVTNOV25!O16+MVTDEC25!O16</f>
        <v>48000</v>
      </c>
      <c r="P16" s="36">
        <f>MVTJANV25!P16+MVTFEV25!P16+MVTMARS25!P16+MVTAVRIL25!P16+MVTMAI25!P16+MVTJUIN25!P16+MVTJUIL25!P16+MVTAOUT25!P16+MVTSEPT25!P16+MVTOCT25!P16+MVTNOV25!P16+MVTDEC25!P16</f>
        <v>0</v>
      </c>
      <c r="Q16" s="36">
        <f>MVTJANV25!Q16+MVTFEV25!Q16+MVTMARS25!Q16+MVTAVRIL25!Q16+MVTMAI25!Q16+MVTJUIN25!Q16+MVTJUIL25!Q16+MVTAOUT25!Q16+MVTSEPT25!Q16+MVTOCT25!Q16+MVTNOV25!Q16+MVTDEC25!Q16</f>
        <v>0</v>
      </c>
      <c r="R16" s="36">
        <f>MVTJANV25!R16+MVTFEV25!R16+MVTMARS25!R16+MVTAVRIL25!R16+MVTMAI25!R16+MVTJUIN25!R16+MVTJUIL25!R16+MVTAOUT25!R16+MVTSEPT25!R16+MVTOCT25!R16+MVTNOV25!R16+MVTDEC25!R16</f>
        <v>0</v>
      </c>
      <c r="S16" s="36">
        <f>MVTDEC24!S16+MVTJANV25!S16+MVTFEV25!S16+MVTMARS25!S16+MVTAVRIL25!S16+MVTMAI25!S16+MVTJUIN25!S16+MVTJUIL25!S16+MVTAOUT25!S16+MVTSEPT25!S16+MVTOCT25!S16+MVTNOV25!S16</f>
        <v>1050000</v>
      </c>
      <c r="T16" s="36">
        <f>MVTDEC24!T16+MVTJANV25!T16+MVTFEV25!T16+MVTMARS25!T16+MVTAVRIL25!T16+MVTMAI25!T16+MVTJUIN25!T16+MVTJUIL25!T16+MVTAOUT25!T16+MVTSEPT25!T16+MVTOCT25!T16+MVTNOV25!T16</f>
        <v>155000</v>
      </c>
      <c r="U16" s="36">
        <f>MVTJANV25!U16+MVTFEV25!U16+MVTMARS25!U16+MVTAVRIL25!U16+MVTMAI25!U16+MVTJUIN25!U16+MVTJUIL25!U16+MVTAOUT25!U16+MVTSEPT25!U16+MVTOCT25!U16+MVTNOV25!U16+MVTDEC25!U16</f>
        <v>0</v>
      </c>
      <c r="V16" s="36">
        <f>MVTJANV25!V16+MVTFEV25!V16+MVTMARS25!V16+MVTAVRIL25!V16+MVTMAI25!V16+MVTJUIN25!V16+MVTJUIL25!V16+MVTAOUT25!V16+MVTSEPT25!V16+MVTOCT25!V16+MVTNOV25!V16+MVTDEC25!V16</f>
        <v>1050000</v>
      </c>
      <c r="W16" s="36">
        <f t="shared" si="1"/>
        <v>0</v>
      </c>
      <c r="X16" s="36"/>
      <c r="Y16" s="36">
        <f>MVTJANV25!Y16+MVTFEV25!Y16+MVTMARS25!Y16+MVTAVRIL25!Y16+MVTMAI25!Y16+MVTJUIN25!Y16+MVTJUIL25!Y16+MVTAOUT25!Y16+MVTSEPT25!Y16+MVTOCT25!Y16+MVTNOV25!Y16+MVTDEC25!Y16</f>
        <v>0</v>
      </c>
      <c r="Z16" s="36">
        <f>MVTJANV25!Z16+MVTFEV25!Z16+MVTMARS25!Z16+MVTAVRIL25!Z16+MVTMAI25!Z16+MVTJUIN25!Z16+MVTJUIL25!Z16+MVTAOUT25!Z16+MVTSEPT25!Z16+MVTOCT25!Z16+MVTNOV25!Z16+MVTDEC25!Z16</f>
        <v>150000</v>
      </c>
      <c r="AA16" s="36">
        <f>MVTJANV25!AA16+MVTFEV25!AA16+MVTMARS25!AA16+MVTAVRIL25!AA16+MVTMAI25!AA16+MVTJUIN25!AA16+MVTJUIL25!AA16+MVTAOUT25!AA16+MVTSEPT25!AA16+MVTOCT25!AA16+MVTNOV25!AA16+MVTDEC25!AA16</f>
        <v>0</v>
      </c>
      <c r="AB16" s="36">
        <f>MVTJANV25!AB16+MVTFEV25!AB16+MVTMARS25!AB16+MVTAVRIL25!AB16+MVTMAI25!AB16+MVTJUIN25!AB16+MVTJUIL25!AB16+MVTAOUT25!AB16+MVTSEPT25!AB16+MVTOCT25!AB16+MVTNOV25!AB16+MVTDEC25!AB16</f>
        <v>0</v>
      </c>
      <c r="AC16" s="36">
        <f>MVTJANV25!AC16+MVTFEV25!AC16+MVTMARS25!AC16+MVTAVRIL25!AC16+MVTMAI25!AC16+MVTJUIN25!AC16+MVTJUIL25!AC16+MVTAOUT25!AC16+MVTSEPT25!AC16+MVTOCT25!AC16+MVTNOV25!AC16+MVTDEC25!AC16</f>
        <v>0</v>
      </c>
      <c r="AD16" s="36">
        <f>MVTJANV25!AD16+MVTFEV25!AD16+MVTMARS25!AD16+MVTAVRIL25!AD16+MVTMAI25!AD16+MVTJUIN25!AD16+MVTJUIL25!AD16+MVTAOUT25!AD16+MVTSEPT25!AD16+MVTOCT25!AD16+MVTNOV25!AD16+MVTDEC25!AD16</f>
        <v>0</v>
      </c>
      <c r="AE16" s="36">
        <f>MVTJANV25!AE16+MVTFEV25!AE16+MVTMARS25!AE16+MVTAVRIL25!AE16+MVTMAI25!AE16+MVTJUIN25!AE16+MVTJUIL25!AE16+MVTAOUT25!AE16+MVTSEPT25!AE16+MVTOCT25!AE16+MVTNOV25!AE16+MVTDEC25!AE16</f>
        <v>0</v>
      </c>
      <c r="AF16" s="36">
        <f>MVTJANV25!AF16+MVTFEV25!AF16+MVTMARS25!AF16+MVTAVRIL25!AF16+MVTMAI25!AF16+MVTJUIN25!AF16+MVTJUIL25!AF16+MVTAOUT25!AF16+MVTSEPT25!AF16+MVTOCT25!AF16+MVTNOV25!AF16+MVTDEC25!AF16</f>
        <v>0</v>
      </c>
      <c r="AG16" s="36">
        <f>MVTJANV25!AG16+MVTFEV25!AG16+MVTMARS25!AG16+MVTAVRIL25!AG16+MVTMAI25!AG16+MVTJUIN25!AG16+MVTJUIL25!AG16+MVTAOUT25!AG16+MVTSEPT25!AG16+MVTOCT25!AG16+MVTNOV25!AG16+MVTDEC25!AG16</f>
        <v>0</v>
      </c>
      <c r="AH16" s="36">
        <f>MVTJANV25!AH16+MVTFEV25!AH16+MVTMARS25!AH16+MVTAVRIL25!AH16+MVTMAI25!AH16+MVTJUIN25!AH16+MVTJUIL25!AH16+MVTAOUT25!AH16+MVTSEPT25!AH16+MVTOCT25!AH16+MVTNOV25!AH16+MVTDEC25!AH16</f>
        <v>0</v>
      </c>
      <c r="AI16" s="36">
        <f>MVTJANV25!AI16+MVTFEV25!AI16+MVTMARS25!AI16+MVTAVRIL25!AI16+MVTMAI25!AI16+MVTJUIN25!AI16+MVTJUIL25!AI16+MVTAOUT25!AI16+MVTSEPT25!AI16+MVTOCT25!AI16+MVTNOV25!AI16+MVTDEC25!AI16</f>
        <v>100000</v>
      </c>
      <c r="AJ16" s="36">
        <f>MVTJANV25!AJ16+MVTFEV25!AJ16+MVTMARS25!AJ16+MVTAVRIL25!AJ16+MVTMAI25!AJ16+MVTJUIN25!AJ16+MVTJUIL25!AJ16+MVTAOUT25!AJ16+MVTSEPT25!AJ16+MVTOCT25!AJ16+MVTNOV25!AJ16+MVTDEC25!AJ16</f>
        <v>150000</v>
      </c>
      <c r="AK16" s="36">
        <f>MVTJANV25!AK16+MVTFEV25!AK16+MVTMARS25!AK16+MVTAVRIL25!AK16+MVTMAI25!AK16+MVTJUIN25!AK16+MVTJUIL25!AK16+MVTAOUT25!AK16+MVTSEPT25!AK16+MVTOCT25!AK16+MVTNOV25!AK16+MVTDEC25!AK16</f>
        <v>0</v>
      </c>
    </row>
    <row r="17" spans="1:39" s="14" customFormat="1" x14ac:dyDescent="0.35">
      <c r="A17" s="12" t="s">
        <v>29</v>
      </c>
      <c r="B17" s="12" t="str">
        <f>VLOOKUP(A17,[24]LISTADHERENT!A$5:H$60,3,0)</f>
        <v>HOTCHO BENJAMIN</v>
      </c>
      <c r="C17" s="13">
        <f>+MVTDEC24!C17</f>
        <v>800000</v>
      </c>
      <c r="D17" s="36">
        <f>+MVTDEC24!D17</f>
        <v>6301</v>
      </c>
      <c r="E17" s="13">
        <f>MVTJANV25!E17+MVTFEV25!E17+MVTMARS25!E17+MVTAVRIL25!E17+MVTMAI25!E17+MVTJUIN25!E17+MVTJUIL25!E17+MVTAOUT25!E17+MVTSEPT25!E17+MVTOCT25!E17+MVTNOV25!E17+MVTDEC25!E17</f>
        <v>0</v>
      </c>
      <c r="F17" s="36">
        <f>MVTJANV25!F17+MVTFEV25!F17+MVTMARS25!F17+MVTAVRIL25!F17+MVTMAI25!F17+MVTJUIN25!F17+MVTJUIL25!F17+MVTAOUT25!F17+MVTSEPT25!F17+MVTOCT25!F17+MVTNOV25!F17+MVTDEC25!F17</f>
        <v>13889324.310177729</v>
      </c>
      <c r="G17" s="5">
        <f>MVTJANV25!G17+MVTFEV25!G17+MVTMARS25!G17+MVTAVRIL25!G17+MVTMAI25!G17+MVTJUIN25!G17+MVTJUIL25!G17+MVTAOUT25!G17+MVTSEPT25!G17+MVTOCT25!G17+MVTNOV25!G17+MVTDEC25!G17</f>
        <v>12941250.841868794</v>
      </c>
      <c r="H17" s="36">
        <f>MVTDEC24!H17+MVTJANV25!H17+MVTFEV25!H17+MVTMARS25!H17+MVTAVRIL25!H17+MVTMAI25!H17+MVTJUIN25!H17+MVTJUIL25!H17+MVTAOUT25!H17+MVTSEPT25!H17+MVTOCT25!H17+MVTNOV25!H17</f>
        <v>71729.525733071583</v>
      </c>
      <c r="I17" s="187">
        <f t="shared" si="0"/>
        <v>13961053.835910801</v>
      </c>
      <c r="J17" s="13">
        <f>MVTJANV25!J17+MVTFEV25!J17+MVTMARS25!J17+MVTAVRIL25!J17+MVTMAI25!J17+MVTJUIN25!J17+MVTJUIL25!J17+MVTAOUT25!J17+MVTSEPT25!J17+MVTOCT25!J17+MVTNOV25!J17+MVTDEC25!J17</f>
        <v>0</v>
      </c>
      <c r="K17" s="13">
        <f>MVTJANV25!K17+MVTFEV25!K17+MVTMARS25!K17+MVTAVRIL25!K17+MVTMAI25!K17+MVTJUIN25!K17+MVTJUIL25!K17+MVTAOUT25!K17+MVTSEPT25!K17+MVTOCT25!K17+MVTNOV25!K17+MVTDEC25!K17</f>
        <v>584500</v>
      </c>
      <c r="L17" s="36">
        <f>MVTJANV25!L17+MVTFEV25!L17+MVTMARS25!L17+MVTAVRIL25!L17+MVTMAI25!L17+MVTJUIN25!L17+MVTJUIL25!L17+MVTAOUT25!L17+MVTSEPT25!L17+MVTOCT25!L17+MVTNOV25!L17+MVTDEC25!L17</f>
        <v>512500</v>
      </c>
      <c r="M17" s="13">
        <f>MVTJANV25!M17+MVTFEV25!M17+MVTMARS25!M17+MVTAVRIL25!M17+MVTMAI25!M17+MVTJUIN25!M17+MVTJUIL25!M17+MVTAOUT25!M17+MVTSEPT25!M17+MVTOCT25!M17+MVTNOV25!M17+MVTDEC25!M17</f>
        <v>12000</v>
      </c>
      <c r="N17" s="13">
        <f>MVTJANV25!N17+MVTFEV25!N17+MVTMARS25!N17+MVTAVRIL25!N17+MVTMAI25!N17+MVTJUIN25!N17+MVTJUIL25!N17+MVTAOUT25!N17+MVTSEPT25!N17+MVTOCT25!N17+MVTNOV25!N17+MVTDEC25!N17</f>
        <v>12000</v>
      </c>
      <c r="O17" s="13">
        <f>MVTJANV25!O17+MVTFEV25!O17+MVTMARS25!O17+MVTAVRIL25!O17+MVTMAI25!O17+MVTJUIN25!O17+MVTJUIL25!O17+MVTAOUT25!O17+MVTSEPT25!O17+MVTOCT25!O17+MVTNOV25!O17+MVTDEC25!O17</f>
        <v>48000</v>
      </c>
      <c r="P17" s="13">
        <f>MVTJANV25!P17+MVTFEV25!P17+MVTMARS25!P17+MVTAVRIL25!P17+MVTMAI25!P17+MVTJUIN25!P17+MVTJUIL25!P17+MVTAOUT25!P17+MVTSEPT25!P17+MVTOCT25!P17+MVTNOV25!P17+MVTDEC25!P17</f>
        <v>0</v>
      </c>
      <c r="Q17" s="13">
        <f>MVTJANV25!Q17+MVTFEV25!Q17+MVTMARS25!Q17+MVTAVRIL25!Q17+MVTMAI25!Q17+MVTJUIN25!Q17+MVTJUIL25!Q17+MVTAOUT25!Q17+MVTSEPT25!Q17+MVTOCT25!Q17+MVTNOV25!Q17+MVTDEC25!Q17</f>
        <v>0</v>
      </c>
      <c r="R17" s="13">
        <f>MVTJANV25!R17+MVTFEV25!R17+MVTMARS25!R17+MVTAVRIL25!R17+MVTMAI25!R17+MVTJUIN25!R17+MVTJUIL25!R17+MVTAOUT25!R17+MVTSEPT25!R17+MVTOCT25!R17+MVTNOV25!R17+MVTDEC25!R17</f>
        <v>0</v>
      </c>
      <c r="S17" s="36">
        <f>MVTDEC24!S17+MVTJANV25!S17+MVTFEV25!S17+MVTMARS25!S17+MVTAVRIL25!S17+MVTMAI25!S17+MVTJUIN25!S17+MVTJUIL25!S17+MVTAOUT25!S17+MVTSEPT25!S17+MVTOCT25!S17+MVTNOV25!S17</f>
        <v>1300000</v>
      </c>
      <c r="T17" s="36">
        <f>MVTDEC24!T17+MVTJANV25!T17+MVTFEV25!T17+MVTMARS25!T17+MVTAVRIL25!T17+MVTMAI25!T17+MVTJUIN25!T17+MVTJUIL25!T17+MVTAOUT25!T17+MVTSEPT25!T17+MVTOCT25!T17+MVTNOV25!T17</f>
        <v>23000</v>
      </c>
      <c r="U17" s="13">
        <f>MVTJANV25!U17+MVTFEV25!U17+MVTMARS25!U17+MVTAVRIL25!U17+MVTMAI25!U17+MVTJUIN25!U17+MVTJUIL25!U17+MVTAOUT25!U17+MVTSEPT25!U17+MVTOCT25!U17+MVTNOV25!U17+MVTDEC25!U17</f>
        <v>0</v>
      </c>
      <c r="V17" s="13">
        <f>MVTJANV25!V17+MVTFEV25!V17+MVTMARS25!V17+MVTAVRIL25!V17+MVTMAI25!V17+MVTJUIN25!V17+MVTJUIL25!V17+MVTAOUT25!V17+MVTSEPT25!V17+MVTOCT25!V17+MVTNOV25!V17+MVTDEC25!V17</f>
        <v>1300000</v>
      </c>
      <c r="W17" s="13">
        <f t="shared" si="1"/>
        <v>0</v>
      </c>
      <c r="X17" s="13"/>
      <c r="Y17" s="13">
        <f>MVTJANV25!Y17+MVTFEV25!Y17+MVTMARS25!Y17+MVTAVRIL25!Y17+MVTMAI25!Y17+MVTJUIN25!Y17+MVTJUIL25!Y17+MVTAOUT25!Y17+MVTSEPT25!Y17+MVTOCT25!Y17+MVTNOV25!Y17+MVTDEC25!Y17</f>
        <v>0</v>
      </c>
      <c r="Z17" s="13">
        <f>MVTJANV25!Z17+MVTFEV25!Z17+MVTMARS25!Z17+MVTAVRIL25!Z17+MVTMAI25!Z17+MVTJUIN25!Z17+MVTJUIL25!Z17+MVTAOUT25!Z17+MVTSEPT25!Z17+MVTOCT25!Z17+MVTNOV25!Z17+MVTDEC25!Z17</f>
        <v>0</v>
      </c>
      <c r="AA17" s="13">
        <f>MVTJANV25!AA17+MVTFEV25!AA17+MVTMARS25!AA17+MVTAVRIL25!AA17+MVTMAI25!AA17+MVTJUIN25!AA17+MVTJUIL25!AA17+MVTAOUT25!AA17+MVTSEPT25!AA17+MVTOCT25!AA17+MVTNOV25!AA17+MVTDEC25!AA17</f>
        <v>0</v>
      </c>
      <c r="AB17" s="13">
        <f>MVTJANV25!AB17+MVTFEV25!AB17+MVTMARS25!AB17+MVTAVRIL25!AB17+MVTMAI25!AB17+MVTJUIN25!AB17+MVTJUIL25!AB17+MVTAOUT25!AB17+MVTSEPT25!AB17+MVTOCT25!AB17+MVTNOV25!AB17+MVTDEC25!AB17</f>
        <v>0</v>
      </c>
      <c r="AC17" s="13">
        <f>MVTJANV25!AC17+MVTFEV25!AC17+MVTMARS25!AC17+MVTAVRIL25!AC17+MVTMAI25!AC17+MVTJUIN25!AC17+MVTJUIL25!AC17+MVTAOUT25!AC17+MVTSEPT25!AC17+MVTOCT25!AC17+MVTNOV25!AC17+MVTDEC25!AC17</f>
        <v>0</v>
      </c>
      <c r="AD17" s="13">
        <f>MVTJANV25!AD17+MVTFEV25!AD17+MVTMARS25!AD17+MVTAVRIL25!AD17+MVTMAI25!AD17+MVTJUIN25!AD17+MVTJUIL25!AD17+MVTAOUT25!AD17+MVTSEPT25!AD17+MVTOCT25!AD17+MVTNOV25!AD17+MVTDEC25!AD17</f>
        <v>0</v>
      </c>
      <c r="AE17" s="13">
        <f>MVTJANV25!AE17+MVTFEV25!AE17+MVTMARS25!AE17+MVTAVRIL25!AE17+MVTMAI25!AE17+MVTJUIN25!AE17+MVTJUIL25!AE17+MVTAOUT25!AE17+MVTSEPT25!AE17+MVTOCT25!AE17+MVTNOV25!AE17+MVTDEC25!AE17</f>
        <v>0</v>
      </c>
      <c r="AF17" s="13">
        <f>MVTJANV25!AF17+MVTFEV25!AF17+MVTMARS25!AF17+MVTAVRIL25!AF17+MVTMAI25!AF17+MVTJUIN25!AF17+MVTJUIL25!AF17+MVTAOUT25!AF17+MVTSEPT25!AF17+MVTOCT25!AF17+MVTNOV25!AF17+MVTDEC25!AF17</f>
        <v>0</v>
      </c>
      <c r="AG17" s="13">
        <f>MVTJANV25!AG17+MVTFEV25!AG17+MVTMARS25!AG17+MVTAVRIL25!AG17+MVTMAI25!AG17+MVTJUIN25!AG17+MVTJUIL25!AG17+MVTAOUT25!AG17+MVTSEPT25!AG17+MVTOCT25!AG17+MVTNOV25!AG17+MVTDEC25!AG17</f>
        <v>0</v>
      </c>
      <c r="AH17" s="13">
        <f>MVTJANV25!AH17+MVTFEV25!AH17+MVTMARS25!AH17+MVTAVRIL25!AH17+MVTMAI25!AH17+MVTJUIN25!AH17+MVTJUIL25!AH17+MVTAOUT25!AH17+MVTSEPT25!AH17+MVTOCT25!AH17+MVTNOV25!AH17+MVTDEC25!AH17</f>
        <v>0</v>
      </c>
      <c r="AI17" s="13">
        <f>MVTJANV25!AI17+MVTFEV25!AI17+MVTMARS25!AI17+MVTAVRIL25!AI17+MVTMAI25!AI17+MVTJUIN25!AI17+MVTJUIL25!AI17+MVTAOUT25!AI17+MVTSEPT25!AI17+MVTOCT25!AI17+MVTNOV25!AI17+MVTDEC25!AI17</f>
        <v>0</v>
      </c>
      <c r="AJ17" s="13">
        <f>MVTJANV25!AJ17+MVTFEV25!AJ17+MVTMARS25!AJ17+MVTAVRIL25!AJ17+MVTMAI25!AJ17+MVTJUIN25!AJ17+MVTJUIL25!AJ17+MVTAOUT25!AJ17+MVTSEPT25!AJ17+MVTOCT25!AJ17+MVTNOV25!AJ17+MVTDEC25!AJ17</f>
        <v>0</v>
      </c>
      <c r="AK17" s="13">
        <f>MVTJANV25!AK17+MVTFEV25!AK17+MVTMARS25!AK17+MVTAVRIL25!AK17+MVTMAI25!AK17+MVTJUIN25!AK17+MVTJUIL25!AK17+MVTAOUT25!AK17+MVTSEPT25!AK17+MVTOCT25!AK17+MVTNOV25!AK17+MVTDEC25!AK17</f>
        <v>0</v>
      </c>
      <c r="AM17" s="11"/>
    </row>
    <row r="18" spans="1:39" s="14" customFormat="1" x14ac:dyDescent="0.35">
      <c r="A18" s="12" t="s">
        <v>33</v>
      </c>
      <c r="B18" s="12" t="str">
        <f>VLOOKUP(A18,[24]LISTADHERENT!A$5:H$60,3,0)</f>
        <v>KOUAMOU MOISE</v>
      </c>
      <c r="C18" s="13">
        <f>+MVTDEC24!C18</f>
        <v>800000</v>
      </c>
      <c r="D18" s="36">
        <f>+MVTDEC24!D18</f>
        <v>6353</v>
      </c>
      <c r="E18" s="13">
        <f>MVTJANV25!E18+MVTFEV25!E18+MVTMARS25!E18+MVTAVRIL25!E18+MVTMAI25!E18+MVTJUIN25!E18+MVTJUIL25!E18+MVTAOUT25!E18+MVTSEPT25!E18+MVTOCT25!E18+MVTNOV25!E18+MVTDEC25!E18</f>
        <v>0</v>
      </c>
      <c r="F18" s="36">
        <f>MVTJANV25!F18+MVTFEV25!F18+MVTMARS25!F18+MVTAVRIL25!F18+MVTMAI25!F18+MVTJUIN25!F18+MVTJUIL25!F18+MVTAOUT25!F18+MVTSEPT25!F18+MVTOCT25!F18+MVTNOV25!F18+MVTDEC25!F18</f>
        <v>11851244.764737148</v>
      </c>
      <c r="G18" s="5">
        <f>MVTJANV25!G18+MVTFEV25!G18+MVTMARS25!G18+MVTAVRIL25!G18+MVTMAI25!G18+MVTJUIN25!G18+MVTJUIL25!G18+MVTAOUT25!G18+MVTSEPT25!G18+MVTOCT25!G18+MVTNOV25!G18+MVTDEC25!G18</f>
        <v>11409169.911845587</v>
      </c>
      <c r="H18" s="36">
        <f>MVTDEC24!H18+MVTJANV25!H18+MVTFEV25!H18+MVTMARS25!H18+MVTAVRIL25!H18+MVTMAI25!H18+MVTJUIN25!H18+MVTJUIL25!H18+MVTAOUT25!H18+MVTSEPT25!H18+MVTOCT25!H18+MVTNOV25!H18</f>
        <v>67985.947726602506</v>
      </c>
      <c r="I18" s="187">
        <f t="shared" si="0"/>
        <v>11919230.71246375</v>
      </c>
      <c r="J18" s="13">
        <f>MVTJANV25!J18+MVTFEV25!J18+MVTMARS25!J18+MVTAVRIL25!J18+MVTMAI25!J18+MVTJUIN25!J18+MVTJUIL25!J18+MVTAOUT25!J18+MVTSEPT25!J18+MVTOCT25!J18+MVTNOV25!J18+MVTDEC25!J18</f>
        <v>0</v>
      </c>
      <c r="K18" s="13">
        <f>MVTJANV25!K18+MVTFEV25!K18+MVTMARS25!K18+MVTAVRIL25!K18+MVTMAI25!K18+MVTJUIN25!K18+MVTJUIL25!K18+MVTAOUT25!K18+MVTSEPT25!K18+MVTOCT25!K18+MVTNOV25!K18+MVTDEC25!K18</f>
        <v>297000</v>
      </c>
      <c r="L18" s="36">
        <f>MVTJANV25!L18+MVTFEV25!L18+MVTMARS25!L18+MVTAVRIL25!L18+MVTMAI25!L18+MVTJUIN25!L18+MVTJUIL25!L18+MVTAOUT25!L18+MVTSEPT25!L18+MVTOCT25!L18+MVTNOV25!L18+MVTDEC25!L18</f>
        <v>225000</v>
      </c>
      <c r="M18" s="13">
        <f>MVTJANV25!M18+MVTFEV25!M18+MVTMARS25!M18+MVTAVRIL25!M18+MVTMAI25!M18+MVTJUIN25!M18+MVTJUIL25!M18+MVTAOUT25!M18+MVTSEPT25!M18+MVTOCT25!M18+MVTNOV25!M18+MVTDEC25!M18</f>
        <v>12000</v>
      </c>
      <c r="N18" s="13">
        <f>MVTJANV25!N18+MVTFEV25!N18+MVTMARS25!N18+MVTAVRIL25!N18+MVTMAI25!N18+MVTJUIN25!N18+MVTJUIL25!N18+MVTAOUT25!N18+MVTSEPT25!N18+MVTOCT25!N18+MVTNOV25!N18+MVTDEC25!N18</f>
        <v>12000</v>
      </c>
      <c r="O18" s="13">
        <f>MVTJANV25!O18+MVTFEV25!O18+MVTMARS25!O18+MVTAVRIL25!O18+MVTMAI25!O18+MVTJUIN25!O18+MVTJUIL25!O18+MVTAOUT25!O18+MVTSEPT25!O18+MVTOCT25!O18+MVTNOV25!O18+MVTDEC25!O18</f>
        <v>48000</v>
      </c>
      <c r="P18" s="13">
        <f>MVTJANV25!P18+MVTFEV25!P18+MVTMARS25!P18+MVTAVRIL25!P18+MVTMAI25!P18+MVTJUIN25!P18+MVTJUIL25!P18+MVTAOUT25!P18+MVTSEPT25!P18+MVTOCT25!P18+MVTNOV25!P18+MVTDEC25!P18</f>
        <v>3000</v>
      </c>
      <c r="Q18" s="13">
        <f>MVTJANV25!Q18+MVTFEV25!Q18+MVTMARS25!Q18+MVTAVRIL25!Q18+MVTMAI25!Q18+MVTJUIN25!Q18+MVTJUIL25!Q18+MVTAOUT25!Q18+MVTSEPT25!Q18+MVTOCT25!Q18+MVTNOV25!Q18+MVTDEC25!Q18</f>
        <v>0</v>
      </c>
      <c r="R18" s="13">
        <f>MVTJANV25!R18+MVTFEV25!R18+MVTMARS25!R18+MVTAVRIL25!R18+MVTMAI25!R18+MVTJUIN25!R18+MVTJUIL25!R18+MVTAOUT25!R18+MVTSEPT25!R18+MVTOCT25!R18+MVTNOV25!R18+MVTDEC25!R18</f>
        <v>0</v>
      </c>
      <c r="S18" s="36">
        <f>MVTDEC24!S18+MVTJANV25!S18+MVTFEV25!S18+MVTMARS25!S18+MVTAVRIL25!S18+MVTMAI25!S18+MVTJUIN25!S18+MVTJUIL25!S18+MVTAOUT25!S18+MVTSEPT25!S18+MVTOCT25!S18+MVTNOV25!S18</f>
        <v>1346500</v>
      </c>
      <c r="T18" s="36">
        <f>MVTDEC24!T18+MVTJANV25!T18+MVTFEV25!T18+MVTMARS25!T18+MVTAVRIL25!T18+MVTMAI25!T18+MVTJUIN25!T18+MVTJUIL25!T18+MVTAOUT25!T18+MVTSEPT25!T18+MVTOCT25!T18+MVTNOV25!T18</f>
        <v>71500</v>
      </c>
      <c r="U18" s="13">
        <f>MVTJANV25!U18+MVTFEV25!U18+MVTMARS25!U18+MVTAVRIL25!U18+MVTMAI25!U18+MVTJUIN25!U18+MVTJUIL25!U18+MVTAOUT25!U18+MVTSEPT25!U18+MVTOCT25!U18+MVTNOV25!U18+MVTDEC25!U18</f>
        <v>0</v>
      </c>
      <c r="V18" s="13">
        <f>MVTJANV25!V18+MVTFEV25!V18+MVTMARS25!V18+MVTAVRIL25!V18+MVTMAI25!V18+MVTJUIN25!V18+MVTJUIL25!V18+MVTAOUT25!V18+MVTSEPT25!V18+MVTOCT25!V18+MVTNOV25!V18+MVTDEC25!V18</f>
        <v>1346500</v>
      </c>
      <c r="W18" s="13">
        <f t="shared" si="1"/>
        <v>0</v>
      </c>
      <c r="X18" s="13"/>
      <c r="Y18" s="13">
        <f>MVTJANV25!Y18+MVTFEV25!Y18+MVTMARS25!Y18+MVTAVRIL25!Y18+MVTMAI25!Y18+MVTJUIN25!Y18+MVTJUIL25!Y18+MVTAOUT25!Y18+MVTSEPT25!Y18+MVTOCT25!Y18+MVTNOV25!Y18+MVTDEC25!Y18</f>
        <v>0</v>
      </c>
      <c r="Z18" s="13">
        <f>MVTJANV25!Z18+MVTFEV25!Z18+MVTMARS25!Z18+MVTAVRIL25!Z18+MVTMAI25!Z18+MVTJUIN25!Z18+MVTJUIL25!Z18+MVTAOUT25!Z18+MVTSEPT25!Z18+MVTOCT25!Z18+MVTNOV25!Z18+MVTDEC25!Z18</f>
        <v>0</v>
      </c>
      <c r="AA18" s="13">
        <f>MVTJANV25!AA18+MVTFEV25!AA18+MVTMARS25!AA18+MVTAVRIL25!AA18+MVTMAI25!AA18+MVTJUIN25!AA18+MVTJUIL25!AA18+MVTAOUT25!AA18+MVTSEPT25!AA18+MVTOCT25!AA18+MVTNOV25!AA18+MVTDEC25!AA18</f>
        <v>0</v>
      </c>
      <c r="AB18" s="13">
        <f>MVTJANV25!AB18+MVTFEV25!AB18+MVTMARS25!AB18+MVTAVRIL25!AB18+MVTMAI25!AB18+MVTJUIN25!AB18+MVTJUIL25!AB18+MVTAOUT25!AB18+MVTSEPT25!AB18+MVTOCT25!AB18+MVTNOV25!AB18+MVTDEC25!AB18</f>
        <v>0</v>
      </c>
      <c r="AC18" s="13">
        <f>MVTJANV25!AC18+MVTFEV25!AC18+MVTMARS25!AC18+MVTAVRIL25!AC18+MVTMAI25!AC18+MVTJUIN25!AC18+MVTJUIL25!AC18+MVTAOUT25!AC18+MVTSEPT25!AC18+MVTOCT25!AC18+MVTNOV25!AC18+MVTDEC25!AC18</f>
        <v>0</v>
      </c>
      <c r="AD18" s="13">
        <f>MVTJANV25!AD18+MVTFEV25!AD18+MVTMARS25!AD18+MVTAVRIL25!AD18+MVTMAI25!AD18+MVTJUIN25!AD18+MVTJUIL25!AD18+MVTAOUT25!AD18+MVTSEPT25!AD18+MVTOCT25!AD18+MVTNOV25!AD18+MVTDEC25!AD18</f>
        <v>0</v>
      </c>
      <c r="AE18" s="13">
        <f>MVTJANV25!AE18+MVTFEV25!AE18+MVTMARS25!AE18+MVTAVRIL25!AE18+MVTMAI25!AE18+MVTJUIN25!AE18+MVTJUIL25!AE18+MVTAOUT25!AE18+MVTSEPT25!AE18+MVTOCT25!AE18+MVTNOV25!AE18+MVTDEC25!AE18</f>
        <v>0</v>
      </c>
      <c r="AF18" s="13">
        <f>MVTJANV25!AF18+MVTFEV25!AF18+MVTMARS25!AF18+MVTAVRIL25!AF18+MVTMAI25!AF18+MVTJUIN25!AF18+MVTJUIL25!AF18+MVTAOUT25!AF18+MVTSEPT25!AF18+MVTOCT25!AF18+MVTNOV25!AF18+MVTDEC25!AF18</f>
        <v>0</v>
      </c>
      <c r="AG18" s="13">
        <f>MVTJANV25!AG18+MVTFEV25!AG18+MVTMARS25!AG18+MVTAVRIL25!AG18+MVTMAI25!AG18+MVTJUIN25!AG18+MVTJUIL25!AG18+MVTAOUT25!AG18+MVTSEPT25!AG18+MVTOCT25!AG18+MVTNOV25!AG18+MVTDEC25!AG18</f>
        <v>0</v>
      </c>
      <c r="AH18" s="13">
        <f>MVTJANV25!AH18+MVTFEV25!AH18+MVTMARS25!AH18+MVTAVRIL25!AH18+MVTMAI25!AH18+MVTJUIN25!AH18+MVTJUIL25!AH18+MVTAOUT25!AH18+MVTSEPT25!AH18+MVTOCT25!AH18+MVTNOV25!AH18+MVTDEC25!AH18</f>
        <v>0</v>
      </c>
      <c r="AI18" s="13">
        <f>MVTJANV25!AI18+MVTFEV25!AI18+MVTMARS25!AI18+MVTAVRIL25!AI18+MVTMAI25!AI18+MVTJUIN25!AI18+MVTJUIL25!AI18+MVTAOUT25!AI18+MVTSEPT25!AI18+MVTOCT25!AI18+MVTNOV25!AI18+MVTDEC25!AI18</f>
        <v>100000</v>
      </c>
      <c r="AJ18" s="13">
        <f>MVTJANV25!AJ18+MVTFEV25!AJ18+MVTMARS25!AJ18+MVTAVRIL25!AJ18+MVTMAI25!AJ18+MVTJUIN25!AJ18+MVTJUIL25!AJ18+MVTAOUT25!AJ18+MVTSEPT25!AJ18+MVTOCT25!AJ18+MVTNOV25!AJ18+MVTDEC25!AJ18</f>
        <v>0</v>
      </c>
      <c r="AK18" s="13">
        <f>MVTJANV25!AK18+MVTFEV25!AK18+MVTMARS25!AK18+MVTAVRIL25!AK18+MVTMAI25!AK18+MVTJUIN25!AK18+MVTJUIL25!AK18+MVTAOUT25!AK18+MVTSEPT25!AK18+MVTOCT25!AK18+MVTNOV25!AK18+MVTDEC25!AK18</f>
        <v>0</v>
      </c>
      <c r="AM18" s="11"/>
    </row>
    <row r="19" spans="1:39" ht="15.5" x14ac:dyDescent="0.35">
      <c r="A19" s="1" t="s">
        <v>35</v>
      </c>
      <c r="B19" s="1" t="str">
        <f>VLOOKUP(A19,[24]LISTADHERENT!A$5:H$60,3,0)</f>
        <v>KOUATCHO MESSACK</v>
      </c>
      <c r="C19" s="36">
        <f>+MVTDEC24!C19</f>
        <v>800000</v>
      </c>
      <c r="D19" s="36">
        <f>+MVTDEC24!D19</f>
        <v>9944</v>
      </c>
      <c r="E19" s="36">
        <f>MVTJANV25!E19+MVTFEV25!E19+MVTMARS25!E19+MVTAVRIL25!E19+MVTMAI25!E19+MVTJUIN25!E19+MVTJUIL25!E19+MVTAOUT25!E19+MVTSEPT25!E19+MVTOCT25!E19+MVTNOV25!E19+MVTDEC25!E19</f>
        <v>0</v>
      </c>
      <c r="F19" s="36">
        <f>MVTJANV25!F19+MVTFEV25!F19+MVTMARS25!F19+MVTAVRIL25!F19+MVTMAI25!F19+MVTJUIN25!F19+MVTJUIL25!F19+MVTAOUT25!F19+MVTSEPT25!F19+MVTOCT25!F19+MVTNOV25!F19+MVTDEC25!F19</f>
        <v>12601713.579090027</v>
      </c>
      <c r="G19" s="5">
        <f>MVTJANV25!G19+MVTFEV25!G19+MVTMARS25!G19+MVTAVRIL25!G19+MVTMAI25!G19+MVTJUIN25!G19+MVTJUIL25!G19+MVTAOUT25!G19+MVTSEPT25!G19+MVTOCT25!G19+MVTNOV25!G19+MVTDEC25!G19</f>
        <v>11975819.72939107</v>
      </c>
      <c r="H19" s="36">
        <f>MVTDEC24!H19+MVTJANV25!H19+MVTFEV25!H19+MVTMARS25!H19+MVTAVRIL25!H19+MVTMAI25!H19+MVTJUIN25!H19+MVTJUIL25!H19+MVTAOUT25!H19+MVTSEPT25!H19+MVTOCT25!H19+MVTNOV25!H19</f>
        <v>69419.781922600014</v>
      </c>
      <c r="I19" s="184">
        <f t="shared" si="0"/>
        <v>12671133.361012626</v>
      </c>
      <c r="J19" s="36">
        <f>MVTJANV25!J19+MVTFEV25!J19+MVTMARS25!J19+MVTAVRIL25!J19+MVTMAI25!J19+MVTJUIN25!J19+MVTJUIL25!J19+MVTAOUT25!J19+MVTSEPT25!J19+MVTOCT25!J19+MVTNOV25!J19+MVTDEC25!J19</f>
        <v>0</v>
      </c>
      <c r="K19" s="36">
        <f>MVTJANV25!K19+MVTFEV25!K19+MVTMARS25!K19+MVTAVRIL25!K19+MVTMAI25!K19+MVTJUIN25!K19+MVTJUIL25!K19+MVTAOUT25!K19+MVTSEPT25!K19+MVTOCT25!K19+MVTNOV25!K19+MVTDEC25!K19</f>
        <v>405500</v>
      </c>
      <c r="L19" s="36">
        <f>MVTJANV25!L19+MVTFEV25!L19+MVTMARS25!L19+MVTAVRIL25!L19+MVTMAI25!L19+MVTJUIN25!L19+MVTJUIL25!L19+MVTAOUT25!L19+MVTSEPT25!L19+MVTOCT25!L19+MVTNOV25!L19+MVTDEC25!L19</f>
        <v>333500</v>
      </c>
      <c r="M19" s="36">
        <f>MVTJANV25!M19+MVTFEV25!M19+MVTMARS25!M19+MVTAVRIL25!M19+MVTMAI25!M19+MVTJUIN25!M19+MVTJUIL25!M19+MVTAOUT25!M19+MVTSEPT25!M19+MVTOCT25!M19+MVTNOV25!M19+MVTDEC25!M19</f>
        <v>12000</v>
      </c>
      <c r="N19" s="36">
        <f>MVTJANV25!N19+MVTFEV25!N19+MVTMARS25!N19+MVTAVRIL25!N19+MVTMAI25!N19+MVTJUIN25!N19+MVTJUIL25!N19+MVTAOUT25!N19+MVTSEPT25!N19+MVTOCT25!N19+MVTNOV25!N19+MVTDEC25!N19</f>
        <v>12000</v>
      </c>
      <c r="O19" s="36">
        <f>MVTJANV25!O19+MVTFEV25!O19+MVTMARS25!O19+MVTAVRIL25!O19+MVTMAI25!O19+MVTJUIN25!O19+MVTJUIL25!O19+MVTAOUT25!O19+MVTSEPT25!O19+MVTOCT25!O19+MVTNOV25!O19+MVTDEC25!O19</f>
        <v>48000</v>
      </c>
      <c r="P19" s="36">
        <f>MVTJANV25!P19+MVTFEV25!P19+MVTMARS25!P19+MVTAVRIL25!P19+MVTMAI25!P19+MVTJUIN25!P19+MVTJUIL25!P19+MVTAOUT25!P19+MVTSEPT25!P19+MVTOCT25!P19+MVTNOV25!P19+MVTDEC25!P19</f>
        <v>3000</v>
      </c>
      <c r="Q19" s="36">
        <f>MVTJANV25!Q19+MVTFEV25!Q19+MVTMARS25!Q19+MVTAVRIL25!Q19+MVTMAI25!Q19+MVTJUIN25!Q19+MVTJUIL25!Q19+MVTAOUT25!Q19+MVTSEPT25!Q19+MVTOCT25!Q19+MVTNOV25!Q19+MVTDEC25!Q19</f>
        <v>0</v>
      </c>
      <c r="R19" s="36">
        <f>MVTJANV25!R19+MVTFEV25!R19+MVTMARS25!R19+MVTAVRIL25!R19+MVTMAI25!R19+MVTJUIN25!R19+MVTJUIL25!R19+MVTAOUT25!R19+MVTSEPT25!R19+MVTOCT25!R19+MVTNOV25!R19+MVTDEC25!R19</f>
        <v>0</v>
      </c>
      <c r="S19" s="36">
        <f>MVTDEC24!S19+MVTJANV25!S19+MVTFEV25!S19+MVTMARS25!S19+MVTAVRIL25!S19+MVTMAI25!S19+MVTJUIN25!S19+MVTJUIL25!S19+MVTAOUT25!S19+MVTSEPT25!S19+MVTOCT25!S19+MVTNOV25!S19</f>
        <v>1000000</v>
      </c>
      <c r="T19" s="36">
        <f>MVTDEC24!T19+MVTJANV25!T19+MVTFEV25!T19+MVTMARS25!T19+MVTAVRIL25!T19+MVTMAI25!T19+MVTJUIN25!T19+MVTJUIL25!T19+MVTAOUT25!T19+MVTSEPT25!T19+MVTOCT25!T19+MVTNOV25!T19</f>
        <v>120000</v>
      </c>
      <c r="U19" s="36">
        <f>MVTJANV25!U19+MVTFEV25!U19+MVTMARS25!U19+MVTAVRIL25!U19+MVTMAI25!U19+MVTJUIN25!U19+MVTJUIL25!U19+MVTAOUT25!U19+MVTSEPT25!U19+MVTOCT25!U19+MVTNOV25!U19+MVTDEC25!U19</f>
        <v>0</v>
      </c>
      <c r="V19" s="36">
        <f>MVTJANV25!V19+MVTFEV25!V19+MVTMARS25!V19+MVTAVRIL25!V19+MVTMAI25!V19+MVTJUIN25!V19+MVTJUIL25!V19+MVTAOUT25!V19+MVTSEPT25!V19+MVTOCT25!V19+MVTNOV25!V19+MVTDEC25!V19</f>
        <v>1000000</v>
      </c>
      <c r="W19" s="36">
        <f t="shared" si="1"/>
        <v>0</v>
      </c>
      <c r="X19" s="186">
        <v>46010</v>
      </c>
      <c r="Y19" s="36">
        <f>MVTJANV25!Y19+MVTFEV25!Y19+MVTMARS25!Y19+MVTAVRIL25!Y19+MVTMAI25!Y19+MVTJUIN25!Y19+MVTJUIL25!Y19+MVTAOUT25!Y19+MVTSEPT25!Y19+MVTOCT25!Y19+MVTNOV25!Y19+MVTDEC25!Y19</f>
        <v>0</v>
      </c>
      <c r="Z19" s="36">
        <f>MVTJANV25!Z19+MVTFEV25!Z19+MVTMARS25!Z19+MVTAVRIL25!Z19+MVTMAI25!Z19+MVTJUIN25!Z19+MVTJUIL25!Z19+MVTAOUT25!Z19+MVTSEPT25!Z19+MVTOCT25!Z19+MVTNOV25!Z19+MVTDEC25!Z19</f>
        <v>0</v>
      </c>
      <c r="AA19" s="36">
        <f>MVTJANV25!AA19+MVTFEV25!AA19+MVTMARS25!AA19+MVTAVRIL25!AA19+MVTMAI25!AA19+MVTJUIN25!AA19+MVTJUIL25!AA19+MVTAOUT25!AA19+MVTSEPT25!AA19+MVTOCT25!AA19+MVTNOV25!AA19+MVTDEC25!AA19</f>
        <v>0</v>
      </c>
      <c r="AB19" s="36">
        <f>MVTJANV25!AB19+MVTFEV25!AB19+MVTMARS25!AB19+MVTAVRIL25!AB19+MVTMAI25!AB19+MVTJUIN25!AB19+MVTJUIL25!AB19+MVTAOUT25!AB19+MVTSEPT25!AB19+MVTOCT25!AB19+MVTNOV25!AB19+MVTDEC25!AB19</f>
        <v>0</v>
      </c>
      <c r="AC19" s="36">
        <f>MVTJANV25!AC19+MVTFEV25!AC19+MVTMARS25!AC19+MVTAVRIL25!AC19+MVTMAI25!AC19+MVTJUIN25!AC19+MVTJUIL25!AC19+MVTAOUT25!AC19+MVTSEPT25!AC19+MVTOCT25!AC19+MVTNOV25!AC19+MVTDEC25!AC19</f>
        <v>0</v>
      </c>
      <c r="AD19" s="36">
        <f>MVTJANV25!AD19+MVTFEV25!AD19+MVTMARS25!AD19+MVTAVRIL25!AD19+MVTMAI25!AD19+MVTJUIN25!AD19+MVTJUIL25!AD19+MVTAOUT25!AD19+MVTSEPT25!AD19+MVTOCT25!AD19+MVTNOV25!AD19+MVTDEC25!AD19</f>
        <v>0</v>
      </c>
      <c r="AE19" s="36">
        <f>MVTJANV25!AE19+MVTFEV25!AE19+MVTMARS25!AE19+MVTAVRIL25!AE19+MVTMAI25!AE19+MVTJUIN25!AE19+MVTJUIL25!AE19+MVTAOUT25!AE19+MVTSEPT25!AE19+MVTOCT25!AE19+MVTNOV25!AE19+MVTDEC25!AE19</f>
        <v>0</v>
      </c>
      <c r="AF19" s="36">
        <f>MVTJANV25!AF19+MVTFEV25!AF19+MVTMARS25!AF19+MVTAVRIL25!AF19+MVTMAI25!AF19+MVTJUIN25!AF19+MVTJUIL25!AF19+MVTAOUT25!AF19+MVTSEPT25!AF19+MVTOCT25!AF19+MVTNOV25!AF19+MVTDEC25!AF19</f>
        <v>0</v>
      </c>
      <c r="AG19" s="36">
        <f>MVTJANV25!AG19+MVTFEV25!AG19+MVTMARS25!AG19+MVTAVRIL25!AG19+MVTMAI25!AG19+MVTJUIN25!AG19+MVTJUIL25!AG19+MVTAOUT25!AG19+MVTSEPT25!AG19+MVTOCT25!AG19+MVTNOV25!AG19+MVTDEC25!AG19</f>
        <v>0</v>
      </c>
      <c r="AH19" s="36">
        <f>MVTJANV25!AH19+MVTFEV25!AH19+MVTMARS25!AH19+MVTAVRIL25!AH19+MVTMAI25!AH19+MVTJUIN25!AH19+MVTJUIL25!AH19+MVTAOUT25!AH19+MVTSEPT25!AH19+MVTOCT25!AH19+MVTNOV25!AH19+MVTDEC25!AH19</f>
        <v>0</v>
      </c>
      <c r="AI19" s="36">
        <f>MVTJANV25!AI19+MVTFEV25!AI19+MVTMARS25!AI19+MVTAVRIL25!AI19+MVTMAI25!AI19+MVTJUIN25!AI19+MVTJUIL25!AI19+MVTAOUT25!AI19+MVTSEPT25!AI19+MVTOCT25!AI19+MVTNOV25!AI19+MVTDEC25!AI19</f>
        <v>0</v>
      </c>
      <c r="AJ19" s="36">
        <f>MVTJANV25!AJ19+MVTFEV25!AJ19+MVTMARS25!AJ19+MVTAVRIL25!AJ19+MVTMAI25!AJ19+MVTJUIN25!AJ19+MVTJUIL25!AJ19+MVTAOUT25!AJ19+MVTSEPT25!AJ19+MVTOCT25!AJ19+MVTNOV25!AJ19+MVTDEC25!AJ19</f>
        <v>0</v>
      </c>
      <c r="AK19" s="36">
        <f>MVTJANV25!AK19+MVTFEV25!AK19+MVTMARS25!AK19+MVTAVRIL25!AK19+MVTMAI25!AK19+MVTJUIN25!AK19+MVTJUIL25!AK19+MVTAOUT25!AK19+MVTSEPT25!AK19+MVTOCT25!AK19+MVTNOV25!AK19+MVTDEC25!AK19</f>
        <v>0</v>
      </c>
    </row>
    <row r="20" spans="1:39" ht="15.5" x14ac:dyDescent="0.35">
      <c r="A20" s="1" t="s">
        <v>36</v>
      </c>
      <c r="B20" s="1" t="str">
        <f>VLOOKUP(A20,[24]LISTADHERENT!A$5:H$50,3,0)</f>
        <v>LOWE JEAN</v>
      </c>
      <c r="C20" s="36">
        <f>+MVTDEC24!C20</f>
        <v>0</v>
      </c>
      <c r="D20" s="36">
        <f>+MVTDEC24!D20</f>
        <v>676217</v>
      </c>
      <c r="E20" s="36">
        <f>MVTJANV25!E20+MVTFEV25!E20+MVTMARS25!E20+MVTAVRIL25!E20+MVTMAI25!E20+MVTJUIN25!E20+MVTJUIL25!E20+MVTAOUT25!E20+MVTSEPT25!E20+MVTOCT25!E20+MVTNOV25!E20+MVTDEC25!E20</f>
        <v>0</v>
      </c>
      <c r="F20" s="36">
        <f>MVTJANV25!F20+MVTFEV25!F20+MVTMARS25!F20+MVTAVRIL25!F20+MVTMAI25!F20+MVTJUIN25!F20+MVTJUIL25!F20+MVTAOUT25!F20+MVTSEPT25!F20+MVTOCT25!F20+MVTNOV25!F20+MVTDEC25!F20</f>
        <v>3926217</v>
      </c>
      <c r="G20" s="5">
        <f>MVTJANV25!G20+MVTFEV25!G20+MVTMARS25!G20+MVTAVRIL25!G20+MVTMAI25!G20+MVTJUIN25!G20+MVTJUIL25!G20+MVTAOUT25!G20+MVTSEPT25!G20+MVTOCT25!G20+MVTNOV25!G20+MVTDEC25!G20</f>
        <v>0</v>
      </c>
      <c r="H20" s="36">
        <f>MVTDEC24!H20+MVTJANV25!H20+MVTFEV25!H20+MVTMARS25!H20+MVTAVRIL25!H20+MVTMAI25!H20+MVTJUIN25!H20+MVTJUIL25!H20+MVTAOUT25!H20+MVTSEPT25!H20+MVTOCT25!H20+MVTNOV25!H20</f>
        <v>0</v>
      </c>
      <c r="I20" s="184">
        <f t="shared" si="0"/>
        <v>3926217</v>
      </c>
      <c r="J20" s="36">
        <f>MVTJANV25!J20+MVTFEV25!J20+MVTMARS25!J20+MVTAVRIL25!J20+MVTMAI25!J20+MVTJUIN25!J20+MVTJUIL25!J20+MVTAOUT25!J20+MVTSEPT25!J20+MVTOCT25!J20+MVTNOV25!J20+MVTDEC25!J20</f>
        <v>0</v>
      </c>
      <c r="K20" s="36">
        <f>MVTJANV25!K20+MVTFEV25!K20+MVTMARS25!K20+MVTAVRIL25!K20+MVTMAI25!K20+MVTJUIN25!K20+MVTJUIL25!K20+MVTAOUT25!K20+MVTSEPT25!K20+MVTOCT25!K20+MVTNOV25!K20+MVTDEC25!K20</f>
        <v>0</v>
      </c>
      <c r="L20" s="36">
        <f>MVTJANV25!L20+MVTFEV25!L20+MVTMARS25!L20+MVTAVRIL25!L20+MVTMAI25!L20+MVTJUIN25!L20+MVTJUIL25!L20+MVTAOUT25!L20+MVTSEPT25!L20+MVTOCT25!L20+MVTNOV25!L20+MVTDEC25!L20</f>
        <v>500000</v>
      </c>
      <c r="M20" s="36">
        <f>MVTJANV25!M20+MVTFEV25!M20+MVTMARS25!M20+MVTAVRIL25!M20+MVTMAI25!M20+MVTJUIN25!M20+MVTJUIL25!M20+MVTAOUT25!M20+MVTSEPT25!M20+MVTOCT25!M20+MVTNOV25!M20+MVTDEC25!M20</f>
        <v>0</v>
      </c>
      <c r="N20" s="36">
        <f>MVTJANV25!N20+MVTFEV25!N20+MVTMARS25!N20+MVTAVRIL25!N20+MVTMAI25!N20+MVTJUIN25!N20+MVTJUIL25!N20+MVTAOUT25!N20+MVTSEPT25!N20+MVTOCT25!N20+MVTNOV25!N20+MVTDEC25!N20</f>
        <v>0</v>
      </c>
      <c r="O20" s="36">
        <f>MVTJANV25!O20+MVTFEV25!O20+MVTMARS25!O20+MVTAVRIL25!O20+MVTMAI25!O20+MVTJUIN25!O20+MVTJUIL25!O20+MVTAOUT25!O20+MVTSEPT25!O20+MVTOCT25!O20+MVTNOV25!O20+MVTDEC25!O20</f>
        <v>0</v>
      </c>
      <c r="P20" s="36">
        <f>MVTJANV25!P20+MVTFEV25!P20+MVTMARS25!P20+MVTAVRIL25!P20+MVTMAI25!P20+MVTJUIN25!P20+MVTJUIL25!P20+MVTAOUT25!P20+MVTSEPT25!P20+MVTOCT25!P20+MVTNOV25!P20+MVTDEC25!P20</f>
        <v>0</v>
      </c>
      <c r="Q20" s="36">
        <f>MVTJANV25!Q20+MVTFEV25!Q20+MVTMARS25!Q20+MVTAVRIL25!Q20+MVTMAI25!Q20+MVTJUIN25!Q20+MVTJUIL25!Q20+MVTAOUT25!Q20+MVTSEPT25!Q20+MVTOCT25!Q20+MVTNOV25!Q20+MVTDEC25!Q20</f>
        <v>0</v>
      </c>
      <c r="R20" s="36">
        <f>MVTJANV25!R20+MVTFEV25!R20+MVTMARS25!R20+MVTAVRIL25!R20+MVTMAI25!R20+MVTJUIN25!R20+MVTJUIL25!R20+MVTAOUT25!R20+MVTSEPT25!R20+MVTOCT25!R20+MVTNOV25!R20+MVTDEC25!R20</f>
        <v>0</v>
      </c>
      <c r="S20" s="36">
        <f>MVTDEC24!S20+MVTJANV25!S20+MVTFEV25!S20+MVTMARS25!S20+MVTAVRIL25!S20+MVTMAI25!S20+MVTJUIN25!S20+MVTJUIL25!S20+MVTAOUT25!S20+MVTSEPT25!S20+MVTOCT25!S20+MVTNOV25!S20</f>
        <v>0</v>
      </c>
      <c r="T20" s="36">
        <f>MVTDEC24!T20+MVTJANV25!T20+MVTFEV25!T20+MVTMARS25!T20+MVTAVRIL25!T20+MVTMAI25!T20+MVTJUIN25!T20+MVTJUIL25!T20+MVTAOUT25!T20+MVTSEPT25!T20+MVTOCT25!T20+MVTNOV25!T20</f>
        <v>0</v>
      </c>
      <c r="U20" s="36">
        <f>MVTJANV25!U20+MVTFEV25!U20+MVTMARS25!U20+MVTAVRIL25!U20+MVTMAI25!U20+MVTJUIN25!U20+MVTJUIL25!U20+MVTAOUT25!U20+MVTSEPT25!U20+MVTOCT25!U20+MVTNOV25!U20+MVTDEC25!U20</f>
        <v>0</v>
      </c>
      <c r="V20" s="36">
        <f>MVTJANV25!V20+MVTFEV25!V20+MVTMARS25!V20+MVTAVRIL25!V20+MVTMAI25!V20+MVTJUIN25!V20+MVTJUIL25!V20+MVTAOUT25!V20+MVTSEPT25!V20+MVTOCT25!V20+MVTNOV25!V20+MVTDEC25!V20</f>
        <v>0</v>
      </c>
      <c r="W20" s="36">
        <f t="shared" si="1"/>
        <v>0</v>
      </c>
      <c r="X20" s="186">
        <v>46011</v>
      </c>
      <c r="Y20" s="36">
        <f>MVTJANV25!Y20+MVTFEV25!Y20+MVTMARS25!Y20+MVTAVRIL25!Y20+MVTMAI25!Y20+MVTJUIN25!Y20+MVTJUIL25!Y20+MVTAOUT25!Y20+MVTSEPT25!Y20+MVTOCT25!Y20+MVTNOV25!Y20+MVTDEC25!Y20</f>
        <v>0</v>
      </c>
      <c r="Z20" s="36">
        <f>MVTJANV25!Z20+MVTFEV25!Z20+MVTMARS25!Z20+MVTAVRIL25!Z20+MVTMAI25!Z20+MVTJUIN25!Z20+MVTJUIL25!Z20+MVTAOUT25!Z20+MVTSEPT25!Z20+MVTOCT25!Z20+MVTNOV25!Z20+MVTDEC25!Z20</f>
        <v>0</v>
      </c>
      <c r="AA20" s="36">
        <f>MVTJANV25!AA20+MVTFEV25!AA20+MVTMARS25!AA20+MVTAVRIL25!AA20+MVTMAI25!AA20+MVTJUIN25!AA20+MVTJUIL25!AA20+MVTAOUT25!AA20+MVTSEPT25!AA20+MVTOCT25!AA20+MVTNOV25!AA20+MVTDEC25!AA20</f>
        <v>0</v>
      </c>
      <c r="AB20" s="36">
        <f>MVTJANV25!AB20+MVTFEV25!AB20+MVTMARS25!AB20+MVTAVRIL25!AB20+MVTMAI25!AB20+MVTJUIN25!AB20+MVTJUIL25!AB20+MVTAOUT25!AB20+MVTSEPT25!AB20+MVTOCT25!AB20+MVTNOV25!AB20+MVTDEC25!AB20</f>
        <v>0</v>
      </c>
      <c r="AC20" s="36">
        <f>MVTJANV25!AC20+MVTFEV25!AC20+MVTMARS25!AC20+MVTAVRIL25!AC20+MVTMAI25!AC20+MVTJUIN25!AC20+MVTJUIL25!AC20+MVTAOUT25!AC20+MVTSEPT25!AC20+MVTOCT25!AC20+MVTNOV25!AC20+MVTDEC25!AC20</f>
        <v>0</v>
      </c>
      <c r="AD20" s="36">
        <f>MVTJANV25!AD20+MVTFEV25!AD20+MVTMARS25!AD20+MVTAVRIL25!AD20+MVTMAI25!AD20+MVTJUIN25!AD20+MVTJUIL25!AD20+MVTAOUT25!AD20+MVTSEPT25!AD20+MVTOCT25!AD20+MVTNOV25!AD20+MVTDEC25!AD20</f>
        <v>0</v>
      </c>
      <c r="AE20" s="36">
        <f>MVTJANV25!AE20+MVTFEV25!AE20+MVTMARS25!AE20+MVTAVRIL25!AE20+MVTMAI25!AE20+MVTJUIN25!AE20+MVTJUIL25!AE20+MVTAOUT25!AE20+MVTSEPT25!AE20+MVTOCT25!AE20+MVTNOV25!AE20+MVTDEC25!AE20</f>
        <v>0</v>
      </c>
      <c r="AF20" s="36">
        <f>MVTJANV25!AF20+MVTFEV25!AF20+MVTMARS25!AF20+MVTAVRIL25!AF20+MVTMAI25!AF20+MVTJUIN25!AF20+MVTJUIL25!AF20+MVTAOUT25!AF20+MVTSEPT25!AF20+MVTOCT25!AF20+MVTNOV25!AF20+MVTDEC25!AF20</f>
        <v>0</v>
      </c>
      <c r="AG20" s="36">
        <f>MVTJANV25!AG20+MVTFEV25!AG20+MVTMARS25!AG20+MVTAVRIL25!AG20+MVTMAI25!AG20+MVTJUIN25!AG20+MVTJUIL25!AG20+MVTAOUT25!AG20+MVTSEPT25!AG20+MVTOCT25!AG20+MVTNOV25!AG20+MVTDEC25!AG20</f>
        <v>0</v>
      </c>
      <c r="AH20" s="36">
        <f>MVTJANV25!AH20+MVTFEV25!AH20+MVTMARS25!AH20+MVTAVRIL25!AH20+MVTMAI25!AH20+MVTJUIN25!AH20+MVTJUIL25!AH20+MVTAOUT25!AH20+MVTSEPT25!AH20+MVTOCT25!AH20+MVTNOV25!AH20+MVTDEC25!AH20</f>
        <v>0</v>
      </c>
      <c r="AI20" s="36">
        <f>MVTJANV25!AI20+MVTFEV25!AI20+MVTMARS25!AI20+MVTAVRIL25!AI20+MVTMAI25!AI20+MVTJUIN25!AI20+MVTJUIL25!AI20+MVTAOUT25!AI20+MVTSEPT25!AI20+MVTOCT25!AI20+MVTNOV25!AI20+MVTDEC25!AI20</f>
        <v>0</v>
      </c>
      <c r="AJ20" s="36">
        <f>MVTJANV25!AJ20+MVTFEV25!AJ20+MVTMARS25!AJ20+MVTAVRIL25!AJ20+MVTMAI25!AJ20+MVTJUIN25!AJ20+MVTJUIL25!AJ20+MVTAOUT25!AJ20+MVTSEPT25!AJ20+MVTOCT25!AJ20+MVTNOV25!AJ20+MVTDEC25!AJ20</f>
        <v>0</v>
      </c>
      <c r="AK20" s="36">
        <f>MVTJANV25!AK20+MVTFEV25!AK20+MVTMARS25!AK20+MVTAVRIL25!AK20+MVTMAI25!AK20+MVTJUIN25!AK20+MVTJUIL25!AK20+MVTAOUT25!AK20+MVTSEPT25!AK20+MVTOCT25!AK20+MVTNOV25!AK20+MVTDEC25!AK20</f>
        <v>0</v>
      </c>
    </row>
    <row r="21" spans="1:39" s="14" customFormat="1" x14ac:dyDescent="0.35">
      <c r="A21" s="12" t="s">
        <v>329</v>
      </c>
      <c r="B21" s="12" t="str">
        <f>VLOOKUP(A21,[24]LISTADHERENT!A$5:H$60,3,0)</f>
        <v>MASSEUNGOUE DAGOBERT</v>
      </c>
      <c r="C21" s="13">
        <f>+MVTDEC24!C21</f>
        <v>0</v>
      </c>
      <c r="D21" s="36">
        <f>+MVTDEC24!D21</f>
        <v>198625</v>
      </c>
      <c r="E21" s="13">
        <f>MVTJANV25!E21+MVTFEV25!E21+MVTMARS25!E21+MVTAVRIL25!E21+MVTMAI25!E21+MVTJUIN25!E21+MVTJUIL25!E21+MVTAOUT25!E21+MVTSEPT25!E21+MVTOCT25!E21+MVTNOV25!E21+MVTDEC25!E21</f>
        <v>0</v>
      </c>
      <c r="F21" s="36">
        <f>MVTJANV25!F21+MVTFEV25!F21+MVTMARS25!F21+MVTAVRIL25!F21+MVTMAI25!F21+MVTJUIN25!F21+MVTJUIL25!F21+MVTAOUT25!F21+MVTSEPT25!F21+MVTOCT25!F21+MVTNOV25!F21+MVTDEC25!F21</f>
        <v>13722374.33381452</v>
      </c>
      <c r="G21" s="5">
        <f>MVTJANV25!G21+MVTFEV25!G21+MVTMARS25!G21+MVTAVRIL25!G21+MVTMAI25!G21+MVTJUIN25!G21+MVTJUIL25!G21+MVTAOUT25!G21+MVTSEPT25!G21+MVTOCT25!G21+MVTNOV25!G21+MVTDEC25!G21</f>
        <v>13273110.220728267</v>
      </c>
      <c r="H21" s="36">
        <f>MVTDEC24!H21+MVTJANV25!H21+MVTFEV25!H21+MVTMARS25!H21+MVTAVRIL25!H21+MVTMAI25!H21+MVTJUIN25!H21+MVTJUIL25!H21+MVTAOUT25!H21+MVTSEPT25!H21+MVTOCT25!H21+MVTNOV25!H21</f>
        <v>34069.06612705579</v>
      </c>
      <c r="I21" s="187">
        <f t="shared" si="0"/>
        <v>13756443.399941577</v>
      </c>
      <c r="J21" s="13">
        <f>MVTJANV25!J21+MVTFEV25!J21+MVTMARS25!J21+MVTAVRIL25!J21+MVTMAI25!J21+MVTJUIN25!J21+MVTJUIL25!J21+MVTAOUT25!J21+MVTSEPT25!J21+MVTOCT25!J21+MVTNOV25!J21+MVTDEC25!J21</f>
        <v>0</v>
      </c>
      <c r="K21" s="13">
        <f>MVTJANV25!K21+MVTFEV25!K21+MVTMARS25!K21+MVTAVRIL25!K21+MVTMAI25!K21+MVTJUIN25!K21+MVTJUIL25!K21+MVTAOUT25!K21+MVTSEPT25!K21+MVTOCT25!K21+MVTNOV25!K21+MVTDEC25!K21</f>
        <v>900000</v>
      </c>
      <c r="L21" s="36">
        <f>MVTJANV25!L21+MVTFEV25!L21+MVTMARS25!L21+MVTAVRIL25!L21+MVTMAI25!L21+MVTJUIN25!L21+MVTJUIL25!L21+MVTAOUT25!L21+MVTSEPT25!L21+MVTOCT25!L21+MVTNOV25!L21+MVTDEC25!L21</f>
        <v>1026625</v>
      </c>
      <c r="M21" s="13">
        <f>MVTJANV25!M21+MVTFEV25!M21+MVTMARS25!M21+MVTAVRIL25!M21+MVTMAI25!M21+MVTJUIN25!M21+MVTJUIL25!M21+MVTAOUT25!M21+MVTSEPT25!M21+MVTOCT25!M21+MVTNOV25!M21+MVTDEC25!M21</f>
        <v>12000</v>
      </c>
      <c r="N21" s="13">
        <f>MVTJANV25!N21+MVTFEV25!N21+MVTMARS25!N21+MVTAVRIL25!N21+MVTMAI25!N21+MVTJUIN25!N21+MVTJUIL25!N21+MVTAOUT25!N21+MVTSEPT25!N21+MVTOCT25!N21+MVTNOV25!N21+MVTDEC25!N21</f>
        <v>12000</v>
      </c>
      <c r="O21" s="13">
        <f>MVTJANV25!O21+MVTFEV25!O21+MVTMARS25!O21+MVTAVRIL25!O21+MVTMAI25!O21+MVTJUIN25!O21+MVTJUIL25!O21+MVTAOUT25!O21+MVTSEPT25!O21+MVTOCT25!O21+MVTNOV25!O21+MVTDEC25!O21</f>
        <v>48000</v>
      </c>
      <c r="P21" s="13">
        <f>MVTJANV25!P21+MVTFEV25!P21+MVTMARS25!P21+MVTAVRIL25!P21+MVTMAI25!P21+MVTJUIN25!P21+MVTJUIL25!P21+MVTAOUT25!P21+MVTSEPT25!P21+MVTOCT25!P21+MVTNOV25!P21+MVTDEC25!P21</f>
        <v>0</v>
      </c>
      <c r="Q21" s="13">
        <f>MVTJANV25!Q21+MVTFEV25!Q21+MVTMARS25!Q21+MVTAVRIL25!Q21+MVTMAI25!Q21+MVTJUIN25!Q21+MVTJUIL25!Q21+MVTAOUT25!Q21+MVTSEPT25!Q21+MVTOCT25!Q21+MVTNOV25!Q21+MVTDEC25!Q21</f>
        <v>0</v>
      </c>
      <c r="R21" s="13">
        <f>MVTJANV25!R21+MVTFEV25!R21+MVTMARS25!R21+MVTAVRIL25!R21+MVTMAI25!R21+MVTJUIN25!R21+MVTJUIL25!R21+MVTAOUT25!R21+MVTSEPT25!R21+MVTOCT25!R21+MVTNOV25!R21+MVTDEC25!R21</f>
        <v>0</v>
      </c>
      <c r="S21" s="36">
        <f>MVTDEC24!S21+MVTJANV25!S21+MVTFEV25!S21+MVTMARS25!S21+MVTAVRIL25!S21+MVTMAI25!S21+MVTJUIN25!S21+MVTJUIL25!S21+MVTAOUT25!S21+MVTSEPT25!S21+MVTOCT25!S21+MVTNOV25!S21</f>
        <v>300000</v>
      </c>
      <c r="T21" s="36">
        <f>MVTDEC24!T21+MVTJANV25!T21+MVTFEV25!T21+MVTMARS25!T21+MVTAVRIL25!T21+MVTMAI25!T21+MVTJUIN25!T21+MVTJUIL25!T21+MVTAOUT25!T21+MVTSEPT25!T21+MVTOCT25!T21+MVTNOV25!T21</f>
        <v>9000</v>
      </c>
      <c r="U21" s="13">
        <f>MVTJANV25!U21+MVTFEV25!U21+MVTMARS25!U21+MVTAVRIL25!U21+MVTMAI25!U21+MVTJUIN25!U21+MVTJUIL25!U21+MVTAOUT25!U21+MVTSEPT25!U21+MVTOCT25!U21+MVTNOV25!U21+MVTDEC25!U21</f>
        <v>0</v>
      </c>
      <c r="V21" s="13">
        <f>MVTJANV25!V21+MVTFEV25!V21+MVTMARS25!V21+MVTAVRIL25!V21+MVTMAI25!V21+MVTJUIN25!V21+MVTJUIL25!V21+MVTAOUT25!V21+MVTSEPT25!V21+MVTOCT25!V21+MVTNOV25!V21+MVTDEC25!V21</f>
        <v>300000</v>
      </c>
      <c r="W21" s="13">
        <f t="shared" si="1"/>
        <v>0</v>
      </c>
      <c r="X21" s="13"/>
      <c r="Y21" s="13">
        <f>MVTJANV25!Y21+MVTFEV25!Y21+MVTMARS25!Y21+MVTAVRIL25!Y21+MVTMAI25!Y21+MVTJUIN25!Y21+MVTJUIL25!Y21+MVTAOUT25!Y21+MVTSEPT25!Y21+MVTOCT25!Y21+MVTNOV25!Y21+MVTDEC25!Y21</f>
        <v>0</v>
      </c>
      <c r="Z21" s="13">
        <f>MVTJANV25!Z21+MVTFEV25!Z21+MVTMARS25!Z21+MVTAVRIL25!Z21+MVTMAI25!Z21+MVTJUIN25!Z21+MVTJUIL25!Z21+MVTAOUT25!Z21+MVTSEPT25!Z21+MVTOCT25!Z21+MVTNOV25!Z21+MVTDEC25!Z21</f>
        <v>0</v>
      </c>
      <c r="AA21" s="13">
        <f>MVTJANV25!AA21+MVTFEV25!AA21+MVTMARS25!AA21+MVTAVRIL25!AA21+MVTMAI25!AA21+MVTJUIN25!AA21+MVTJUIL25!AA21+MVTAOUT25!AA21+MVTSEPT25!AA21+MVTOCT25!AA21+MVTNOV25!AA21+MVTDEC25!AA21</f>
        <v>0</v>
      </c>
      <c r="AB21" s="13">
        <f>MVTJANV25!AB21+MVTFEV25!AB21+MVTMARS25!AB21+MVTAVRIL25!AB21+MVTMAI25!AB21+MVTJUIN25!AB21+MVTJUIL25!AB21+MVTAOUT25!AB21+MVTSEPT25!AB21+MVTOCT25!AB21+MVTNOV25!AB21+MVTDEC25!AB21</f>
        <v>0</v>
      </c>
      <c r="AC21" s="13">
        <f>MVTJANV25!AC21+MVTFEV25!AC21+MVTMARS25!AC21+MVTAVRIL25!AC21+MVTMAI25!AC21+MVTJUIN25!AC21+MVTJUIL25!AC21+MVTAOUT25!AC21+MVTSEPT25!AC21+MVTOCT25!AC21+MVTNOV25!AC21+MVTDEC25!AC21</f>
        <v>0</v>
      </c>
      <c r="AD21" s="13">
        <f>MVTJANV25!AD21+MVTFEV25!AD21+MVTMARS25!AD21+MVTAVRIL25!AD21+MVTMAI25!AD21+MVTJUIN25!AD21+MVTJUIL25!AD21+MVTAOUT25!AD21+MVTSEPT25!AD21+MVTOCT25!AD21+MVTNOV25!AD21+MVTDEC25!AD21</f>
        <v>0</v>
      </c>
      <c r="AE21" s="13">
        <f>MVTJANV25!AE21+MVTFEV25!AE21+MVTMARS25!AE21+MVTAVRIL25!AE21+MVTMAI25!AE21+MVTJUIN25!AE21+MVTJUIL25!AE21+MVTAOUT25!AE21+MVTSEPT25!AE21+MVTOCT25!AE21+MVTNOV25!AE21+MVTDEC25!AE21</f>
        <v>0</v>
      </c>
      <c r="AF21" s="13">
        <f>MVTJANV25!AF21+MVTFEV25!AF21+MVTMARS25!AF21+MVTAVRIL25!AF21+MVTMAI25!AF21+MVTJUIN25!AF21+MVTJUIL25!AF21+MVTAOUT25!AF21+MVTSEPT25!AF21+MVTOCT25!AF21+MVTNOV25!AF21+MVTDEC25!AF21</f>
        <v>0</v>
      </c>
      <c r="AG21" s="13">
        <f>MVTJANV25!AG21+MVTFEV25!AG21+MVTMARS25!AG21+MVTAVRIL25!AG21+MVTMAI25!AG21+MVTJUIN25!AG21+MVTJUIL25!AG21+MVTAOUT25!AG21+MVTSEPT25!AG21+MVTOCT25!AG21+MVTNOV25!AG21+MVTDEC25!AG21</f>
        <v>0</v>
      </c>
      <c r="AH21" s="13">
        <f>MVTJANV25!AH21+MVTFEV25!AH21+MVTMARS25!AH21+MVTAVRIL25!AH21+MVTMAI25!AH21+MVTJUIN25!AH21+MVTJUIL25!AH21+MVTAOUT25!AH21+MVTSEPT25!AH21+MVTOCT25!AH21+MVTNOV25!AH21+MVTDEC25!AH21</f>
        <v>0</v>
      </c>
      <c r="AI21" s="13">
        <f>MVTJANV25!AI21+MVTFEV25!AI21+MVTMARS25!AI21+MVTAVRIL25!AI21+MVTMAI25!AI21+MVTJUIN25!AI21+MVTJUIL25!AI21+MVTAOUT25!AI21+MVTSEPT25!AI21+MVTOCT25!AI21+MVTNOV25!AI21+MVTDEC25!AI21</f>
        <v>0</v>
      </c>
      <c r="AJ21" s="13">
        <f>MVTJANV25!AJ21+MVTFEV25!AJ21+MVTMARS25!AJ21+MVTAVRIL25!AJ21+MVTMAI25!AJ21+MVTJUIN25!AJ21+MVTJUIL25!AJ21+MVTAOUT25!AJ21+MVTSEPT25!AJ21+MVTOCT25!AJ21+MVTNOV25!AJ21+MVTDEC25!AJ21</f>
        <v>0</v>
      </c>
      <c r="AK21" s="13">
        <f>MVTJANV25!AK21+MVTFEV25!AK21+MVTMARS25!AK21+MVTAVRIL25!AK21+MVTMAI25!AK21+MVTJUIN25!AK21+MVTJUIL25!AK21+MVTAOUT25!AK21+MVTSEPT25!AK21+MVTOCT25!AK21+MVTNOV25!AK21+MVTDEC25!AK21</f>
        <v>0</v>
      </c>
      <c r="AM21" s="11"/>
    </row>
    <row r="22" spans="1:39" ht="15.5" x14ac:dyDescent="0.35">
      <c r="A22" s="1" t="s">
        <v>75</v>
      </c>
      <c r="B22" s="1" t="str">
        <f>VLOOKUP(A22,[24]LISTADHERENT!A$5:H$60,3,0)</f>
        <v>MBOGNING TUGMA GUY</v>
      </c>
      <c r="C22" s="36">
        <f>+MVTDEC24!C22</f>
        <v>800000</v>
      </c>
      <c r="D22" s="36">
        <f>+MVTDEC24!D22</f>
        <v>8501</v>
      </c>
      <c r="E22" s="36">
        <f>MVTJANV25!E22+MVTFEV25!E22+MVTMARS25!E22+MVTAVRIL25!E22+MVTMAI25!E22+MVTJUIN25!E22+MVTJUIL25!E22+MVTAOUT25!E22+MVTSEPT25!E22+MVTOCT25!E22+MVTNOV25!E22+MVTDEC25!E22</f>
        <v>0</v>
      </c>
      <c r="F22" s="36">
        <f>MVTJANV25!F22+MVTFEV25!F22+MVTMARS25!F22+MVTAVRIL25!F22+MVTMAI25!F22+MVTJUIN25!F22+MVTJUIL25!F22+MVTAOUT25!F22+MVTSEPT25!F22+MVTOCT25!F22+MVTNOV25!F22+MVTDEC25!F22</f>
        <v>11901155.119929681</v>
      </c>
      <c r="G22" s="5">
        <f>MVTJANV25!G22+MVTFEV25!G22+MVTMARS25!G22+MVTAVRIL25!G22+MVTMAI25!G22+MVTJUIN25!G22+MVTJUIL25!G22+MVTAOUT25!G22+MVTSEPT25!G22+MVTOCT25!G22+MVTNOV25!G22+MVTDEC25!G22</f>
        <v>11442600.795213612</v>
      </c>
      <c r="H22" s="36">
        <f>MVTDEC24!H22+MVTJANV25!H22+MVTFEV25!H22+MVTMARS25!H22+MVTAVRIL25!H22+MVTMAI25!H22+MVTJUIN25!H22+MVTJUIL25!H22+MVTAOUT25!H22+MVTSEPT25!H22+MVTOCT25!H22+MVTNOV25!H22</f>
        <v>68173.077041563185</v>
      </c>
      <c r="I22" s="184">
        <f t="shared" si="0"/>
        <v>11969328.196971243</v>
      </c>
      <c r="J22" s="36">
        <f>MVTJANV25!J22+MVTFEV25!J22+MVTMARS25!J22+MVTAVRIL25!J22+MVTMAI25!J22+MVTJUIN25!J22+MVTJUIL25!J22+MVTAOUT25!J22+MVTSEPT25!J22+MVTOCT25!J22+MVTNOV25!J22+MVTDEC25!J22</f>
        <v>0</v>
      </c>
      <c r="K22" s="36">
        <f>MVTJANV25!K22+MVTFEV25!K22+MVTMARS25!K22+MVTAVRIL25!K22+MVTMAI25!K22+MVTJUIN25!K22+MVTJUIL25!K22+MVTAOUT25!K22+MVTSEPT25!K22+MVTOCT25!K22+MVTNOV25!K22+MVTDEC25!K22</f>
        <v>304900</v>
      </c>
      <c r="L22" s="36">
        <f>MVTJANV25!L22+MVTFEV25!L22+MVTMARS25!L22+MVTAVRIL25!L22+MVTMAI25!L22+MVTJUIN25!L22+MVTJUIL25!L22+MVTAOUT25!L22+MVTSEPT25!L22+MVTOCT25!L22+MVTNOV25!L22+MVTDEC25!L22</f>
        <v>232900</v>
      </c>
      <c r="M22" s="36">
        <f>MVTJANV25!M22+MVTFEV25!M22+MVTMARS25!M22+MVTAVRIL25!M22+MVTMAI25!M22+MVTJUIN25!M22+MVTJUIL25!M22+MVTAOUT25!M22+MVTSEPT25!M22+MVTOCT25!M22+MVTNOV25!M22+MVTDEC25!M22</f>
        <v>12000</v>
      </c>
      <c r="N22" s="36">
        <f>MVTJANV25!N22+MVTFEV25!N22+MVTMARS25!N22+MVTAVRIL25!N22+MVTMAI25!N22+MVTJUIN25!N22+MVTJUIL25!N22+MVTAOUT25!N22+MVTSEPT25!N22+MVTOCT25!N22+MVTNOV25!N22+MVTDEC25!N22</f>
        <v>12000</v>
      </c>
      <c r="O22" s="36">
        <f>MVTJANV25!O22+MVTFEV25!O22+MVTMARS25!O22+MVTAVRIL25!O22+MVTMAI25!O22+MVTJUIN25!O22+MVTJUIL25!O22+MVTAOUT25!O22+MVTSEPT25!O22+MVTOCT25!O22+MVTNOV25!O22+MVTDEC25!O22</f>
        <v>48000</v>
      </c>
      <c r="P22" s="36">
        <f>MVTJANV25!P22+MVTFEV25!P22+MVTMARS25!P22+MVTAVRIL25!P22+MVTMAI25!P22+MVTJUIN25!P22+MVTJUIL25!P22+MVTAOUT25!P22+MVTSEPT25!P22+MVTOCT25!P22+MVTNOV25!P22+MVTDEC25!P22</f>
        <v>6000</v>
      </c>
      <c r="Q22" s="36">
        <f>MVTJANV25!Q22+MVTFEV25!Q22+MVTMARS25!Q22+MVTAVRIL25!Q22+MVTMAI25!Q22+MVTJUIN25!Q22+MVTJUIL25!Q22+MVTAOUT25!Q22+MVTSEPT25!Q22+MVTOCT25!Q22+MVTNOV25!Q22+MVTDEC25!Q22</f>
        <v>0</v>
      </c>
      <c r="R22" s="36">
        <f>MVTJANV25!R22+MVTFEV25!R22+MVTMARS25!R22+MVTAVRIL25!R22+MVTMAI25!R22+MVTJUIN25!R22+MVTJUIL25!R22+MVTAOUT25!R22+MVTSEPT25!R22+MVTOCT25!R22+MVTNOV25!R22+MVTDEC25!R22</f>
        <v>0</v>
      </c>
      <c r="S22" s="36">
        <f>MVTDEC24!S22+MVTJANV25!S22+MVTFEV25!S22+MVTMARS25!S22+MVTAVRIL25!S22+MVTMAI25!S22+MVTJUIN25!S22+MVTJUIL25!S22+MVTAOUT25!S22+MVTSEPT25!S22+MVTOCT25!S22+MVTNOV25!S22</f>
        <v>4000000</v>
      </c>
      <c r="T22" s="36">
        <f>MVTDEC24!T22+MVTJANV25!T22+MVTFEV25!T22+MVTMARS25!T22+MVTAVRIL25!T22+MVTMAI25!T22+MVTJUIN25!T22+MVTJUIL25!T22+MVTAOUT25!T22+MVTSEPT25!T22+MVTOCT25!T22+MVTNOV25!T22</f>
        <v>120000</v>
      </c>
      <c r="U22" s="36">
        <f>MVTJANV25!U22+MVTFEV25!U22+MVTMARS25!U22+MVTAVRIL25!U22+MVTMAI25!U22+MVTJUIN25!U22+MVTJUIL25!U22+MVTAOUT25!U22+MVTSEPT25!U22+MVTOCT25!U22+MVTNOV25!U22+MVTDEC25!U22</f>
        <v>0</v>
      </c>
      <c r="V22" s="36">
        <f>MVTJANV25!V22+MVTFEV25!V22+MVTMARS25!V22+MVTAVRIL25!V22+MVTMAI25!V22+MVTJUIN25!V22+MVTJUIL25!V22+MVTAOUT25!V22+MVTSEPT25!V22+MVTOCT25!V22+MVTNOV25!V22+MVTDEC25!V22</f>
        <v>4000000</v>
      </c>
      <c r="W22" s="36">
        <f t="shared" si="1"/>
        <v>0</v>
      </c>
      <c r="X22" s="186">
        <v>45827</v>
      </c>
      <c r="Y22" s="36">
        <f>MVTJANV25!Y22+MVTFEV25!Y22+MVTMARS25!Y22+MVTAVRIL25!Y22+MVTMAI25!Y22+MVTJUIN25!Y22+MVTJUIL25!Y22+MVTAOUT25!Y22+MVTSEPT25!Y22+MVTOCT25!Y22+MVTNOV25!Y22+MVTDEC25!Y22</f>
        <v>0</v>
      </c>
      <c r="Z22" s="36">
        <f>MVTJANV25!Z22+MVTFEV25!Z22+MVTMARS25!Z22+MVTAVRIL25!Z22+MVTMAI25!Z22+MVTJUIN25!Z22+MVTJUIL25!Z22+MVTAOUT25!Z22+MVTSEPT25!Z22+MVTOCT25!Z22+MVTNOV25!Z22+MVTDEC25!Z22</f>
        <v>0</v>
      </c>
      <c r="AA22" s="36">
        <f>MVTJANV25!AA22+MVTFEV25!AA22+MVTMARS25!AA22+MVTAVRIL25!AA22+MVTMAI25!AA22+MVTJUIN25!AA22+MVTJUIL25!AA22+MVTAOUT25!AA22+MVTSEPT25!AA22+MVTOCT25!AA22+MVTNOV25!AA22+MVTDEC25!AA22</f>
        <v>0</v>
      </c>
      <c r="AB22" s="36">
        <f>MVTJANV25!AB22+MVTFEV25!AB22+MVTMARS25!AB22+MVTAVRIL25!AB22+MVTMAI25!AB22+MVTJUIN25!AB22+MVTJUIL25!AB22+MVTAOUT25!AB22+MVTSEPT25!AB22+MVTOCT25!AB22+MVTNOV25!AB22+MVTDEC25!AB22</f>
        <v>0</v>
      </c>
      <c r="AC22" s="36">
        <f>MVTJANV25!AC22+MVTFEV25!AC22+MVTMARS25!AC22+MVTAVRIL25!AC22+MVTMAI25!AC22+MVTJUIN25!AC22+MVTJUIL25!AC22+MVTAOUT25!AC22+MVTSEPT25!AC22+MVTOCT25!AC22+MVTNOV25!AC22+MVTDEC25!AC22</f>
        <v>0</v>
      </c>
      <c r="AD22" s="36">
        <f>MVTJANV25!AD22+MVTFEV25!AD22+MVTMARS25!AD22+MVTAVRIL25!AD22+MVTMAI25!AD22+MVTJUIN25!AD22+MVTJUIL25!AD22+MVTAOUT25!AD22+MVTSEPT25!AD22+MVTOCT25!AD22+MVTNOV25!AD22+MVTDEC25!AD22</f>
        <v>0</v>
      </c>
      <c r="AE22" s="36">
        <f>MVTJANV25!AE22+MVTFEV25!AE22+MVTMARS25!AE22+MVTAVRIL25!AE22+MVTMAI25!AE22+MVTJUIN25!AE22+MVTJUIL25!AE22+MVTAOUT25!AE22+MVTSEPT25!AE22+MVTOCT25!AE22+MVTNOV25!AE22+MVTDEC25!AE22</f>
        <v>0</v>
      </c>
      <c r="AF22" s="36">
        <f>MVTJANV25!AF22+MVTFEV25!AF22+MVTMARS25!AF22+MVTAVRIL25!AF22+MVTMAI25!AF22+MVTJUIN25!AF22+MVTJUIL25!AF22+MVTAOUT25!AF22+MVTSEPT25!AF22+MVTOCT25!AF22+MVTNOV25!AF22+MVTDEC25!AF22</f>
        <v>0</v>
      </c>
      <c r="AG22" s="36">
        <f>MVTJANV25!AG22+MVTFEV25!AG22+MVTMARS25!AG22+MVTAVRIL25!AG22+MVTMAI25!AG22+MVTJUIN25!AG22+MVTJUIL25!AG22+MVTAOUT25!AG22+MVTSEPT25!AG22+MVTOCT25!AG22+MVTNOV25!AG22+MVTDEC25!AG22</f>
        <v>0</v>
      </c>
      <c r="AH22" s="36">
        <f>MVTJANV25!AH22+MVTFEV25!AH22+MVTMARS25!AH22+MVTAVRIL25!AH22+MVTMAI25!AH22+MVTJUIN25!AH22+MVTJUIL25!AH22+MVTAOUT25!AH22+MVTSEPT25!AH22+MVTOCT25!AH22+MVTNOV25!AH22+MVTDEC25!AH22</f>
        <v>0</v>
      </c>
      <c r="AI22" s="36">
        <f>MVTJANV25!AI22+MVTFEV25!AI22+MVTMARS25!AI22+MVTAVRIL25!AI22+MVTMAI25!AI22+MVTJUIN25!AI22+MVTJUIL25!AI22+MVTAOUT25!AI22+MVTSEPT25!AI22+MVTOCT25!AI22+MVTNOV25!AI22+MVTDEC25!AI22</f>
        <v>0</v>
      </c>
      <c r="AJ22" s="36">
        <f>MVTJANV25!AJ22+MVTFEV25!AJ22+MVTMARS25!AJ22+MVTAVRIL25!AJ22+MVTMAI25!AJ22+MVTJUIN25!AJ22+MVTJUIL25!AJ22+MVTAOUT25!AJ22+MVTSEPT25!AJ22+MVTOCT25!AJ22+MVTNOV25!AJ22+MVTDEC25!AJ22</f>
        <v>0</v>
      </c>
      <c r="AK22" s="36">
        <f>MVTJANV25!AK22+MVTFEV25!AK22+MVTMARS25!AK22+MVTAVRIL25!AK22+MVTMAI25!AK22+MVTJUIN25!AK22+MVTJUIL25!AK22+MVTAOUT25!AK22+MVTSEPT25!AK22+MVTOCT25!AK22+MVTNOV25!AK22+MVTDEC25!AK22</f>
        <v>0</v>
      </c>
    </row>
    <row r="23" spans="1:39" x14ac:dyDescent="0.35">
      <c r="A23" s="1" t="s">
        <v>50</v>
      </c>
      <c r="B23" s="1" t="str">
        <f>VLOOKUP(A23,[24]LISTADHERENT!A$5:H$60,3,0)</f>
        <v>NANGUEN MARTIN</v>
      </c>
      <c r="C23" s="36">
        <f>+MVTDEC24!C23</f>
        <v>800000</v>
      </c>
      <c r="D23" s="36">
        <f>+MVTDEC24!D23</f>
        <v>7819</v>
      </c>
      <c r="E23" s="36">
        <f>MVTJANV25!E23+MVTFEV25!E23+MVTMARS25!E23+MVTAVRIL25!E23+MVTMAI25!E23+MVTJUIN25!E23+MVTJUIL25!E23+MVTAOUT25!E23+MVTSEPT25!E23+MVTOCT25!E23+MVTNOV25!E23+MVTDEC25!E23</f>
        <v>0</v>
      </c>
      <c r="F23" s="36">
        <f>MVTJANV25!F23+MVTFEV25!F23+MVTMARS25!F23+MVTAVRIL25!F23+MVTMAI25!F23+MVTJUIN25!F23+MVTJUIL25!F23+MVTAOUT25!F23+MVTSEPT25!F23+MVTOCT25!F23+MVTNOV25!F23+MVTDEC25!F23</f>
        <v>11876082.178108374</v>
      </c>
      <c r="G23" s="5">
        <f>MVTJANV25!G23+MVTFEV25!G23+MVTMARS25!G23+MVTAVRIL25!G23+MVTMAI25!G23+MVTJUIN25!G23+MVTJUIL25!G23+MVTAOUT25!G23+MVTSEPT25!G23+MVTOCT25!G23+MVTNOV25!G23+MVTDEC25!G23</f>
        <v>11430964.556963107</v>
      </c>
      <c r="H23" s="36">
        <f>MVTDEC24!H23+MVTJANV25!H23+MVTFEV25!H23+MVTMARS25!H23+MVTAVRIL25!H23+MVTMAI25!H23+MVTJUIN25!H23+MVTJUIL25!H23+MVTAOUT25!H23+MVTSEPT25!H23+MVTOCT25!H23+MVTNOV25!H23</f>
        <v>68105.833695305773</v>
      </c>
      <c r="I23" s="184">
        <f t="shared" si="0"/>
        <v>11944188.011803679</v>
      </c>
      <c r="J23" s="36">
        <f>MVTJANV25!J23+MVTFEV25!J23+MVTMARS25!J23+MVTAVRIL25!J23+MVTMAI25!J23+MVTJUIN25!J23+MVTJUIL25!J23+MVTAOUT25!J23+MVTSEPT25!J23+MVTOCT25!J23+MVTNOV25!J23+MVTDEC25!J23</f>
        <v>0</v>
      </c>
      <c r="K23" s="36">
        <f>MVTJANV25!K23+MVTFEV25!K23+MVTMARS25!K23+MVTAVRIL25!K23+MVTMAI25!K23+MVTJUIN25!K23+MVTJUIL25!K23+MVTAOUT25!K23+MVTSEPT25!K23+MVTOCT25!K23+MVTNOV25!K23+MVTDEC25!K23</f>
        <v>300000</v>
      </c>
      <c r="L23" s="36">
        <f>MVTJANV25!L23+MVTFEV25!L23+MVTMARS25!L23+MVTAVRIL25!L23+MVTMAI25!L23+MVTJUIN25!L23+MVTJUIL25!L23+MVTAOUT25!L23+MVTSEPT25!L23+MVTOCT25!L23+MVTNOV25!L23+MVTDEC25!L23</f>
        <v>228000</v>
      </c>
      <c r="M23" s="36">
        <f>MVTJANV25!M23+MVTFEV25!M23+MVTMARS25!M23+MVTAVRIL25!M23+MVTMAI25!M23+MVTJUIN25!M23+MVTJUIL25!M23+MVTAOUT25!M23+MVTSEPT25!M23+MVTOCT25!M23+MVTNOV25!M23+MVTDEC25!M23</f>
        <v>12000</v>
      </c>
      <c r="N23" s="36">
        <f>MVTJANV25!N23+MVTFEV25!N23+MVTMARS25!N23+MVTAVRIL25!N23+MVTMAI25!N23+MVTJUIN25!N23+MVTJUIL25!N23+MVTAOUT25!N23+MVTSEPT25!N23+MVTOCT25!N23+MVTNOV25!N23+MVTDEC25!N23</f>
        <v>12000</v>
      </c>
      <c r="O23" s="36">
        <f>MVTJANV25!O23+MVTFEV25!O23+MVTMARS25!O23+MVTAVRIL25!O23+MVTMAI25!O23+MVTJUIN25!O23+MVTJUIL25!O23+MVTAOUT25!O23+MVTSEPT25!O23+MVTOCT25!O23+MVTNOV25!O23+MVTDEC25!O23</f>
        <v>48000</v>
      </c>
      <c r="P23" s="36">
        <f>MVTJANV25!P23+MVTFEV25!P23+MVTMARS25!P23+MVTAVRIL25!P23+MVTMAI25!P23+MVTJUIN25!P23+MVTJUIL25!P23+MVTAOUT25!P23+MVTSEPT25!P23+MVTOCT25!P23+MVTNOV25!P23+MVTDEC25!P23</f>
        <v>3000</v>
      </c>
      <c r="Q23" s="36">
        <f>MVTJANV25!Q23+MVTFEV25!Q23+MVTMARS25!Q23+MVTAVRIL25!Q23+MVTMAI25!Q23+MVTJUIN25!Q23+MVTJUIL25!Q23+MVTAOUT25!Q23+MVTSEPT25!Q23+MVTOCT25!Q23+MVTNOV25!Q23+MVTDEC25!Q23</f>
        <v>0</v>
      </c>
      <c r="R23" s="36">
        <f>MVTJANV25!R23+MVTFEV25!R23+MVTMARS25!R23+MVTAVRIL25!R23+MVTMAI25!R23+MVTJUIN25!R23+MVTJUIL25!R23+MVTAOUT25!R23+MVTSEPT25!R23+MVTOCT25!R23+MVTNOV25!R23+MVTDEC25!R23</f>
        <v>0</v>
      </c>
      <c r="S23" s="36">
        <f>MVTDEC24!S23+MVTJANV25!S23+MVTFEV25!S23+MVTMARS25!S23+MVTAVRIL25!S23+MVTMAI25!S23+MVTJUIN25!S23+MVTJUIL25!S23+MVTAOUT25!S23+MVTSEPT25!S23+MVTOCT25!S23+MVTNOV25!S23</f>
        <v>0</v>
      </c>
      <c r="T23" s="36">
        <f>MVTDEC24!T23+MVTJANV25!T23+MVTFEV25!T23+MVTMARS25!T23+MVTAVRIL25!T23+MVTMAI25!T23+MVTJUIN25!T23+MVTJUIL25!T23+MVTAOUT25!T23+MVTSEPT25!T23+MVTOCT25!T23+MVTNOV25!T23</f>
        <v>0</v>
      </c>
      <c r="U23" s="36">
        <f>MVTJANV25!U23+MVTFEV25!U23+MVTMARS25!U23+MVTAVRIL25!U23+MVTMAI25!U23+MVTJUIN25!U23+MVTJUIL25!U23+MVTAOUT25!U23+MVTSEPT25!U23+MVTOCT25!U23+MVTNOV25!U23+MVTDEC25!U23</f>
        <v>0</v>
      </c>
      <c r="V23" s="36">
        <f>MVTJANV25!V23+MVTFEV25!V23+MVTMARS25!V23+MVTAVRIL25!V23+MVTMAI25!V23+MVTJUIN25!V23+MVTJUIL25!V23+MVTAOUT25!V23+MVTSEPT25!V23+MVTOCT25!V23+MVTNOV25!V23+MVTDEC25!V23</f>
        <v>0</v>
      </c>
      <c r="W23" s="36">
        <f t="shared" si="1"/>
        <v>0</v>
      </c>
      <c r="X23" s="36"/>
      <c r="Y23" s="36">
        <f>MVTJANV25!Y23+MVTFEV25!Y23+MVTMARS25!Y23+MVTAVRIL25!Y23+MVTMAI25!Y23+MVTJUIN25!Y23+MVTJUIL25!Y23+MVTAOUT25!Y23+MVTSEPT25!Y23+MVTOCT25!Y23+MVTNOV25!Y23+MVTDEC25!Y23</f>
        <v>0</v>
      </c>
      <c r="Z23" s="36">
        <f>MVTJANV25!Z23+MVTFEV25!Z23+MVTMARS25!Z23+MVTAVRIL25!Z23+MVTMAI25!Z23+MVTJUIN25!Z23+MVTJUIL25!Z23+MVTAOUT25!Z23+MVTSEPT25!Z23+MVTOCT25!Z23+MVTNOV25!Z23+MVTDEC25!Z23</f>
        <v>0</v>
      </c>
      <c r="AA23" s="36">
        <f>MVTJANV25!AA23+MVTFEV25!AA23+MVTMARS25!AA23+MVTAVRIL25!AA23+MVTMAI25!AA23+MVTJUIN25!AA23+MVTJUIL25!AA23+MVTAOUT25!AA23+MVTSEPT25!AA23+MVTOCT25!AA23+MVTNOV25!AA23+MVTDEC25!AA23</f>
        <v>0</v>
      </c>
      <c r="AB23" s="36">
        <f>MVTJANV25!AB23+MVTFEV25!AB23+MVTMARS25!AB23+MVTAVRIL25!AB23+MVTMAI25!AB23+MVTJUIN25!AB23+MVTJUIL25!AB23+MVTAOUT25!AB23+MVTSEPT25!AB23+MVTOCT25!AB23+MVTNOV25!AB23+MVTDEC25!AB23</f>
        <v>0</v>
      </c>
      <c r="AC23" s="36">
        <f>MVTJANV25!AC23+MVTFEV25!AC23+MVTMARS25!AC23+MVTAVRIL25!AC23+MVTMAI25!AC23+MVTJUIN25!AC23+MVTJUIL25!AC23+MVTAOUT25!AC23+MVTSEPT25!AC23+MVTOCT25!AC23+MVTNOV25!AC23+MVTDEC25!AC23</f>
        <v>0</v>
      </c>
      <c r="AD23" s="36">
        <f>MVTJANV25!AD23+MVTFEV25!AD23+MVTMARS25!AD23+MVTAVRIL25!AD23+MVTMAI25!AD23+MVTJUIN25!AD23+MVTJUIL25!AD23+MVTAOUT25!AD23+MVTSEPT25!AD23+MVTOCT25!AD23+MVTNOV25!AD23+MVTDEC25!AD23</f>
        <v>0</v>
      </c>
      <c r="AE23" s="36">
        <f>MVTJANV25!AE23+MVTFEV25!AE23+MVTMARS25!AE23+MVTAVRIL25!AE23+MVTMAI25!AE23+MVTJUIN25!AE23+MVTJUIL25!AE23+MVTAOUT25!AE23+MVTSEPT25!AE23+MVTOCT25!AE23+MVTNOV25!AE23+MVTDEC25!AE23</f>
        <v>0</v>
      </c>
      <c r="AF23" s="36">
        <f>MVTJANV25!AF23+MVTFEV25!AF23+MVTMARS25!AF23+MVTAVRIL25!AF23+MVTMAI25!AF23+MVTJUIN25!AF23+MVTJUIL25!AF23+MVTAOUT25!AF23+MVTSEPT25!AF23+MVTOCT25!AF23+MVTNOV25!AF23+MVTDEC25!AF23</f>
        <v>0</v>
      </c>
      <c r="AG23" s="36">
        <f>MVTJANV25!AG23+MVTFEV25!AG23+MVTMARS25!AG23+MVTAVRIL25!AG23+MVTMAI25!AG23+MVTJUIN25!AG23+MVTJUIL25!AG23+MVTAOUT25!AG23+MVTSEPT25!AG23+MVTOCT25!AG23+MVTNOV25!AG23+MVTDEC25!AG23</f>
        <v>0</v>
      </c>
      <c r="AH23" s="36">
        <f>MVTJANV25!AH23+MVTFEV25!AH23+MVTMARS25!AH23+MVTAVRIL25!AH23+MVTMAI25!AH23+MVTJUIN25!AH23+MVTJUIL25!AH23+MVTAOUT25!AH23+MVTSEPT25!AH23+MVTOCT25!AH23+MVTNOV25!AH23+MVTDEC25!AH23</f>
        <v>0</v>
      </c>
      <c r="AI23" s="36">
        <f>MVTJANV25!AI23+MVTFEV25!AI23+MVTMARS25!AI23+MVTAVRIL25!AI23+MVTMAI25!AI23+MVTJUIN25!AI23+MVTJUIL25!AI23+MVTAOUT25!AI23+MVTSEPT25!AI23+MVTOCT25!AI23+MVTNOV25!AI23+MVTDEC25!AI23</f>
        <v>100000</v>
      </c>
      <c r="AJ23" s="36">
        <f>MVTJANV25!AJ23+MVTFEV25!AJ23+MVTMARS25!AJ23+MVTAVRIL25!AJ23+MVTMAI25!AJ23+MVTJUIN25!AJ23+MVTJUIL25!AJ23+MVTAOUT25!AJ23+MVTSEPT25!AJ23+MVTOCT25!AJ23+MVTNOV25!AJ23+MVTDEC25!AJ23</f>
        <v>0</v>
      </c>
      <c r="AK23" s="36">
        <f>MVTJANV25!AK23+MVTFEV25!AK23+MVTMARS25!AK23+MVTAVRIL25!AK23+MVTMAI25!AK23+MVTJUIN25!AK23+MVTJUIL25!AK23+MVTAOUT25!AK23+MVTSEPT25!AK23+MVTOCT25!AK23+MVTNOV25!AK23+MVTDEC25!AK23</f>
        <v>0</v>
      </c>
    </row>
    <row r="24" spans="1:39" x14ac:dyDescent="0.35">
      <c r="A24" s="1" t="s">
        <v>37</v>
      </c>
      <c r="B24" s="1" t="str">
        <f>VLOOKUP(A24,[24]LISTADHERENT!A$5:H$60,3,0)</f>
        <v>NANKAM APPOLINAIRE</v>
      </c>
      <c r="C24" s="36">
        <f>+MVTDEC24!C24</f>
        <v>800000</v>
      </c>
      <c r="D24" s="36">
        <f>+MVTDEC24!D24</f>
        <v>249258</v>
      </c>
      <c r="E24" s="36">
        <f>MVTJANV25!E24+MVTFEV25!E24+MVTMARS25!E24+MVTAVRIL25!E24+MVTMAI25!E24+MVTJUIN25!E24+MVTJUIL25!E24+MVTAOUT25!E24+MVTSEPT25!E24+MVTOCT25!E24+MVTNOV25!E24+MVTDEC25!E24</f>
        <v>1200000</v>
      </c>
      <c r="F24" s="36">
        <f>MVTJANV25!F24+MVTFEV25!F24+MVTMARS25!F24+MVTAVRIL25!F24+MVTMAI25!F24+MVTJUIN25!F24+MVTJUIL25!F24+MVTAOUT25!F24+MVTSEPT25!F24+MVTOCT25!F24+MVTNOV25!F24+MVTDEC25!F24</f>
        <v>12312654.222364482</v>
      </c>
      <c r="G24" s="5">
        <f>MVTJANV25!G24+MVTFEV25!G24+MVTMARS25!G24+MVTAVRIL25!G24+MVTMAI25!G24+MVTJUIN25!G24+MVTJUIL25!G24+MVTAOUT25!G24+MVTSEPT25!G24+MVTOCT25!G24+MVTNOV25!G24+MVTDEC25!G24</f>
        <v>11868959.630012579</v>
      </c>
      <c r="H24" s="36">
        <f>MVTDEC24!H24+MVTJANV25!H24+MVTFEV25!H24+MVTMARS25!H24+MVTAVRIL25!H24+MVTMAI25!H24+MVTJUIN25!H24+MVTJUIL25!H24+MVTAOUT25!H24+MVTSEPT25!H24+MVTOCT25!H24+MVTNOV25!H24</f>
        <v>80837.303523370079</v>
      </c>
      <c r="I24" s="184">
        <f t="shared" si="0"/>
        <v>12393491.525887853</v>
      </c>
      <c r="J24" s="36">
        <f>MVTJANV25!J24+MVTFEV25!J24+MVTMARS25!J24+MVTAVRIL25!J24+MVTMAI25!J24+MVTJUIN25!J24+MVTJUIL25!J24+MVTAOUT25!J24+MVTSEPT25!J24+MVTOCT25!J24+MVTNOV25!J24+MVTDEC25!J24</f>
        <v>0</v>
      </c>
      <c r="K24" s="36">
        <f>MVTJANV25!K24+MVTFEV25!K24+MVTMARS25!K24+MVTAVRIL25!K24+MVTMAI25!K24+MVTJUIN25!K24+MVTJUIL25!K24+MVTAOUT25!K24+MVTSEPT25!K24+MVTOCT25!K24+MVTNOV25!K24+MVTDEC25!K24</f>
        <v>1192500</v>
      </c>
      <c r="L24" s="36">
        <f>MVTJANV25!L24+MVTFEV25!L24+MVTMARS25!L24+MVTAVRIL25!L24+MVTMAI25!L24+MVTJUIN25!L24+MVTJUIL25!L24+MVTAOUT25!L24+MVTSEPT25!L24+MVTOCT25!L24+MVTNOV25!L24+MVTDEC25!L24-600000</f>
        <v>686500</v>
      </c>
      <c r="M24" s="36">
        <f>MVTJANV25!M24+MVTFEV25!M24+MVTMARS25!M24+MVTAVRIL25!M24+MVTMAI25!M24+MVTJUIN25!M24+MVTJUIL25!M24+MVTAOUT25!M24+MVTSEPT25!M24+MVTOCT25!M24+MVTNOV25!M24+MVTDEC25!M24</f>
        <v>12000</v>
      </c>
      <c r="N24" s="36">
        <f>MVTJANV25!N24+MVTFEV25!N24+MVTMARS25!N24+MVTAVRIL25!N24+MVTMAI25!N24+MVTJUIN25!N24+MVTJUIL25!N24+MVTAOUT25!N24+MVTSEPT25!N24+MVTOCT25!N24+MVTNOV25!N24+MVTDEC25!N24</f>
        <v>12000</v>
      </c>
      <c r="O24" s="36">
        <f>MVTJANV25!O24+MVTFEV25!O24+MVTMARS25!O24+MVTAVRIL25!O24+MVTMAI25!O24+MVTJUIN25!O24+MVTJUIL25!O24+MVTAOUT25!O24+MVTSEPT25!O24+MVTOCT25!O24+MVTNOV25!O24+MVTDEC25!O24</f>
        <v>48000</v>
      </c>
      <c r="P24" s="36">
        <f>MVTJANV25!P24+MVTFEV25!P24+MVTMARS25!P24+MVTAVRIL25!P24+MVTMAI25!P24+MVTJUIN25!P24+MVTJUIL25!P24+MVTAOUT25!P24+MVTSEPT25!P24+MVTOCT25!P24+MVTNOV25!P24+MVTDEC25!P24</f>
        <v>0</v>
      </c>
      <c r="Q24" s="36">
        <f>MVTJANV25!Q24+MVTFEV25!Q24+MVTMARS25!Q24+MVTAVRIL25!Q24+MVTMAI25!Q24+MVTJUIN25!Q24+MVTJUIL25!Q24+MVTAOUT25!Q24+MVTSEPT25!Q24+MVTOCT25!Q24+MVTNOV25!Q24+MVTDEC25!Q24</f>
        <v>0</v>
      </c>
      <c r="R24" s="36">
        <f>MVTJANV25!R24+MVTFEV25!R24+MVTMARS25!R24+MVTAVRIL25!R24+MVTMAI25!R24+MVTJUIN25!R24+MVTJUIL25!R24+MVTAOUT25!R24+MVTSEPT25!R24+MVTOCT25!R24+MVTNOV25!R24+MVTDEC25!R24</f>
        <v>0</v>
      </c>
      <c r="S24" s="36">
        <f>MVTDEC24!S24+MVTJANV25!S24+MVTFEV25!S24+MVTMARS25!S24+MVTAVRIL25!S24+MVTMAI25!S24+MVTJUIN25!S24+MVTJUIL25!S24+MVTAOUT25!S24+MVTSEPT25!S24+MVTOCT25!S24+MVTNOV25!S24</f>
        <v>900000</v>
      </c>
      <c r="T24" s="36">
        <f>MVTDEC24!T24+MVTJANV25!T24+MVTFEV25!T24+MVTMARS25!T24+MVTAVRIL25!T24+MVTMAI25!T24+MVTJUIN25!T24+MVTJUIL25!T24+MVTAOUT25!T24+MVTSEPT25!T24+MVTOCT25!T24+MVTNOV25!T24</f>
        <v>108000</v>
      </c>
      <c r="U24" s="36">
        <f>MVTJANV25!U24+MVTFEV25!U24+MVTMARS25!U24+MVTAVRIL25!U24+MVTMAI25!U24+MVTJUIN25!U24+MVTJUIL25!U24+MVTAOUT25!U24+MVTSEPT25!U24+MVTOCT25!U24+MVTNOV25!U24+MVTDEC25!U24</f>
        <v>0</v>
      </c>
      <c r="V24" s="36">
        <f>MVTJANV25!V24+MVTFEV25!V24+MVTMARS25!V24+MVTAVRIL25!V24+MVTMAI25!V24+MVTJUIN25!V24+MVTJUIL25!V24+MVTAOUT25!V24+MVTSEPT25!V24+MVTOCT25!V24+MVTNOV25!V24+MVTDEC25!V24</f>
        <v>900000</v>
      </c>
      <c r="W24" s="36">
        <f t="shared" si="1"/>
        <v>0</v>
      </c>
      <c r="X24" s="36"/>
      <c r="Y24" s="36">
        <f>MVTJANV25!Y24+MVTFEV25!Y24+MVTMARS25!Y24+MVTAVRIL25!Y24+MVTMAI25!Y24+MVTJUIN25!Y24+MVTJUIL25!Y24+MVTAOUT25!Y24+MVTSEPT25!Y24+MVTOCT25!Y24+MVTNOV25!Y24+MVTDEC25!Y24</f>
        <v>0</v>
      </c>
      <c r="Z24" s="36">
        <f>MVTJANV25!Z24+MVTFEV25!Z24+MVTMARS25!Z24+MVTAVRIL25!Z24+MVTMAI25!Z24+MVTJUIN25!Z24+MVTJUIL25!Z24+MVTAOUT25!Z24+MVTSEPT25!Z24+MVTOCT25!Z24+MVTNOV25!Z24+MVTDEC25!Z24</f>
        <v>0</v>
      </c>
      <c r="AA24" s="36">
        <f>MVTJANV25!AA24+MVTFEV25!AA24+MVTMARS25!AA24+MVTAVRIL25!AA24+MVTMAI25!AA24+MVTJUIN25!AA24+MVTJUIL25!AA24+MVTAOUT25!AA24+MVTSEPT25!AA24+MVTOCT25!AA24+MVTNOV25!AA24+MVTDEC25!AA24</f>
        <v>0</v>
      </c>
      <c r="AB24" s="36">
        <f>MVTJANV25!AB24+MVTFEV25!AB24+MVTMARS25!AB24+MVTAVRIL25!AB24+MVTMAI25!AB24+MVTJUIN25!AB24+MVTJUIL25!AB24+MVTAOUT25!AB24+MVTSEPT25!AB24+MVTOCT25!AB24+MVTNOV25!AB24+MVTDEC25!AB24</f>
        <v>0</v>
      </c>
      <c r="AC24" s="36">
        <f>MVTJANV25!AC24+MVTFEV25!AC24+MVTMARS25!AC24+MVTAVRIL25!AC24+MVTMAI25!AC24+MVTJUIN25!AC24+MVTJUIL25!AC24+MVTAOUT25!AC24+MVTSEPT25!AC24+MVTOCT25!AC24+MVTNOV25!AC24+MVTDEC25!AC24</f>
        <v>0</v>
      </c>
      <c r="AD24" s="36">
        <f>MVTJANV25!AD24+MVTFEV25!AD24+MVTMARS25!AD24+MVTAVRIL25!AD24+MVTMAI25!AD24+MVTJUIN25!AD24+MVTJUIL25!AD24+MVTAOUT25!AD24+MVTSEPT25!AD24+MVTOCT25!AD24+MVTNOV25!AD24+MVTDEC25!AD24</f>
        <v>0</v>
      </c>
      <c r="AE24" s="36">
        <f>MVTJANV25!AE24+MVTFEV25!AE24+MVTMARS25!AE24+MVTAVRIL25!AE24+MVTMAI25!AE24+MVTJUIN25!AE24+MVTJUIL25!AE24+MVTAOUT25!AE24+MVTSEPT25!AE24+MVTOCT25!AE24+MVTNOV25!AE24+MVTDEC25!AE24</f>
        <v>0</v>
      </c>
      <c r="AF24" s="36">
        <f>MVTJANV25!AF24+MVTFEV25!AF24+MVTMARS25!AF24+MVTAVRIL25!AF24+MVTMAI25!AF24+MVTJUIN25!AF24+MVTJUIL25!AF24+MVTAOUT25!AF24+MVTSEPT25!AF24+MVTOCT25!AF24+MVTNOV25!AF24+MVTDEC25!AF24</f>
        <v>0</v>
      </c>
      <c r="AG24" s="36">
        <f>MVTJANV25!AG24+MVTFEV25!AG24+MVTMARS25!AG24+MVTAVRIL25!AG24+MVTMAI25!AG24+MVTJUIN25!AG24+MVTJUIL25!AG24+MVTAOUT25!AG24+MVTSEPT25!AG24+MVTOCT25!AG24+MVTNOV25!AG24+MVTDEC25!AG24</f>
        <v>0</v>
      </c>
      <c r="AH24" s="36">
        <f>MVTJANV25!AH24+MVTFEV25!AH24+MVTMARS25!AH24+MVTAVRIL25!AH24+MVTMAI25!AH24+MVTJUIN25!AH24+MVTJUIL25!AH24+MVTAOUT25!AH24+MVTSEPT25!AH24+MVTOCT25!AH24+MVTNOV25!AH24+MVTDEC25!AH24</f>
        <v>0</v>
      </c>
      <c r="AI24" s="36">
        <f>MVTJANV25!AI24+MVTFEV25!AI24+MVTMARS25!AI24+MVTAVRIL25!AI24+MVTMAI25!AI24+MVTJUIN25!AI24+MVTJUIL25!AI24+MVTAOUT25!AI24+MVTSEPT25!AI24+MVTOCT25!AI24+MVTNOV25!AI24+MVTDEC25!AI24</f>
        <v>0</v>
      </c>
      <c r="AJ24" s="36">
        <f>MVTJANV25!AJ24+MVTFEV25!AJ24+MVTMARS25!AJ24+MVTAVRIL25!AJ24+MVTMAI25!AJ24+MVTJUIN25!AJ24+MVTJUIL25!AJ24+MVTAOUT25!AJ24+MVTSEPT25!AJ24+MVTOCT25!AJ24+MVTNOV25!AJ24+MVTDEC25!AJ24</f>
        <v>0</v>
      </c>
      <c r="AK24" s="36">
        <f>MVTJANV25!AK24+MVTFEV25!AK24+MVTMARS25!AK24+MVTAVRIL25!AK24+MVTMAI25!AK24+MVTJUIN25!AK24+MVTJUIL25!AK24+MVTAOUT25!AK24+MVTSEPT25!AK24+MVTOCT25!AK24+MVTNOV25!AK24+MVTDEC25!AK24</f>
        <v>0</v>
      </c>
    </row>
    <row r="25" spans="1:39" x14ac:dyDescent="0.35">
      <c r="A25" s="1" t="s">
        <v>38</v>
      </c>
      <c r="B25" s="1" t="str">
        <f>VLOOKUP(A25,[24]LISTADHERENT!A$5:H$60,3,0)</f>
        <v>NDJOMO ETIENNE</v>
      </c>
      <c r="C25" s="36">
        <f>+MVTDEC24!C25</f>
        <v>800000</v>
      </c>
      <c r="D25" s="36">
        <f>+MVTDEC24!D25</f>
        <v>256158</v>
      </c>
      <c r="E25" s="36">
        <f>MVTJANV25!E25+MVTFEV25!E25+MVTMARS25!E25+MVTAVRIL25!E25+MVTMAI25!E25+MVTJUIN25!E25+MVTJUIL25!E25+MVTAOUT25!E25+MVTSEPT25!E25+MVTOCT25!E25+MVTNOV25!E25+MVTDEC25!E25</f>
        <v>0</v>
      </c>
      <c r="F25" s="36">
        <f>MVTJANV25!F25+MVTFEV25!F25+MVTMARS25!F25+MVTAVRIL25!F25+MVTMAI25!F25+MVTJUIN25!F25+MVTJUIL25!F25+MVTAOUT25!F25+MVTSEPT25!F25+MVTOCT25!F25+MVTNOV25!F25+MVTDEC25!F25</f>
        <v>15854539.155338185</v>
      </c>
      <c r="G25" s="5">
        <f>MVTJANV25!G25+MVTFEV25!G25+MVTMARS25!G25+MVTAVRIL25!G25+MVTMAI25!G25+MVTJUIN25!G25+MVTJUIL25!G25+MVTAOUT25!G25+MVTSEPT25!G25+MVTOCT25!G25+MVTNOV25!G25+MVTDEC25!G25</f>
        <v>15180251.922014583</v>
      </c>
      <c r="H25" s="36">
        <f>MVTDEC24!H25+MVTJANV25!H25+MVTFEV25!H25+MVTMARS25!H25+MVTAVRIL25!H25+MVTMAI25!H25+MVTJUIN25!H25+MVTJUIL25!H25+MVTAOUT25!H25+MVTSEPT25!H25+MVTOCT25!H25+MVTNOV25!H25</f>
        <v>89546.251867716855</v>
      </c>
      <c r="I25" s="184">
        <f t="shared" si="0"/>
        <v>15944085.407205902</v>
      </c>
      <c r="J25" s="36">
        <f>MVTJANV25!J25+MVTFEV25!J25+MVTMARS25!J25+MVTAVRIL25!J25+MVTMAI25!J25+MVTJUIN25!J25+MVTJUIL25!J25+MVTAOUT25!J25+MVTSEPT25!J25+MVTOCT25!J25+MVTNOV25!J25+MVTDEC25!J25</f>
        <v>0</v>
      </c>
      <c r="K25" s="36">
        <f>MVTJANV25!K25+MVTFEV25!K25+MVTMARS25!K25+MVTAVRIL25!K25+MVTMAI25!K25+MVTJUIN25!K25+MVTJUIL25!K25+MVTAOUT25!K25+MVTSEPT25!K25+MVTOCT25!K25+MVTNOV25!K25+MVTDEC25!K25</f>
        <v>420000</v>
      </c>
      <c r="L25" s="36">
        <f>MVTJANV25!L25+MVTFEV25!L25+MVTMARS25!L25+MVTAVRIL25!L25+MVTMAI25!L25+MVTJUIN25!L25+MVTJUIL25!L25+MVTAOUT25!L25+MVTSEPT25!L25+MVTOCT25!L25+MVTNOV25!L25+MVTDEC25!L25</f>
        <v>348000</v>
      </c>
      <c r="M25" s="36">
        <f>MVTJANV25!M25+MVTFEV25!M25+MVTMARS25!M25+MVTAVRIL25!M25+MVTMAI25!M25+MVTJUIN25!M25+MVTJUIL25!M25+MVTAOUT25!M25+MVTSEPT25!M25+MVTOCT25!M25+MVTNOV25!M25+MVTDEC25!M25</f>
        <v>12000</v>
      </c>
      <c r="N25" s="36">
        <f>MVTJANV25!N25+MVTFEV25!N25+MVTMARS25!N25+MVTAVRIL25!N25+MVTMAI25!N25+MVTJUIN25!N25+MVTJUIL25!N25+MVTAOUT25!N25+MVTSEPT25!N25+MVTOCT25!N25+MVTNOV25!N25+MVTDEC25!N25</f>
        <v>12000</v>
      </c>
      <c r="O25" s="36">
        <f>MVTJANV25!O25+MVTFEV25!O25+MVTMARS25!O25+MVTAVRIL25!O25+MVTMAI25!O25+MVTJUIN25!O25+MVTJUIL25!O25+MVTAOUT25!O25+MVTSEPT25!O25+MVTOCT25!O25+MVTNOV25!O25+MVTDEC25!O25</f>
        <v>48000</v>
      </c>
      <c r="P25" s="36">
        <f>MVTJANV25!P25+MVTFEV25!P25+MVTMARS25!P25+MVTAVRIL25!P25+MVTMAI25!P25+MVTJUIN25!P25+MVTJUIL25!P25+MVTAOUT25!P25+MVTSEPT25!P25+MVTOCT25!P25+MVTNOV25!P25+MVTDEC25!P25</f>
        <v>0</v>
      </c>
      <c r="Q25" s="36">
        <f>MVTJANV25!Q25+MVTFEV25!Q25+MVTMARS25!Q25+MVTAVRIL25!Q25+MVTMAI25!Q25+MVTJUIN25!Q25+MVTJUIL25!Q25+MVTAOUT25!Q25+MVTSEPT25!Q25+MVTOCT25!Q25+MVTNOV25!Q25+MVTDEC25!Q25</f>
        <v>0</v>
      </c>
      <c r="R25" s="36">
        <f>MVTJANV25!R25+MVTFEV25!R25+MVTMARS25!R25+MVTAVRIL25!R25+MVTMAI25!R25+MVTJUIN25!R25+MVTJUIL25!R25+MVTAOUT25!R25+MVTSEPT25!R25+MVTOCT25!R25+MVTNOV25!R25+MVTDEC25!R25</f>
        <v>0</v>
      </c>
      <c r="S25" s="36">
        <f>MVTDEC24!S25+MVTJANV25!S25+MVTFEV25!S25+MVTMARS25!S25+MVTAVRIL25!S25+MVTMAI25!S25+MVTJUIN25!S25+MVTJUIL25!S25+MVTAOUT25!S25+MVTSEPT25!S25+MVTOCT25!S25+MVTNOV25!S25</f>
        <v>1000000</v>
      </c>
      <c r="T25" s="36">
        <f>MVTDEC24!T25+MVTJANV25!T25+MVTFEV25!T25+MVTMARS25!T25+MVTAVRIL25!T25+MVTMAI25!T25+MVTJUIN25!T25+MVTJUIL25!T25+MVTAOUT25!T25+MVTSEPT25!T25+MVTOCT25!T25+MVTNOV25!T25</f>
        <v>60000</v>
      </c>
      <c r="U25" s="36">
        <f>MVTJANV25!U25+MVTFEV25!U25+MVTMARS25!U25+MVTAVRIL25!U25+MVTMAI25!U25+MVTJUIN25!U25+MVTJUIL25!U25+MVTAOUT25!U25+MVTSEPT25!U25+MVTOCT25!U25+MVTNOV25!U25+MVTDEC25!U25</f>
        <v>0</v>
      </c>
      <c r="V25" s="36">
        <f>MVTJANV25!V25+MVTFEV25!V25+MVTMARS25!V25+MVTAVRIL25!V25+MVTMAI25!V25+MVTJUIN25!V25+MVTJUIL25!V25+MVTAOUT25!V25+MVTSEPT25!V25+MVTOCT25!V25+MVTNOV25!V25+MVTDEC25!V25</f>
        <v>1000000</v>
      </c>
      <c r="W25" s="36">
        <f t="shared" si="1"/>
        <v>0</v>
      </c>
      <c r="X25" s="36"/>
      <c r="Y25" s="36">
        <f>MVTJANV25!Y25+MVTFEV25!Y25+MVTMARS25!Y25+MVTAVRIL25!Y25+MVTMAI25!Y25+MVTJUIN25!Y25+MVTJUIL25!Y25+MVTAOUT25!Y25+MVTSEPT25!Y25+MVTOCT25!Y25+MVTNOV25!Y25+MVTDEC25!Y25</f>
        <v>0</v>
      </c>
      <c r="Z25" s="36">
        <f>MVTJANV25!Z25+MVTFEV25!Z25+MVTMARS25!Z25+MVTAVRIL25!Z25+MVTMAI25!Z25+MVTJUIN25!Z25+MVTJUIL25!Z25+MVTAOUT25!Z25+MVTSEPT25!Z25+MVTOCT25!Z25+MVTNOV25!Z25+MVTDEC25!Z25</f>
        <v>0</v>
      </c>
      <c r="AA25" s="36">
        <f>MVTJANV25!AA25+MVTFEV25!AA25+MVTMARS25!AA25+MVTAVRIL25!AA25+MVTMAI25!AA25+MVTJUIN25!AA25+MVTJUIL25!AA25+MVTAOUT25!AA25+MVTSEPT25!AA25+MVTOCT25!AA25+MVTNOV25!AA25+MVTDEC25!AA25</f>
        <v>0</v>
      </c>
      <c r="AB25" s="36">
        <f>MVTJANV25!AB25+MVTFEV25!AB25+MVTMARS25!AB25+MVTAVRIL25!AB25+MVTMAI25!AB25+MVTJUIN25!AB25+MVTJUIL25!AB25+MVTAOUT25!AB25+MVTSEPT25!AB25+MVTOCT25!AB25+MVTNOV25!AB25+MVTDEC25!AB25</f>
        <v>0</v>
      </c>
      <c r="AC25" s="36">
        <f>MVTJANV25!AC25+MVTFEV25!AC25+MVTMARS25!AC25+MVTAVRIL25!AC25+MVTMAI25!AC25+MVTJUIN25!AC25+MVTJUIL25!AC25+MVTAOUT25!AC25+MVTSEPT25!AC25+MVTOCT25!AC25+MVTNOV25!AC25+MVTDEC25!AC25</f>
        <v>0</v>
      </c>
      <c r="AD25" s="36">
        <f>MVTJANV25!AD25+MVTFEV25!AD25+MVTMARS25!AD25+MVTAVRIL25!AD25+MVTMAI25!AD25+MVTJUIN25!AD25+MVTJUIL25!AD25+MVTAOUT25!AD25+MVTSEPT25!AD25+MVTOCT25!AD25+MVTNOV25!AD25+MVTDEC25!AD25</f>
        <v>0</v>
      </c>
      <c r="AE25" s="36">
        <f>MVTJANV25!AE25+MVTFEV25!AE25+MVTMARS25!AE25+MVTAVRIL25!AE25+MVTMAI25!AE25+MVTJUIN25!AE25+MVTJUIL25!AE25+MVTAOUT25!AE25+MVTSEPT25!AE25+MVTOCT25!AE25+MVTNOV25!AE25+MVTDEC25!AE25</f>
        <v>0</v>
      </c>
      <c r="AF25" s="36">
        <f>MVTJANV25!AF25+MVTFEV25!AF25+MVTMARS25!AF25+MVTAVRIL25!AF25+MVTMAI25!AF25+MVTJUIN25!AF25+MVTJUIL25!AF25+MVTAOUT25!AF25+MVTSEPT25!AF25+MVTOCT25!AF25+MVTNOV25!AF25+MVTDEC25!AF25</f>
        <v>0</v>
      </c>
      <c r="AG25" s="36">
        <f>MVTJANV25!AG25+MVTFEV25!AG25+MVTMARS25!AG25+MVTAVRIL25!AG25+MVTMAI25!AG25+MVTJUIN25!AG25+MVTJUIL25!AG25+MVTAOUT25!AG25+MVTSEPT25!AG25+MVTOCT25!AG25+MVTNOV25!AG25+MVTDEC25!AG25</f>
        <v>0</v>
      </c>
      <c r="AH25" s="36">
        <f>MVTJANV25!AH25+MVTFEV25!AH25+MVTMARS25!AH25+MVTAVRIL25!AH25+MVTMAI25!AH25+MVTJUIN25!AH25+MVTJUIL25!AH25+MVTAOUT25!AH25+MVTSEPT25!AH25+MVTOCT25!AH25+MVTNOV25!AH25+MVTDEC25!AH25</f>
        <v>0</v>
      </c>
      <c r="AI25" s="36">
        <f>MVTJANV25!AI25+MVTFEV25!AI25+MVTMARS25!AI25+MVTAVRIL25!AI25+MVTMAI25!AI25+MVTJUIN25!AI25+MVTJUIL25!AI25+MVTAOUT25!AI25+MVTSEPT25!AI25+MVTOCT25!AI25+MVTNOV25!AI25+MVTDEC25!AI25</f>
        <v>0</v>
      </c>
      <c r="AJ25" s="36">
        <f>MVTJANV25!AJ25+MVTFEV25!AJ25+MVTMARS25!AJ25+MVTAVRIL25!AJ25+MVTMAI25!AJ25+MVTJUIN25!AJ25+MVTJUIL25!AJ25+MVTAOUT25!AJ25+MVTSEPT25!AJ25+MVTOCT25!AJ25+MVTNOV25!AJ25+MVTDEC25!AJ25</f>
        <v>0</v>
      </c>
      <c r="AK25" s="36">
        <f>MVTJANV25!AK25+MVTFEV25!AK25+MVTMARS25!AK25+MVTAVRIL25!AK25+MVTMAI25!AK25+MVTJUIN25!AK25+MVTJUIL25!AK25+MVTAOUT25!AK25+MVTSEPT25!AK25+MVTOCT25!AK25+MVTNOV25!AK25+MVTDEC25!AK25</f>
        <v>0</v>
      </c>
    </row>
    <row r="26" spans="1:39" ht="15.5" x14ac:dyDescent="0.35">
      <c r="A26" s="1" t="s">
        <v>39</v>
      </c>
      <c r="B26" s="1" t="str">
        <f>VLOOKUP(A26,[24]LISTADHERENT!A$5:H$60,3,0)</f>
        <v>NGONDIEP CLAUDE</v>
      </c>
      <c r="C26" s="36">
        <f>+MVTDEC24!C26</f>
        <v>800000</v>
      </c>
      <c r="D26" s="36">
        <f>+MVTDEC24!D26</f>
        <v>353356</v>
      </c>
      <c r="E26" s="36">
        <f>MVTJANV25!E26+MVTFEV25!E26+MVTMARS25!E26+MVTAVRIL25!E26+MVTMAI25!E26+MVTJUIN25!E26+MVTJUIL25!E26+MVTAOUT25!E26+MVTSEPT25!E26+MVTOCT25!E26+MVTNOV25!E26+MVTDEC25!E26</f>
        <v>0</v>
      </c>
      <c r="F26" s="36">
        <f>MVTJANV25!F26+MVTFEV25!F26+MVTMARS25!F26+MVTAVRIL25!F26+MVTMAI25!F26+MVTJUIN25!F26+MVTJUIL25!F26+MVTAOUT25!F26+MVTSEPT25!F26+MVTOCT25!F26+MVTNOV25!F26+MVTDEC25!F26</f>
        <v>17485181.547197714</v>
      </c>
      <c r="G26" s="5">
        <f>MVTJANV25!G26+MVTFEV25!G26+MVTMARS25!G26+MVTAVRIL25!G26+MVTMAI25!G26+MVTJUIN25!G26+MVTJUIL25!G26+MVTAOUT25!G26+MVTSEPT25!G26+MVTOCT25!G26+MVTNOV25!G26+MVTDEC25!G26</f>
        <v>16708111.313416768</v>
      </c>
      <c r="H26" s="36">
        <f>MVTDEC24!H26+MVTJANV25!H26+MVTFEV25!H26+MVTMARS25!H26+MVTAVRIL25!H26+MVTMAI25!H26+MVTJUIN25!H26+MVTJUIL25!H26+MVTAOUT25!H26+MVTSEPT25!H26+MVTOCT25!H26+MVTNOV25!H26</f>
        <v>98057.703130658949</v>
      </c>
      <c r="I26" s="184">
        <f t="shared" si="0"/>
        <v>17583239.250328373</v>
      </c>
      <c r="J26" s="36">
        <f>MVTJANV25!J26+MVTFEV25!J26+MVTMARS25!J26+MVTAVRIL25!J26+MVTMAI25!J26+MVTJUIN25!J26+MVTJUIL25!J26+MVTAOUT25!J26+MVTSEPT25!J26+MVTOCT25!J26+MVTNOV25!J26+MVTDEC25!J26</f>
        <v>0</v>
      </c>
      <c r="K26" s="36">
        <f>MVTJANV25!K26+MVTFEV25!K26+MVTMARS25!K26+MVTAVRIL25!K26+MVTMAI25!K26+MVTJUIN25!K26+MVTJUIL25!K26+MVTAOUT25!K26+MVTSEPT25!K26+MVTOCT25!K26+MVTNOV25!K26+MVTDEC25!K26</f>
        <v>479000</v>
      </c>
      <c r="L26" s="36">
        <f>MVTJANV25!L26+MVTFEV25!L26+MVTMARS25!L26+MVTAVRIL25!L26+MVTMAI25!L26+MVTJUIN25!L26+MVTJUIL25!L26+MVTAOUT25!L26+MVTSEPT25!L26+MVTOCT25!L26+MVTNOV25!L26+MVTDEC25!L26</f>
        <v>407000</v>
      </c>
      <c r="M26" s="36">
        <f>MVTJANV25!M26+MVTFEV25!M26+MVTMARS25!M26+MVTAVRIL25!M26+MVTMAI25!M26+MVTJUIN25!M26+MVTJUIL25!M26+MVTAOUT25!M26+MVTSEPT25!M26+MVTOCT25!M26+MVTNOV25!M26+MVTDEC25!M26</f>
        <v>12000</v>
      </c>
      <c r="N26" s="36">
        <f>MVTJANV25!N26+MVTFEV25!N26+MVTMARS25!N26+MVTAVRIL25!N26+MVTMAI25!N26+MVTJUIN25!N26+MVTJUIL25!N26+MVTAOUT25!N26+MVTSEPT25!N26+MVTOCT25!N26+MVTNOV25!N26+MVTDEC25!N26</f>
        <v>12000</v>
      </c>
      <c r="O26" s="36">
        <f>MVTJANV25!O26+MVTFEV25!O26+MVTMARS25!O26+MVTAVRIL25!O26+MVTMAI25!O26+MVTJUIN25!O26+MVTJUIL25!O26+MVTAOUT25!O26+MVTSEPT25!O26+MVTOCT25!O26+MVTNOV25!O26+MVTDEC25!O26</f>
        <v>48000</v>
      </c>
      <c r="P26" s="36">
        <f>MVTJANV25!P26+MVTFEV25!P26+MVTMARS25!P26+MVTAVRIL25!P26+MVTMAI25!P26+MVTJUIN25!P26+MVTJUIL25!P26+MVTAOUT25!P26+MVTSEPT25!P26+MVTOCT25!P26+MVTNOV25!P26+MVTDEC25!P26</f>
        <v>3000</v>
      </c>
      <c r="Q26" s="36">
        <f>MVTJANV25!Q26+MVTFEV25!Q26+MVTMARS25!Q26+MVTAVRIL25!Q26+MVTMAI25!Q26+MVTJUIN25!Q26+MVTJUIL25!Q26+MVTAOUT25!Q26+MVTSEPT25!Q26+MVTOCT25!Q26+MVTNOV25!Q26+MVTDEC25!Q26</f>
        <v>0</v>
      </c>
      <c r="R26" s="36">
        <f>MVTJANV25!R26+MVTFEV25!R26+MVTMARS25!R26+MVTAVRIL25!R26+MVTMAI25!R26+MVTJUIN25!R26+MVTJUIL25!R26+MVTAOUT25!R26+MVTSEPT25!R26+MVTOCT25!R26+MVTNOV25!R26+MVTDEC25!R26</f>
        <v>0</v>
      </c>
      <c r="S26" s="36">
        <f>MVTDEC24!S26+MVTJANV25!S26+MVTFEV25!S26+MVTMARS25!S26+MVTAVRIL25!S26+MVTMAI25!S26+MVTJUIN25!S26+MVTJUIL25!S26+MVTAOUT25!S26+MVTSEPT25!S26+MVTOCT25!S26+MVTNOV25!S26</f>
        <v>1000000</v>
      </c>
      <c r="T26" s="36">
        <f>MVTDEC24!T26+MVTJANV25!T26+MVTFEV25!T26+MVTMARS25!T26+MVTAVRIL25!T26+MVTMAI25!T26+MVTJUIN25!T26+MVTJUIL25!T26+MVTAOUT25!T26+MVTSEPT25!T26+MVTOCT25!T26+MVTNOV25!T26</f>
        <v>110000</v>
      </c>
      <c r="U26" s="36">
        <f>MVTJANV25!U26+MVTFEV25!U26+MVTMARS25!U26+MVTAVRIL25!U26+MVTMAI25!U26+MVTJUIN25!U26+MVTJUIL25!U26+MVTAOUT25!U26+MVTSEPT25!U26+MVTOCT25!U26+MVTNOV25!U26+MVTDEC25!U26</f>
        <v>0</v>
      </c>
      <c r="V26" s="36">
        <f>MVTJANV25!V26+MVTFEV25!V26+MVTMARS25!V26+MVTAVRIL25!V26+MVTMAI25!V26+MVTJUIN25!V26+MVTJUIL25!V26+MVTAOUT25!V26+MVTSEPT25!V26+MVTOCT25!V26+MVTNOV25!V26+MVTDEC25!V26</f>
        <v>1000000</v>
      </c>
      <c r="W26" s="36">
        <f t="shared" si="1"/>
        <v>0</v>
      </c>
      <c r="X26" s="186">
        <v>46010</v>
      </c>
      <c r="Y26" s="36">
        <f>MVTJANV25!Y26+MVTFEV25!Y26+MVTMARS25!Y26+MVTAVRIL25!Y26+MVTMAI25!Y26+MVTJUIN25!Y26+MVTJUIL25!Y26+MVTAOUT25!Y26+MVTSEPT25!Y26+MVTOCT25!Y26+MVTNOV25!Y26+MVTDEC25!Y26</f>
        <v>0</v>
      </c>
      <c r="Z26" s="36">
        <f>MVTJANV25!Z26+MVTFEV25!Z26+MVTMARS25!Z26+MVTAVRIL25!Z26+MVTMAI25!Z26+MVTJUIN25!Z26+MVTJUIL25!Z26+MVTAOUT25!Z26+MVTSEPT25!Z26+MVTOCT25!Z26+MVTNOV25!Z26+MVTDEC25!Z26</f>
        <v>0</v>
      </c>
      <c r="AA26" s="36">
        <f>MVTJANV25!AA26+MVTFEV25!AA26+MVTMARS25!AA26+MVTAVRIL25!AA26+MVTMAI25!AA26+MVTJUIN25!AA26+MVTJUIL25!AA26+MVTAOUT25!AA26+MVTSEPT25!AA26+MVTOCT25!AA26+MVTNOV25!AA26+MVTDEC25!AA26</f>
        <v>0</v>
      </c>
      <c r="AB26" s="36">
        <f>MVTJANV25!AB26+MVTFEV25!AB26+MVTMARS25!AB26+MVTAVRIL25!AB26+MVTMAI25!AB26+MVTJUIN25!AB26+MVTJUIL25!AB26+MVTAOUT25!AB26+MVTSEPT25!AB26+MVTOCT25!AB26+MVTNOV25!AB26+MVTDEC25!AB26</f>
        <v>0</v>
      </c>
      <c r="AC26" s="36">
        <f>MVTJANV25!AC26+MVTFEV25!AC26+MVTMARS25!AC26+MVTAVRIL25!AC26+MVTMAI25!AC26+MVTJUIN25!AC26+MVTJUIL25!AC26+MVTAOUT25!AC26+MVTSEPT25!AC26+MVTOCT25!AC26+MVTNOV25!AC26+MVTDEC25!AC26</f>
        <v>0</v>
      </c>
      <c r="AD26" s="36">
        <f>MVTJANV25!AD26+MVTFEV25!AD26+MVTMARS25!AD26+MVTAVRIL25!AD26+MVTMAI25!AD26+MVTJUIN25!AD26+MVTJUIL25!AD26+MVTAOUT25!AD26+MVTSEPT25!AD26+MVTOCT25!AD26+MVTNOV25!AD26+MVTDEC25!AD26</f>
        <v>0</v>
      </c>
      <c r="AE26" s="36">
        <f>MVTJANV25!AE26+MVTFEV25!AE26+MVTMARS25!AE26+MVTAVRIL25!AE26+MVTMAI25!AE26+MVTJUIN25!AE26+MVTJUIL25!AE26+MVTAOUT25!AE26+MVTSEPT25!AE26+MVTOCT25!AE26+MVTNOV25!AE26+MVTDEC25!AE26</f>
        <v>0</v>
      </c>
      <c r="AF26" s="36">
        <f>MVTJANV25!AF26+MVTFEV25!AF26+MVTMARS25!AF26+MVTAVRIL25!AF26+MVTMAI25!AF26+MVTJUIN25!AF26+MVTJUIL25!AF26+MVTAOUT25!AF26+MVTSEPT25!AF26+MVTOCT25!AF26+MVTNOV25!AF26+MVTDEC25!AF26</f>
        <v>0</v>
      </c>
      <c r="AG26" s="36">
        <f>MVTJANV25!AG26+MVTFEV25!AG26+MVTMARS25!AG26+MVTAVRIL25!AG26+MVTMAI25!AG26+MVTJUIN25!AG26+MVTJUIL25!AG26+MVTAOUT25!AG26+MVTSEPT25!AG26+MVTOCT25!AG26+MVTNOV25!AG26+MVTDEC25!AG26</f>
        <v>0</v>
      </c>
      <c r="AH26" s="36">
        <f>MVTJANV25!AH26+MVTFEV25!AH26+MVTMARS25!AH26+MVTAVRIL25!AH26+MVTMAI25!AH26+MVTJUIN25!AH26+MVTJUIL25!AH26+MVTAOUT25!AH26+MVTSEPT25!AH26+MVTOCT25!AH26+MVTNOV25!AH26+MVTDEC25!AH26</f>
        <v>0</v>
      </c>
      <c r="AI26" s="36">
        <f>MVTJANV25!AI26+MVTFEV25!AI26+MVTMARS25!AI26+MVTAVRIL25!AI26+MVTMAI25!AI26+MVTJUIN25!AI26+MVTJUIL25!AI26+MVTAOUT25!AI26+MVTSEPT25!AI26+MVTOCT25!AI26+MVTNOV25!AI26+MVTDEC25!AI26</f>
        <v>0</v>
      </c>
      <c r="AJ26" s="36">
        <f>MVTJANV25!AJ26+MVTFEV25!AJ26+MVTMARS25!AJ26+MVTAVRIL25!AJ26+MVTMAI25!AJ26+MVTJUIN25!AJ26+MVTJUIL25!AJ26+MVTAOUT25!AJ26+MVTSEPT25!AJ26+MVTOCT25!AJ26+MVTNOV25!AJ26+MVTDEC25!AJ26</f>
        <v>0</v>
      </c>
      <c r="AK26" s="36">
        <f>MVTJANV25!AK26+MVTFEV25!AK26+MVTMARS25!AK26+MVTAVRIL25!AK26+MVTMAI25!AK26+MVTJUIN25!AK26+MVTJUIL25!AK26+MVTAOUT25!AK26+MVTSEPT25!AK26+MVTOCT25!AK26+MVTNOV25!AK26+MVTDEC25!AK26</f>
        <v>0</v>
      </c>
    </row>
    <row r="27" spans="1:39" x14ac:dyDescent="0.35">
      <c r="A27" s="1" t="s">
        <v>41</v>
      </c>
      <c r="B27" s="1" t="str">
        <f>VLOOKUP(A27,[24]LISTADHERENT!A$5:H$60,3,0)</f>
        <v>NGUIEMEGNI MATHIEU BLAISE</v>
      </c>
      <c r="C27" s="36">
        <f>+MVTDEC24!C27</f>
        <v>800000</v>
      </c>
      <c r="D27" s="36">
        <f>+MVTDEC24!D27</f>
        <v>9175</v>
      </c>
      <c r="E27" s="36">
        <f>MVTJANV25!E27+MVTFEV25!E27+MVTMARS25!E27+MVTAVRIL25!E27+MVTMAI25!E27+MVTJUIN25!E27+MVTJUIL25!E27+MVTAOUT25!E27+MVTSEPT25!E27+MVTOCT25!E27+MVTNOV25!E27+MVTDEC25!E27</f>
        <v>0</v>
      </c>
      <c r="F27" s="36">
        <f>MVTJANV25!F27+MVTFEV25!F27+MVTMARS25!F27+MVTAVRIL25!F27+MVTMAI25!F27+MVTJUIN25!F27+MVTJUIL25!F27+MVTAOUT25!F27+MVTSEPT25!F27+MVTOCT25!F27+MVTNOV25!F27+MVTDEC25!F27</f>
        <v>11777217.295034882</v>
      </c>
      <c r="G27" s="5">
        <f>MVTJANV25!G27+MVTFEV25!G27+MVTMARS25!G27+MVTAVRIL25!G27+MVTMAI25!G27+MVTJUIN25!G27+MVTJUIL25!G27+MVTAOUT25!G27+MVTSEPT25!G27+MVTOCT25!G27+MVTNOV25!G27+MVTDEC25!G27</f>
        <v>11365905.590272957</v>
      </c>
      <c r="H27" s="36">
        <f>MVTDEC24!H27+MVTJANV25!H27+MVTFEV25!H27+MVTMARS25!H27+MVTAVRIL25!H27+MVTMAI25!H27+MVTJUIN25!H27+MVTJUIL25!H27+MVTAOUT25!H27+MVTSEPT25!H27+MVTOCT25!H27+MVTNOV25!H27</f>
        <v>68010.818954558388</v>
      </c>
      <c r="I27" s="184">
        <f t="shared" si="0"/>
        <v>11845228.113989441</v>
      </c>
      <c r="J27" s="36">
        <f>MVTJANV25!J27+MVTFEV25!J27+MVTMARS25!J27+MVTAVRIL25!J27+MVTMAI25!J27+MVTJUIN25!J27+MVTJUIL25!J27+MVTAOUT25!J27+MVTSEPT25!J27+MVTOCT25!J27+MVTNOV25!J27+MVTDEC25!J27</f>
        <v>0</v>
      </c>
      <c r="K27" s="36">
        <f>MVTJANV25!K27+MVTFEV25!K27+MVTMARS25!K27+MVTAVRIL25!K27+MVTMAI25!K27+MVTJUIN25!K27+MVTJUIL25!K27+MVTAOUT25!K27+MVTSEPT25!K27+MVTOCT25!K27+MVTNOV25!K27+MVTDEC25!K27</f>
        <v>287000</v>
      </c>
      <c r="L27" s="36">
        <f>MVTJANV25!L27+MVTFEV25!L27+MVTMARS25!L27+MVTAVRIL25!L27+MVTMAI25!L27+MVTJUIN25!L27+MVTJUIL25!L27+MVTAOUT25!L27+MVTSEPT25!L27+MVTOCT25!L27+MVTNOV25!L27+MVTDEC25!L27</f>
        <v>215000</v>
      </c>
      <c r="M27" s="36">
        <f>MVTJANV25!M27+MVTFEV25!M27+MVTMARS25!M27+MVTAVRIL25!M27+MVTMAI25!M27+MVTJUIN25!M27+MVTJUIL25!M27+MVTAOUT25!M27+MVTSEPT25!M27+MVTOCT25!M27+MVTNOV25!M27+MVTDEC25!M27</f>
        <v>12000</v>
      </c>
      <c r="N27" s="36">
        <f>MVTJANV25!N27+MVTFEV25!N27+MVTMARS25!N27+MVTAVRIL25!N27+MVTMAI25!N27+MVTJUIN25!N27+MVTJUIL25!N27+MVTAOUT25!N27+MVTSEPT25!N27+MVTOCT25!N27+MVTNOV25!N27+MVTDEC25!N27</f>
        <v>12000</v>
      </c>
      <c r="O27" s="36">
        <f>MVTJANV25!O27+MVTFEV25!O27+MVTMARS25!O27+MVTAVRIL25!O27+MVTMAI25!O27+MVTJUIN25!O27+MVTJUIL25!O27+MVTAOUT25!O27+MVTSEPT25!O27+MVTOCT25!O27+MVTNOV25!O27+MVTDEC25!O27</f>
        <v>48000</v>
      </c>
      <c r="P27" s="36">
        <f>MVTJANV25!P27+MVTFEV25!P27+MVTMARS25!P27+MVTAVRIL25!P27+MVTMAI25!P27+MVTJUIN25!P27+MVTJUIL25!P27+MVTAOUT25!P27+MVTSEPT25!P27+MVTOCT25!P27+MVTNOV25!P27+MVTDEC25!P27</f>
        <v>0</v>
      </c>
      <c r="Q27" s="36">
        <f>MVTJANV25!Q27+MVTFEV25!Q27+MVTMARS25!Q27+MVTAVRIL25!Q27+MVTMAI25!Q27+MVTJUIN25!Q27+MVTJUIL25!Q27+MVTAOUT25!Q27+MVTSEPT25!Q27+MVTOCT25!Q27+MVTNOV25!Q27+MVTDEC25!Q27</f>
        <v>0</v>
      </c>
      <c r="R27" s="36">
        <f>MVTJANV25!R27+MVTFEV25!R27+MVTMARS25!R27+MVTAVRIL25!R27+MVTMAI25!R27+MVTJUIN25!R27+MVTJUIL25!R27+MVTAOUT25!R27+MVTSEPT25!R27+MVTOCT25!R27+MVTNOV25!R27+MVTDEC25!R27</f>
        <v>0</v>
      </c>
      <c r="S27" s="36">
        <f>MVTDEC24!S27+MVTJANV25!S27+MVTFEV25!S27+MVTMARS25!S27+MVTAVRIL25!S27+MVTMAI25!S27+MVTJUIN25!S27+MVTJUIL25!S27+MVTAOUT25!S27+MVTSEPT25!S27+MVTOCT25!S27+MVTNOV25!S27</f>
        <v>1000000</v>
      </c>
      <c r="T27" s="36">
        <f>MVTDEC24!T27+MVTJANV25!T27+MVTFEV25!T27+MVTMARS25!T27+MVTAVRIL25!T27+MVTMAI25!T27+MVTJUIN25!T27+MVTJUIL25!T27+MVTAOUT25!T27+MVTSEPT25!T27+MVTOCT25!T27+MVTNOV25!T27</f>
        <v>120000</v>
      </c>
      <c r="U27" s="36">
        <f>MVTJANV25!U27+MVTFEV25!U27+MVTMARS25!U27+MVTAVRIL25!U27+MVTMAI25!U27+MVTJUIN25!U27+MVTJUIL25!U27+MVTAOUT25!U27+MVTSEPT25!U27+MVTOCT25!U27+MVTNOV25!U27+MVTDEC25!U27</f>
        <v>0</v>
      </c>
      <c r="V27" s="36">
        <f>MVTJANV25!V27+MVTFEV25!V27+MVTMARS25!V27+MVTAVRIL25!V27+MVTMAI25!V27+MVTJUIN25!V27+MVTJUIL25!V27+MVTAOUT25!V27+MVTSEPT25!V27+MVTOCT25!V27+MVTNOV25!V27+MVTDEC25!V27</f>
        <v>0</v>
      </c>
      <c r="W27" s="36">
        <f t="shared" si="1"/>
        <v>1000000</v>
      </c>
      <c r="X27" s="36"/>
      <c r="Y27" s="36">
        <f>MVTJANV25!Y27+MVTFEV25!Y27+MVTMARS25!Y27+MVTAVRIL25!Y27+MVTMAI25!Y27+MVTJUIN25!Y27+MVTJUIL25!Y27+MVTAOUT25!Y27+MVTSEPT25!Y27+MVTOCT25!Y27+MVTNOV25!Y27+MVTDEC25!Y27</f>
        <v>0</v>
      </c>
      <c r="Z27" s="36">
        <f>MVTJANV25!Z27+MVTFEV25!Z27+MVTMARS25!Z27+MVTAVRIL25!Z27+MVTMAI25!Z27+MVTJUIN25!Z27+MVTJUIL25!Z27+MVTAOUT25!Z27+MVTSEPT25!Z27+MVTOCT25!Z27+MVTNOV25!Z27+MVTDEC25!Z27</f>
        <v>0</v>
      </c>
      <c r="AA27" s="36">
        <f>MVTJANV25!AA27+MVTFEV25!AA27+MVTMARS25!AA27+MVTAVRIL25!AA27+MVTMAI25!AA27+MVTJUIN25!AA27+MVTJUIL25!AA27+MVTAOUT25!AA27+MVTSEPT25!AA27+MVTOCT25!AA27+MVTNOV25!AA27+MVTDEC25!AA27</f>
        <v>0</v>
      </c>
      <c r="AB27" s="36">
        <f>MVTJANV25!AB27+MVTFEV25!AB27+MVTMARS25!AB27+MVTAVRIL25!AB27+MVTMAI25!AB27+MVTJUIN25!AB27+MVTJUIL25!AB27+MVTAOUT25!AB27+MVTSEPT25!AB27+MVTOCT25!AB27+MVTNOV25!AB27+MVTDEC25!AB27</f>
        <v>0</v>
      </c>
      <c r="AC27" s="36">
        <f>MVTJANV25!AC27+MVTFEV25!AC27+MVTMARS25!AC27+MVTAVRIL25!AC27+MVTMAI25!AC27+MVTJUIN25!AC27+MVTJUIL25!AC27+MVTAOUT25!AC27+MVTSEPT25!AC27+MVTOCT25!AC27+MVTNOV25!AC27+MVTDEC25!AC27</f>
        <v>0</v>
      </c>
      <c r="AD27" s="36">
        <f>MVTJANV25!AD27+MVTFEV25!AD27+MVTMARS25!AD27+MVTAVRIL25!AD27+MVTMAI25!AD27+MVTJUIN25!AD27+MVTJUIL25!AD27+MVTAOUT25!AD27+MVTSEPT25!AD27+MVTOCT25!AD27+MVTNOV25!AD27+MVTDEC25!AD27</f>
        <v>0</v>
      </c>
      <c r="AE27" s="36">
        <f>MVTJANV25!AE27+MVTFEV25!AE27+MVTMARS25!AE27+MVTAVRIL25!AE27+MVTMAI25!AE27+MVTJUIN25!AE27+MVTJUIL25!AE27+MVTAOUT25!AE27+MVTSEPT25!AE27+MVTOCT25!AE27+MVTNOV25!AE27+MVTDEC25!AE27</f>
        <v>0</v>
      </c>
      <c r="AF27" s="36">
        <f>MVTJANV25!AF27+MVTFEV25!AF27+MVTMARS25!AF27+MVTAVRIL25!AF27+MVTMAI25!AF27+MVTJUIN25!AF27+MVTJUIL25!AF27+MVTAOUT25!AF27+MVTSEPT25!AF27+MVTOCT25!AF27+MVTNOV25!AF27+MVTDEC25!AF27</f>
        <v>0</v>
      </c>
      <c r="AG27" s="36">
        <f>MVTJANV25!AG27+MVTFEV25!AG27+MVTMARS25!AG27+MVTAVRIL25!AG27+MVTMAI25!AG27+MVTJUIN25!AG27+MVTJUIL25!AG27+MVTAOUT25!AG27+MVTSEPT25!AG27+MVTOCT25!AG27+MVTNOV25!AG27+MVTDEC25!AG27</f>
        <v>0</v>
      </c>
      <c r="AH27" s="36">
        <f>MVTJANV25!AH27+MVTFEV25!AH27+MVTMARS25!AH27+MVTAVRIL25!AH27+MVTMAI25!AH27+MVTJUIN25!AH27+MVTJUIL25!AH27+MVTAOUT25!AH27+MVTSEPT25!AH27+MVTOCT25!AH27+MVTNOV25!AH27+MVTDEC25!AH27</f>
        <v>0</v>
      </c>
      <c r="AI27" s="36">
        <f>MVTJANV25!AI27+MVTFEV25!AI27+MVTMARS25!AI27+MVTAVRIL25!AI27+MVTMAI25!AI27+MVTJUIN25!AI27+MVTJUIL25!AI27+MVTAOUT25!AI27+MVTSEPT25!AI27+MVTOCT25!AI27+MVTNOV25!AI27+MVTDEC25!AI27</f>
        <v>100000</v>
      </c>
      <c r="AJ27" s="36">
        <f>MVTJANV25!AJ27+MVTFEV25!AJ27+MVTMARS25!AJ27+MVTAVRIL25!AJ27+MVTMAI25!AJ27+MVTJUIN25!AJ27+MVTJUIL25!AJ27+MVTAOUT25!AJ27+MVTSEPT25!AJ27+MVTOCT25!AJ27+MVTNOV25!AJ27+MVTDEC25!AJ27</f>
        <v>0</v>
      </c>
      <c r="AK27" s="36">
        <f>MVTJANV25!AK27+MVTFEV25!AK27+MVTMARS25!AK27+MVTAVRIL25!AK27+MVTMAI25!AK27+MVTJUIN25!AK27+MVTJUIL25!AK27+MVTAOUT25!AK27+MVTSEPT25!AK27+MVTOCT25!AK27+MVTNOV25!AK27+MVTDEC25!AK27</f>
        <v>0</v>
      </c>
    </row>
    <row r="28" spans="1:39" x14ac:dyDescent="0.35">
      <c r="A28" s="1" t="s">
        <v>43</v>
      </c>
      <c r="B28" s="1" t="str">
        <f>VLOOKUP(A28,[24]LISTADHERENT!A$5:H$60,3,0)</f>
        <v>NKAMGANG JUSTIN DEJOLIE</v>
      </c>
      <c r="C28" s="36">
        <f>+MVTDEC24!C28</f>
        <v>800000</v>
      </c>
      <c r="D28" s="36">
        <f>+MVTDEC24!D28</f>
        <v>10531</v>
      </c>
      <c r="E28" s="36">
        <f>MVTJANV25!E28+MVTFEV25!E28+MVTMARS25!E28+MVTAVRIL25!E28+MVTMAI25!E28+MVTJUIN25!E28+MVTJUIL25!E28+MVTAOUT25!E28+MVTSEPT25!E28+MVTOCT25!E28+MVTNOV25!E28+MVTDEC25!E28</f>
        <v>0</v>
      </c>
      <c r="F28" s="36">
        <f>MVTJANV25!F28+MVTFEV25!F28+MVTMARS25!F28+MVTAVRIL25!F28+MVTMAI25!F28+MVTJUIN25!F28+MVTJUIL25!F28+MVTAOUT25!F28+MVTSEPT25!F28+MVTOCT25!F28+MVTNOV25!F28+MVTDEC25!F28</f>
        <v>11998350.283325614</v>
      </c>
      <c r="G28" s="5">
        <f>MVTJANV25!G28+MVTFEV25!G28+MVTMARS25!G28+MVTAVRIL25!G28+MVTMAI25!G28+MVTJUIN25!G28+MVTJUIL25!G28+MVTAOUT25!G28+MVTSEPT25!G28+MVTOCT25!G28+MVTNOV25!G28+MVTDEC25!G28</f>
        <v>11553935.893347273</v>
      </c>
      <c r="H28" s="36">
        <f>MVTDEC24!H28+MVTJANV25!H28+MVTFEV25!H28+MVTMARS25!H28+MVTAVRIL25!H28+MVTMAI25!H28+MVTJUIN25!H28+MVTJUIL25!H28+MVTAOUT25!H28+MVTSEPT25!H28+MVTOCT25!H28+MVTNOV25!H28</f>
        <v>68521.197389150781</v>
      </c>
      <c r="I28" s="184">
        <f t="shared" si="0"/>
        <v>12066871.480714764</v>
      </c>
      <c r="J28" s="36">
        <f>MVTJANV25!J28+MVTFEV25!J28+MVTMARS25!J28+MVTAVRIL25!J28+MVTMAI25!J28+MVTJUIN25!J28+MVTJUIL25!J28+MVTAOUT25!J28+MVTSEPT25!J28+MVTOCT25!J28+MVTNOV25!J28+MVTDEC25!J28</f>
        <v>0</v>
      </c>
      <c r="K28" s="36">
        <f>MVTJANV25!K28+MVTFEV25!K28+MVTMARS25!K28+MVTAVRIL25!K28+MVTMAI25!K28+MVTJUIN25!K28+MVTJUIL25!K28+MVTAOUT25!K28+MVTSEPT25!K28+MVTOCT25!K28+MVTNOV25!K28+MVTDEC25!K28</f>
        <v>307000</v>
      </c>
      <c r="L28" s="36">
        <f>MVTJANV25!L28+MVTFEV25!L28+MVTMARS25!L28+MVTAVRIL25!L28+MVTMAI25!L28+MVTJUIN25!L28+MVTJUIL25!L28+MVTAOUT25!L28+MVTSEPT25!L28+MVTOCT25!L28+MVTNOV25!L28+MVTDEC25!L28</f>
        <v>235000</v>
      </c>
      <c r="M28" s="36">
        <f>MVTJANV25!M28+MVTFEV25!M28+MVTMARS25!M28+MVTAVRIL25!M28+MVTMAI25!M28+MVTJUIN25!M28+MVTJUIL25!M28+MVTAOUT25!M28+MVTSEPT25!M28+MVTOCT25!M28+MVTNOV25!M28+MVTDEC25!M28</f>
        <v>12000</v>
      </c>
      <c r="N28" s="36">
        <f>MVTJANV25!N28+MVTFEV25!N28+MVTMARS25!N28+MVTAVRIL25!N28+MVTMAI25!N28+MVTJUIN25!N28+MVTJUIL25!N28+MVTAOUT25!N28+MVTSEPT25!N28+MVTOCT25!N28+MVTNOV25!N28+MVTDEC25!N28</f>
        <v>12000</v>
      </c>
      <c r="O28" s="36">
        <f>MVTJANV25!O28+MVTFEV25!O28+MVTMARS25!O28+MVTAVRIL25!O28+MVTMAI25!O28+MVTJUIN25!O28+MVTJUIL25!O28+MVTAOUT25!O28+MVTSEPT25!O28+MVTOCT25!O28+MVTNOV25!O28+MVTDEC25!O28</f>
        <v>48000</v>
      </c>
      <c r="P28" s="36">
        <f>MVTJANV25!P28+MVTFEV25!P28+MVTMARS25!P28+MVTAVRIL25!P28+MVTMAI25!P28+MVTJUIN25!P28+MVTJUIL25!P28+MVTAOUT25!P28+MVTSEPT25!P28+MVTOCT25!P28+MVTNOV25!P28+MVTDEC25!P28</f>
        <v>3000</v>
      </c>
      <c r="Q28" s="36">
        <f>MVTJANV25!Q28+MVTFEV25!Q28+MVTMARS25!Q28+MVTAVRIL25!Q28+MVTMAI25!Q28+MVTJUIN25!Q28+MVTJUIL25!Q28+MVTAOUT25!Q28+MVTSEPT25!Q28+MVTOCT25!Q28+MVTNOV25!Q28+MVTDEC25!Q28</f>
        <v>0</v>
      </c>
      <c r="R28" s="36">
        <f>MVTJANV25!R28+MVTFEV25!R28+MVTMARS25!R28+MVTAVRIL25!R28+MVTMAI25!R28+MVTJUIN25!R28+MVTJUIL25!R28+MVTAOUT25!R28+MVTSEPT25!R28+MVTOCT25!R28+MVTNOV25!R28+MVTDEC25!R28</f>
        <v>0</v>
      </c>
      <c r="S28" s="36">
        <f>MVTDEC24!S28+MVTJANV25!S28+MVTFEV25!S28+MVTMARS25!S28+MVTAVRIL25!S28+MVTMAI25!S28+MVTJUIN25!S28+MVTJUIL25!S28+MVTAOUT25!S28+MVTSEPT25!S28+MVTOCT25!S28+MVTNOV25!S28</f>
        <v>4000000</v>
      </c>
      <c r="T28" s="36">
        <f>MVTDEC24!T28+MVTJANV25!T28+MVTFEV25!T28+MVTMARS25!T28+MVTAVRIL25!T28+MVTMAI25!T28+MVTJUIN25!T28+MVTJUIL25!T28+MVTAOUT25!T28+MVTSEPT25!T28+MVTOCT25!T28+MVTNOV25!T28</f>
        <v>120000</v>
      </c>
      <c r="U28" s="36">
        <f>MVTJANV25!U28+MVTFEV25!U28+MVTMARS25!U28+MVTAVRIL25!U28+MVTMAI25!U28+MVTJUIN25!U28+MVTJUIL25!U28+MVTAOUT25!U28+MVTSEPT25!U28+MVTOCT25!U28+MVTNOV25!U28+MVTDEC25!U28</f>
        <v>0</v>
      </c>
      <c r="V28" s="36">
        <f>MVTJANV25!V28+MVTFEV25!V28+MVTMARS25!V28+MVTAVRIL25!V28+MVTMAI25!V28+MVTJUIN25!V28+MVTJUIL25!V28+MVTAOUT25!V28+MVTSEPT25!V28+MVTOCT25!V28+MVTNOV25!V28+MVTDEC25!V28</f>
        <v>4000000</v>
      </c>
      <c r="W28" s="36">
        <f t="shared" si="1"/>
        <v>0</v>
      </c>
      <c r="X28" s="36">
        <v>46010</v>
      </c>
      <c r="Y28" s="36">
        <f>MVTJANV25!Y28+MVTFEV25!Y28+MVTMARS25!Y28+MVTAVRIL25!Y28+MVTMAI25!Y28+MVTJUIN25!Y28+MVTJUIL25!Y28+MVTAOUT25!Y28+MVTSEPT25!Y28+MVTOCT25!Y28+MVTNOV25!Y28+MVTDEC25!Y28</f>
        <v>0</v>
      </c>
      <c r="Z28" s="36">
        <f>MVTJANV25!Z28+MVTFEV25!Z28+MVTMARS25!Z28+MVTAVRIL25!Z28+MVTMAI25!Z28+MVTJUIN25!Z28+MVTJUIL25!Z28+MVTAOUT25!Z28+MVTSEPT25!Z28+MVTOCT25!Z28+MVTNOV25!Z28+MVTDEC25!Z28</f>
        <v>0</v>
      </c>
      <c r="AA28" s="36">
        <f>MVTJANV25!AA28+MVTFEV25!AA28+MVTMARS25!AA28+MVTAVRIL25!AA28+MVTMAI25!AA28+MVTJUIN25!AA28+MVTJUIL25!AA28+MVTAOUT25!AA28+MVTSEPT25!AA28+MVTOCT25!AA28+MVTNOV25!AA28+MVTDEC25!AA28</f>
        <v>0</v>
      </c>
      <c r="AB28" s="36">
        <f>MVTJANV25!AB28+MVTFEV25!AB28+MVTMARS25!AB28+MVTAVRIL25!AB28+MVTMAI25!AB28+MVTJUIN25!AB28+MVTJUIL25!AB28+MVTAOUT25!AB28+MVTSEPT25!AB28+MVTOCT25!AB28+MVTNOV25!AB28+MVTDEC25!AB28</f>
        <v>0</v>
      </c>
      <c r="AC28" s="36">
        <f>MVTJANV25!AC28+MVTFEV25!AC28+MVTMARS25!AC28+MVTAVRIL25!AC28+MVTMAI25!AC28+MVTJUIN25!AC28+MVTJUIL25!AC28+MVTAOUT25!AC28+MVTSEPT25!AC28+MVTOCT25!AC28+MVTNOV25!AC28+MVTDEC25!AC28</f>
        <v>0</v>
      </c>
      <c r="AD28" s="36">
        <f>MVTJANV25!AD28+MVTFEV25!AD28+MVTMARS25!AD28+MVTAVRIL25!AD28+MVTMAI25!AD28+MVTJUIN25!AD28+MVTJUIL25!AD28+MVTAOUT25!AD28+MVTSEPT25!AD28+MVTOCT25!AD28+MVTNOV25!AD28+MVTDEC25!AD28</f>
        <v>0</v>
      </c>
      <c r="AE28" s="36">
        <f>MVTJANV25!AE28+MVTFEV25!AE28+MVTMARS25!AE28+MVTAVRIL25!AE28+MVTMAI25!AE28+MVTJUIN25!AE28+MVTJUIL25!AE28+MVTAOUT25!AE28+MVTSEPT25!AE28+MVTOCT25!AE28+MVTNOV25!AE28+MVTDEC25!AE28</f>
        <v>0</v>
      </c>
      <c r="AF28" s="36">
        <f>MVTJANV25!AF28+MVTFEV25!AF28+MVTMARS25!AF28+MVTAVRIL25!AF28+MVTMAI25!AF28+MVTJUIN25!AF28+MVTJUIL25!AF28+MVTAOUT25!AF28+MVTSEPT25!AF28+MVTOCT25!AF28+MVTNOV25!AF28+MVTDEC25!AF28</f>
        <v>0</v>
      </c>
      <c r="AG28" s="36">
        <f>MVTJANV25!AG28+MVTFEV25!AG28+MVTMARS25!AG28+MVTAVRIL25!AG28+MVTMAI25!AG28+MVTJUIN25!AG28+MVTJUIL25!AG28+MVTAOUT25!AG28+MVTSEPT25!AG28+MVTOCT25!AG28+MVTNOV25!AG28+MVTDEC25!AG28</f>
        <v>0</v>
      </c>
      <c r="AH28" s="36">
        <f>MVTJANV25!AH28+MVTFEV25!AH28+MVTMARS25!AH28+MVTAVRIL25!AH28+MVTMAI25!AH28+MVTJUIN25!AH28+MVTJUIL25!AH28+MVTAOUT25!AH28+MVTSEPT25!AH28+MVTOCT25!AH28+MVTNOV25!AH28+MVTDEC25!AH28</f>
        <v>0</v>
      </c>
      <c r="AI28" s="36">
        <f>MVTJANV25!AI28+MVTFEV25!AI28+MVTMARS25!AI28+MVTAVRIL25!AI28+MVTMAI25!AI28+MVTJUIN25!AI28+MVTJUIL25!AI28+MVTAOUT25!AI28+MVTSEPT25!AI28+MVTOCT25!AI28+MVTNOV25!AI28+MVTDEC25!AI28</f>
        <v>0</v>
      </c>
      <c r="AJ28" s="36">
        <f>MVTJANV25!AJ28+MVTFEV25!AJ28+MVTMARS25!AJ28+MVTAVRIL25!AJ28+MVTMAI25!AJ28+MVTJUIN25!AJ28+MVTJUIL25!AJ28+MVTAOUT25!AJ28+MVTSEPT25!AJ28+MVTOCT25!AJ28+MVTNOV25!AJ28+MVTDEC25!AJ28</f>
        <v>0</v>
      </c>
      <c r="AK28" s="36">
        <f>MVTJANV25!AK28+MVTFEV25!AK28+MVTMARS25!AK28+MVTAVRIL25!AK28+MVTMAI25!AK28+MVTJUIN25!AK28+MVTJUIL25!AK28+MVTAOUT25!AK28+MVTSEPT25!AK28+MVTOCT25!AK28+MVTNOV25!AK28+MVTDEC25!AK28</f>
        <v>0</v>
      </c>
    </row>
    <row r="29" spans="1:39" s="14" customFormat="1" ht="15.5" x14ac:dyDescent="0.35">
      <c r="A29" s="12" t="s">
        <v>172</v>
      </c>
      <c r="B29" s="12" t="str">
        <f>VLOOKUP(A29,[24]LISTADHERENT!A$5:H$60,3,0)</f>
        <v>NOUBE ETIENNE</v>
      </c>
      <c r="C29" s="13">
        <f>+MVTDEC24!C29</f>
        <v>800000</v>
      </c>
      <c r="D29" s="13">
        <f>+MVTDEC24!D29</f>
        <v>-17159</v>
      </c>
      <c r="E29" s="13">
        <f>MVTJANV25!E29+MVTFEV25!E29+MVTMARS25!E29+MVTAVRIL25!E29+MVTMAI25!E29+MVTJUIN25!E29+MVTJUIL25!E29+MVTAOUT25!E29+MVTSEPT25!E29+MVTOCT25!E29+MVTNOV25!E29+MVTDEC25!E29</f>
        <v>0</v>
      </c>
      <c r="F29" s="36">
        <f>MVTJANV25!F29+MVTFEV25!F29+MVTMARS25!F29+MVTAVRIL25!F29+MVTMAI25!F29+MVTJUIN25!F29+MVTJUIL25!F29+MVTAOUT25!F29+MVTSEPT25!F29+MVTOCT25!F29+MVTNOV25!F29+MVTDEC25!F29</f>
        <v>11555134.471217105</v>
      </c>
      <c r="G29" s="5">
        <f>MVTJANV25!G29+MVTFEV25!G29+MVTMARS25!G29+MVTAVRIL25!G29+MVTMAI25!G29+MVTJUIN25!G29+MVTJUIL25!G29+MVTAOUT25!G29+MVTSEPT25!G29+MVTOCT25!G29+MVTNOV25!G29+MVTDEC25!G29</f>
        <v>11110737.649906244</v>
      </c>
      <c r="H29" s="36">
        <f>MVTDEC24!H29+MVTJANV25!H29+MVTFEV25!H29+MVTMARS25!H29+MVTAVRIL25!H29+MVTMAI25!H29+MVTJUIN25!H29+MVTJUIL25!H29+MVTAOUT25!H29+MVTSEPT25!H29+MVTOCT25!H29+MVTNOV25!H29</f>
        <v>66071.086872458516</v>
      </c>
      <c r="I29" s="187">
        <f t="shared" si="0"/>
        <v>11621205.558089564</v>
      </c>
      <c r="J29" s="13">
        <f>MVTJANV25!J29+MVTFEV25!J29+MVTMARS25!J29+MVTAVRIL25!J29+MVTMAI25!J29+MVTJUIN25!J29+MVTJUIL25!J29+MVTAOUT25!J29+MVTSEPT25!J29+MVTOCT25!J29+MVTNOV25!J29+MVTDEC25!J29</f>
        <v>0</v>
      </c>
      <c r="K29" s="13">
        <f>MVTJANV25!K29+MVTFEV25!K29+MVTMARS25!K29+MVTAVRIL25!K29+MVTMAI25!K29+MVTJUIN25!K29+MVTJUIL25!K29+MVTAOUT25!K29+MVTSEPT25!K29+MVTOCT25!K29+MVTNOV25!K29+MVTDEC25!K29</f>
        <v>300000</v>
      </c>
      <c r="L29" s="36">
        <f>MVTJANV25!L29+MVTFEV25!L29+MVTMARS25!L29+MVTAVRIL25!L29+MVTMAI25!L29+MVTJUIN25!L29+MVTJUIL25!L29+MVTAOUT25!L29+MVTSEPT25!L29+MVTOCT25!L29+MVTNOV25!L29+MVTDEC25!L29</f>
        <v>228000</v>
      </c>
      <c r="M29" s="13">
        <f>MVTJANV25!M29+MVTFEV25!M29+MVTMARS25!M29+MVTAVRIL25!M29+MVTMAI25!M29+MVTJUIN25!M29+MVTJUIL25!M29+MVTAOUT25!M29+MVTSEPT25!M29+MVTOCT25!M29+MVTNOV25!M29+MVTDEC25!M29</f>
        <v>12000</v>
      </c>
      <c r="N29" s="13">
        <f>MVTJANV25!N29+MVTFEV25!N29+MVTMARS25!N29+MVTAVRIL25!N29+MVTMAI25!N29+MVTJUIN25!N29+MVTJUIL25!N29+MVTAOUT25!N29+MVTSEPT25!N29+MVTOCT25!N29+MVTNOV25!N29+MVTDEC25!N29</f>
        <v>12000</v>
      </c>
      <c r="O29" s="13">
        <f>MVTJANV25!O29+MVTFEV25!O29+MVTMARS25!O29+MVTAVRIL25!O29+MVTMAI25!O29+MVTJUIN25!O29+MVTJUIL25!O29+MVTAOUT25!O29+MVTSEPT25!O29+MVTOCT25!O29+MVTNOV25!O29+MVTDEC25!O29</f>
        <v>48000</v>
      </c>
      <c r="P29" s="13">
        <f>MVTJANV25!P29+MVTFEV25!P29+MVTMARS25!P29+MVTAVRIL25!P29+MVTMAI25!P29+MVTJUIN25!P29+MVTJUIL25!P29+MVTAOUT25!P29+MVTSEPT25!P29+MVTOCT25!P29+MVTNOV25!P29+MVTDEC25!P29</f>
        <v>0</v>
      </c>
      <c r="Q29" s="13">
        <f>MVTJANV25!Q29+MVTFEV25!Q29+MVTMARS25!Q29+MVTAVRIL25!Q29+MVTMAI25!Q29+MVTJUIN25!Q29+MVTJUIL25!Q29+MVTAOUT25!Q29+MVTSEPT25!Q29+MVTOCT25!Q29+MVTNOV25!Q29+MVTDEC25!Q29</f>
        <v>0</v>
      </c>
      <c r="R29" s="13">
        <f>MVTJANV25!R29+MVTFEV25!R29+MVTMARS25!R29+MVTAVRIL25!R29+MVTMAI25!R29+MVTJUIN25!R29+MVTJUIL25!R29+MVTAOUT25!R29+MVTSEPT25!R29+MVTOCT25!R29+MVTNOV25!R29+MVTDEC25!R29</f>
        <v>0</v>
      </c>
      <c r="S29" s="36">
        <f>MVTDEC24!S29+MVTJANV25!S29+MVTFEV25!S29+MVTMARS25!S29+MVTAVRIL25!S29+MVTMAI25!S29+MVTJUIN25!S29+MVTJUIL25!S29+MVTAOUT25!S29+MVTSEPT25!S29+MVTOCT25!S29+MVTNOV25!S29</f>
        <v>400000</v>
      </c>
      <c r="T29" s="36">
        <f>MVTDEC24!T29+MVTJANV25!T29+MVTFEV25!T29+MVTMARS25!T29+MVTAVRIL25!T29+MVTMAI25!T29+MVTJUIN25!T29+MVTJUIL25!T29+MVTAOUT25!T29+MVTSEPT25!T29+MVTOCT25!T29+MVTNOV25!T29</f>
        <v>16000</v>
      </c>
      <c r="U29" s="13">
        <f>MVTJANV25!U29+MVTFEV25!U29+MVTMARS25!U29+MVTAVRIL25!U29+MVTMAI25!U29+MVTJUIN25!U29+MVTJUIL25!U29+MVTAOUT25!U29+MVTSEPT25!U29+MVTOCT25!U29+MVTNOV25!U29+MVTDEC25!U29</f>
        <v>0</v>
      </c>
      <c r="V29" s="13">
        <f>MVTJANV25!V29+MVTFEV25!V29+MVTMARS25!V29+MVTAVRIL25!V29+MVTMAI25!V29+MVTJUIN25!V29+MVTJUIL25!V29+MVTAOUT25!V29+MVTSEPT25!V29+MVTOCT25!V29+MVTNOV25!V29+MVTDEC25!V29</f>
        <v>400000</v>
      </c>
      <c r="W29" s="13">
        <f t="shared" si="1"/>
        <v>0</v>
      </c>
      <c r="X29" s="186">
        <v>45827</v>
      </c>
      <c r="Y29" s="13">
        <f>MVTJANV25!Y29+MVTFEV25!Y29+MVTMARS25!Y29+MVTAVRIL25!Y29+MVTMAI25!Y29+MVTJUIN25!Y29+MVTJUIL25!Y29+MVTAOUT25!Y29+MVTSEPT25!Y29+MVTOCT25!Y29+MVTNOV25!Y29+MVTDEC25!Y29</f>
        <v>0</v>
      </c>
      <c r="Z29" s="13">
        <f>MVTJANV25!Z29+MVTFEV25!Z29+MVTMARS25!Z29+MVTAVRIL25!Z29+MVTMAI25!Z29+MVTJUIN25!Z29+MVTJUIL25!Z29+MVTAOUT25!Z29+MVTSEPT25!Z29+MVTOCT25!Z29+MVTNOV25!Z29+MVTDEC25!Z29</f>
        <v>0</v>
      </c>
      <c r="AA29" s="13">
        <f>MVTJANV25!AA29+MVTFEV25!AA29+MVTMARS25!AA29+MVTAVRIL25!AA29+MVTMAI25!AA29+MVTJUIN25!AA29+MVTJUIL25!AA29+MVTAOUT25!AA29+MVTSEPT25!AA29+MVTOCT25!AA29+MVTNOV25!AA29+MVTDEC25!AA29</f>
        <v>0</v>
      </c>
      <c r="AB29" s="13">
        <f>MVTJANV25!AB29+MVTFEV25!AB29+MVTMARS25!AB29+MVTAVRIL25!AB29+MVTMAI25!AB29+MVTJUIN25!AB29+MVTJUIL25!AB29+MVTAOUT25!AB29+MVTSEPT25!AB29+MVTOCT25!AB29+MVTNOV25!AB29+MVTDEC25!AB29</f>
        <v>0</v>
      </c>
      <c r="AC29" s="13">
        <f>MVTJANV25!AC29+MVTFEV25!AC29+MVTMARS25!AC29+MVTAVRIL25!AC29+MVTMAI25!AC29+MVTJUIN25!AC29+MVTJUIL25!AC29+MVTAOUT25!AC29+MVTSEPT25!AC29+MVTOCT25!AC29+MVTNOV25!AC29+MVTDEC25!AC29</f>
        <v>0</v>
      </c>
      <c r="AD29" s="13">
        <f>MVTJANV25!AD29+MVTFEV25!AD29+MVTMARS25!AD29+MVTAVRIL25!AD29+MVTMAI25!AD29+MVTJUIN25!AD29+MVTJUIL25!AD29+MVTAOUT25!AD29+MVTSEPT25!AD29+MVTOCT25!AD29+MVTNOV25!AD29+MVTDEC25!AD29</f>
        <v>0</v>
      </c>
      <c r="AE29" s="13">
        <f>MVTJANV25!AE29+MVTFEV25!AE29+MVTMARS25!AE29+MVTAVRIL25!AE29+MVTMAI25!AE29+MVTJUIN25!AE29+MVTJUIL25!AE29+MVTAOUT25!AE29+MVTSEPT25!AE29+MVTOCT25!AE29+MVTNOV25!AE29+MVTDEC25!AE29</f>
        <v>0</v>
      </c>
      <c r="AF29" s="13">
        <f>MVTJANV25!AF29+MVTFEV25!AF29+MVTMARS25!AF29+MVTAVRIL25!AF29+MVTMAI25!AF29+MVTJUIN25!AF29+MVTJUIL25!AF29+MVTAOUT25!AF29+MVTSEPT25!AF29+MVTOCT25!AF29+MVTNOV25!AF29+MVTDEC25!AF29</f>
        <v>0</v>
      </c>
      <c r="AG29" s="13">
        <f>MVTJANV25!AG29+MVTFEV25!AG29+MVTMARS25!AG29+MVTAVRIL25!AG29+MVTMAI25!AG29+MVTJUIN25!AG29+MVTJUIL25!AG29+MVTAOUT25!AG29+MVTSEPT25!AG29+MVTOCT25!AG29+MVTNOV25!AG29+MVTDEC25!AG29</f>
        <v>0</v>
      </c>
      <c r="AH29" s="13">
        <f>MVTJANV25!AH29+MVTFEV25!AH29+MVTMARS25!AH29+MVTAVRIL25!AH29+MVTMAI25!AH29+MVTJUIN25!AH29+MVTJUIL25!AH29+MVTAOUT25!AH29+MVTSEPT25!AH29+MVTOCT25!AH29+MVTNOV25!AH29+MVTDEC25!AH29</f>
        <v>0</v>
      </c>
      <c r="AI29" s="13">
        <f>MVTJANV25!AI29+MVTFEV25!AI29+MVTMARS25!AI29+MVTAVRIL25!AI29+MVTMAI25!AI29+MVTJUIN25!AI29+MVTJUIL25!AI29+MVTAOUT25!AI29+MVTSEPT25!AI29+MVTOCT25!AI29+MVTNOV25!AI29+MVTDEC25!AI29</f>
        <v>0</v>
      </c>
      <c r="AJ29" s="13">
        <f>MVTJANV25!AJ29+MVTFEV25!AJ29+MVTMARS25!AJ29+MVTAVRIL25!AJ29+MVTMAI25!AJ29+MVTJUIN25!AJ29+MVTJUIL25!AJ29+MVTAOUT25!AJ29+MVTSEPT25!AJ29+MVTOCT25!AJ29+MVTNOV25!AJ29+MVTDEC25!AJ29</f>
        <v>0</v>
      </c>
      <c r="AK29" s="13">
        <f>MVTJANV25!AK29+MVTFEV25!AK29+MVTMARS25!AK29+MVTAVRIL25!AK29+MVTMAI25!AK29+MVTJUIN25!AK29+MVTJUIL25!AK29+MVTAOUT25!AK29+MVTSEPT25!AK29+MVTOCT25!AK29+MVTNOV25!AK29+MVTDEC25!AK29</f>
        <v>0</v>
      </c>
      <c r="AM29" s="11"/>
    </row>
    <row r="30" spans="1:39" s="14" customFormat="1" x14ac:dyDescent="0.35">
      <c r="A30" s="12" t="s">
        <v>45</v>
      </c>
      <c r="B30" s="12" t="str">
        <f>VLOOKUP(A30,[24]LISTADHERENT!A$5:H$60,3,0)</f>
        <v>PATEGO NJOSSU GUSTAVE</v>
      </c>
      <c r="C30" s="13">
        <f>+MVTDEC24!C30</f>
        <v>800000</v>
      </c>
      <c r="D30" s="13">
        <f>+MVTDEC24!D30</f>
        <v>133342</v>
      </c>
      <c r="E30" s="13">
        <f>MVTJANV25!E30+MVTFEV25!E30+MVTMARS25!E30+MVTAVRIL25!E30+MVTMAI25!E30+MVTJUIN25!E30+MVTJUIL25!E30+MVTAOUT25!E30+MVTSEPT25!E30+MVTOCT25!E30+MVTNOV25!E30+MVTDEC25!E30</f>
        <v>0</v>
      </c>
      <c r="F30" s="36">
        <f>MVTJANV25!F30+MVTFEV25!F30+MVTMARS25!F30+MVTAVRIL25!F30+MVTMAI25!F30+MVTJUIN25!F30+MVTJUIL25!F30+MVTAOUT25!F30+MVTSEPT25!F30+MVTOCT25!F30+MVTNOV25!F30+MVTDEC25!F30</f>
        <v>13488954.266030256</v>
      </c>
      <c r="G30" s="5">
        <f>MVTJANV25!G30+MVTFEV25!G30+MVTMARS25!G30+MVTAVRIL25!G30+MVTMAI25!G30+MVTJUIN25!G30+MVTJUIL25!G30+MVTAOUT25!G30+MVTSEPT25!G30+MVTOCT25!G30+MVTNOV25!G30+MVTDEC25!G30</f>
        <v>13040214.37898642</v>
      </c>
      <c r="H30" s="36">
        <f>MVTDEC24!H30+MVTJANV25!H30+MVTFEV25!H30+MVTMARS25!H30+MVTAVRIL25!H30+MVTMAI25!H30+MVTJUIN25!H30+MVTJUIL25!H30+MVTAOUT25!H30+MVTSEPT25!H30+MVTOCT25!H30+MVTNOV25!H30</f>
        <v>78331.132976443492</v>
      </c>
      <c r="I30" s="187">
        <f t="shared" si="0"/>
        <v>13567285.399006698</v>
      </c>
      <c r="J30" s="13">
        <f>MVTJANV25!J30+MVTFEV25!J30+MVTMARS25!J30+MVTAVRIL25!J30+MVTMAI25!J30+MVTJUIN25!J30+MVTJUIL25!J30+MVTAOUT25!J30+MVTSEPT25!J30+MVTOCT25!J30+MVTNOV25!J30+MVTDEC25!J30</f>
        <v>0</v>
      </c>
      <c r="K30" s="13">
        <f>MVTJANV25!K30+MVTFEV25!K30+MVTMARS25!K30+MVTAVRIL25!K30+MVTMAI25!K30+MVTJUIN25!K30+MVTJUIL25!K30+MVTAOUT25!K30+MVTSEPT25!K30+MVTOCT25!K30+MVTNOV25!K30+MVTDEC25!K30</f>
        <v>300000</v>
      </c>
      <c r="L30" s="36">
        <f>MVTJANV25!L30+MVTFEV25!L30+MVTMARS25!L30+MVTAVRIL25!L30+MVTMAI25!L30+MVTJUIN25!L30+MVTJUIL25!L30+MVTAOUT25!L30+MVTSEPT25!L30+MVTOCT25!L30+MVTNOV25!L30+MVTDEC25!L30</f>
        <v>228000</v>
      </c>
      <c r="M30" s="13">
        <f>MVTJANV25!M30+MVTFEV25!M30+MVTMARS25!M30+MVTAVRIL25!M30+MVTMAI25!M30+MVTJUIN25!M30+MVTJUIL25!M30+MVTAOUT25!M30+MVTSEPT25!M30+MVTOCT25!M30+MVTNOV25!M30+MVTDEC25!M30</f>
        <v>12000</v>
      </c>
      <c r="N30" s="13">
        <f>MVTJANV25!N30+MVTFEV25!N30+MVTMARS25!N30+MVTAVRIL25!N30+MVTMAI25!N30+MVTJUIN25!N30+MVTJUIL25!N30+MVTAOUT25!N30+MVTSEPT25!N30+MVTOCT25!N30+MVTNOV25!N30+MVTDEC25!N30</f>
        <v>12000</v>
      </c>
      <c r="O30" s="13">
        <f>MVTJANV25!O30+MVTFEV25!O30+MVTMARS25!O30+MVTAVRIL25!O30+MVTMAI25!O30+MVTJUIN25!O30+MVTJUIL25!O30+MVTAOUT25!O30+MVTSEPT25!O30+MVTOCT25!O30+MVTNOV25!O30+MVTDEC25!O30</f>
        <v>48000</v>
      </c>
      <c r="P30" s="13">
        <f>MVTJANV25!P30+MVTFEV25!P30+MVTMARS25!P30+MVTAVRIL25!P30+MVTMAI25!P30+MVTJUIN25!P30+MVTJUIL25!P30+MVTAOUT25!P30+MVTSEPT25!P30+MVTOCT25!P30+MVTNOV25!P30+MVTDEC25!P30</f>
        <v>0</v>
      </c>
      <c r="Q30" s="13">
        <f>MVTJANV25!Q30+MVTFEV25!Q30+MVTMARS25!Q30+MVTAVRIL25!Q30+MVTMAI25!Q30+MVTJUIN25!Q30+MVTJUIL25!Q30+MVTAOUT25!Q30+MVTSEPT25!Q30+MVTOCT25!Q30+MVTNOV25!Q30+MVTDEC25!Q30</f>
        <v>0</v>
      </c>
      <c r="R30" s="13">
        <f>MVTJANV25!R30+MVTFEV25!R30+MVTMARS25!R30+MVTAVRIL25!R30+MVTMAI25!R30+MVTJUIN25!R30+MVTJUIL25!R30+MVTAOUT25!R30+MVTSEPT25!R30+MVTOCT25!R30+MVTNOV25!R30+MVTDEC25!R30</f>
        <v>0</v>
      </c>
      <c r="S30" s="36">
        <f>MVTDEC24!S30+MVTJANV25!S30+MVTFEV25!S30+MVTMARS25!S30+MVTAVRIL25!S30+MVTMAI25!S30+MVTJUIN25!S30+MVTJUIL25!S30+MVTAOUT25!S30+MVTSEPT25!S30+MVTOCT25!S30+MVTNOV25!S30</f>
        <v>0</v>
      </c>
      <c r="T30" s="36">
        <f>MVTDEC24!T30+MVTJANV25!T30+MVTFEV25!T30+MVTMARS25!T30+MVTAVRIL25!T30+MVTMAI25!T30+MVTJUIN25!T30+MVTJUIL25!T30+MVTAOUT25!T30+MVTSEPT25!T30+MVTOCT25!T30+MVTNOV25!T30</f>
        <v>0</v>
      </c>
      <c r="U30" s="13">
        <f>MVTJANV25!U30+MVTFEV25!U30+MVTMARS25!U30+MVTAVRIL25!U30+MVTMAI25!U30+MVTJUIN25!U30+MVTJUIL25!U30+MVTAOUT25!U30+MVTSEPT25!U30+MVTOCT25!U30+MVTNOV25!U30+MVTDEC25!U30</f>
        <v>0</v>
      </c>
      <c r="V30" s="13">
        <f>MVTJANV25!V30+MVTFEV25!V30+MVTMARS25!V30+MVTAVRIL25!V30+MVTMAI25!V30+MVTJUIN25!V30+MVTJUIL25!V30+MVTAOUT25!V30+MVTSEPT25!V30+MVTOCT25!V30+MVTNOV25!V30+MVTDEC25!V30</f>
        <v>0</v>
      </c>
      <c r="W30" s="13">
        <f t="shared" si="1"/>
        <v>0</v>
      </c>
      <c r="X30" s="13"/>
      <c r="Y30" s="13">
        <f>MVTJANV25!Y30+MVTFEV25!Y30+MVTMARS25!Y30+MVTAVRIL25!Y30+MVTMAI25!Y30+MVTJUIN25!Y30+MVTJUIL25!Y30+MVTAOUT25!Y30+MVTSEPT25!Y30+MVTOCT25!Y30+MVTNOV25!Y30+MVTDEC25!Y30</f>
        <v>0</v>
      </c>
      <c r="Z30" s="13">
        <f>MVTJANV25!Z30+MVTFEV25!Z30+MVTMARS25!Z30+MVTAVRIL25!Z30+MVTMAI25!Z30+MVTJUIN25!Z30+MVTJUIL25!Z30+MVTAOUT25!Z30+MVTSEPT25!Z30+MVTOCT25!Z30+MVTNOV25!Z30+MVTDEC25!Z30</f>
        <v>0</v>
      </c>
      <c r="AA30" s="13">
        <f>MVTJANV25!AA30+MVTFEV25!AA30+MVTMARS25!AA30+MVTAVRIL25!AA30+MVTMAI25!AA30+MVTJUIN25!AA30+MVTJUIL25!AA30+MVTAOUT25!AA30+MVTSEPT25!AA30+MVTOCT25!AA30+MVTNOV25!AA30+MVTDEC25!AA30</f>
        <v>0</v>
      </c>
      <c r="AB30" s="13">
        <f>MVTJANV25!AB30+MVTFEV25!AB30+MVTMARS25!AB30+MVTAVRIL25!AB30+MVTMAI25!AB30+MVTJUIN25!AB30+MVTJUIL25!AB30+MVTAOUT25!AB30+MVTSEPT25!AB30+MVTOCT25!AB30+MVTNOV25!AB30+MVTDEC25!AB30</f>
        <v>0</v>
      </c>
      <c r="AC30" s="13">
        <f>MVTJANV25!AC30+MVTFEV25!AC30+MVTMARS25!AC30+MVTAVRIL25!AC30+MVTMAI25!AC30+MVTJUIN25!AC30+MVTJUIL25!AC30+MVTAOUT25!AC30+MVTSEPT25!AC30+MVTOCT25!AC30+MVTNOV25!AC30+MVTDEC25!AC30</f>
        <v>0</v>
      </c>
      <c r="AD30" s="13">
        <f>MVTJANV25!AD30+MVTFEV25!AD30+MVTMARS25!AD30+MVTAVRIL25!AD30+MVTMAI25!AD30+MVTJUIN25!AD30+MVTJUIL25!AD30+MVTAOUT25!AD30+MVTSEPT25!AD30+MVTOCT25!AD30+MVTNOV25!AD30+MVTDEC25!AD30</f>
        <v>0</v>
      </c>
      <c r="AE30" s="13">
        <f>MVTJANV25!AE30+MVTFEV25!AE30+MVTMARS25!AE30+MVTAVRIL25!AE30+MVTMAI25!AE30+MVTJUIN25!AE30+MVTJUIL25!AE30+MVTAOUT25!AE30+MVTSEPT25!AE30+MVTOCT25!AE30+MVTNOV25!AE30+MVTDEC25!AE30</f>
        <v>0</v>
      </c>
      <c r="AF30" s="13">
        <f>MVTJANV25!AF30+MVTFEV25!AF30+MVTMARS25!AF30+MVTAVRIL25!AF30+MVTMAI25!AF30+MVTJUIN25!AF30+MVTJUIL25!AF30+MVTAOUT25!AF30+MVTSEPT25!AF30+MVTOCT25!AF30+MVTNOV25!AF30+MVTDEC25!AF30</f>
        <v>0</v>
      </c>
      <c r="AG30" s="13">
        <f>MVTJANV25!AG30+MVTFEV25!AG30+MVTMARS25!AG30+MVTAVRIL25!AG30+MVTMAI25!AG30+MVTJUIN25!AG30+MVTJUIL25!AG30+MVTAOUT25!AG30+MVTSEPT25!AG30+MVTOCT25!AG30+MVTNOV25!AG30+MVTDEC25!AG30</f>
        <v>0</v>
      </c>
      <c r="AH30" s="13">
        <f>MVTJANV25!AH30+MVTFEV25!AH30+MVTMARS25!AH30+MVTAVRIL25!AH30+MVTMAI25!AH30+MVTJUIN25!AH30+MVTJUIL25!AH30+MVTAOUT25!AH30+MVTSEPT25!AH30+MVTOCT25!AH30+MVTNOV25!AH30+MVTDEC25!AH30</f>
        <v>0</v>
      </c>
      <c r="AI30" s="13">
        <f>MVTJANV25!AI30+MVTFEV25!AI30+MVTMARS25!AI30+MVTAVRIL25!AI30+MVTMAI25!AI30+MVTJUIN25!AI30+MVTJUIL25!AI30+MVTAOUT25!AI30+MVTSEPT25!AI30+MVTOCT25!AI30+MVTNOV25!AI30+MVTDEC25!AI30</f>
        <v>0</v>
      </c>
      <c r="AJ30" s="13">
        <f>MVTJANV25!AJ30+MVTFEV25!AJ30+MVTMARS25!AJ30+MVTAVRIL25!AJ30+MVTMAI25!AJ30+MVTJUIN25!AJ30+MVTJUIL25!AJ30+MVTAOUT25!AJ30+MVTSEPT25!AJ30+MVTOCT25!AJ30+MVTNOV25!AJ30+MVTDEC25!AJ30</f>
        <v>0</v>
      </c>
      <c r="AK30" s="13">
        <f>MVTJANV25!AK30+MVTFEV25!AK30+MVTMARS25!AK30+MVTAVRIL25!AK30+MVTMAI25!AK30+MVTJUIN25!AK30+MVTJUIL25!AK30+MVTAOUT25!AK30+MVTSEPT25!AK30+MVTOCT25!AK30+MVTNOV25!AK30+MVTDEC25!AK30</f>
        <v>0</v>
      </c>
      <c r="AM30" s="11"/>
    </row>
    <row r="31" spans="1:39" ht="15.5" x14ac:dyDescent="0.35">
      <c r="A31" s="1" t="s">
        <v>312</v>
      </c>
      <c r="B31" s="1" t="str">
        <f>VLOOKUP(A31,[24]LISTADHERENT!A$5:H$60,3,0)</f>
        <v>SEUMO POLYCARPE</v>
      </c>
      <c r="C31" s="36">
        <f>+MVTDEC24!C31</f>
        <v>800000</v>
      </c>
      <c r="D31" s="36">
        <f>+MVTDEC24!D31</f>
        <v>-9977</v>
      </c>
      <c r="E31" s="36">
        <f>MVTJANV25!E31+MVTFEV25!E31+MVTMARS25!E31+MVTAVRIL25!E31+MVTMAI25!E31+MVTJUIN25!E31+MVTJUIL25!E31+MVTAOUT25!E31+MVTSEPT25!E31+MVTOCT25!E31+MVTNOV25!E31+MVTDEC25!E31</f>
        <v>0</v>
      </c>
      <c r="F31" s="36">
        <f>MVTJANV25!F31+MVTFEV25!F31+MVTMARS25!F31+MVTAVRIL25!F31+MVTMAI25!F31+MVTJUIN25!F31+MVTJUIL25!F31+MVTAOUT25!F31+MVTSEPT25!F31+MVTOCT25!F31+MVTNOV25!F31+MVTDEC25!F31</f>
        <v>11648417.537551202</v>
      </c>
      <c r="G31" s="5">
        <f>MVTJANV25!G31+MVTFEV25!G31+MVTMARS25!G31+MVTAVRIL25!G31+MVTMAI25!G31+MVTJUIN25!G31+MVTJUIL25!G31+MVTAOUT25!G31+MVTSEPT25!G31+MVTOCT25!G31+MVTNOV25!G31+MVTDEC25!G31</f>
        <v>11203813.462480601</v>
      </c>
      <c r="H31" s="36">
        <f>MVTDEC24!H31+MVTJANV25!H31+MVTFEV25!H31+MVTMARS25!H31+MVTAVRIL25!H31+MVTMAI25!H31+MVTJUIN25!H31+MVTJUIL25!H31+MVTAOUT25!H31+MVTSEPT25!H31+MVTOCT25!H31+MVTNOV25!H31</f>
        <v>66656.14378981333</v>
      </c>
      <c r="I31" s="184">
        <f t="shared" si="0"/>
        <v>11715073.681341015</v>
      </c>
      <c r="J31" s="36">
        <f>MVTJANV25!J31+MVTFEV25!J31+MVTMARS25!J31+MVTAVRIL25!J31+MVTMAI25!J31+MVTJUIN25!J31+MVTJUIL25!J31+MVTAOUT25!J31+MVTSEPT25!J31+MVTOCT25!J31+MVTNOV25!J31+MVTDEC25!J31</f>
        <v>0</v>
      </c>
      <c r="K31" s="36">
        <f>MVTJANV25!K31+MVTFEV25!K31+MVTMARS25!K31+MVTAVRIL25!K31+MVTMAI25!K31+MVTJUIN25!K31+MVTJUIL25!K31+MVTAOUT25!K31+MVTSEPT25!K31+MVTOCT25!K31+MVTNOV25!K31+MVTDEC25!K31</f>
        <v>301000</v>
      </c>
      <c r="L31" s="36">
        <f>MVTJANV25!L31+MVTFEV25!L31+MVTMARS25!L31+MVTAVRIL25!L31+MVTMAI25!L31+MVTJUIN25!L31+MVTJUIL25!L31+MVTAOUT25!L31+MVTSEPT25!L31+MVTOCT25!L31+MVTNOV25!L31+MVTDEC25!L31</f>
        <v>229000</v>
      </c>
      <c r="M31" s="36">
        <f>MVTJANV25!M31+MVTFEV25!M31+MVTMARS25!M31+MVTAVRIL25!M31+MVTMAI25!M31+MVTJUIN25!M31+MVTJUIL25!M31+MVTAOUT25!M31+MVTSEPT25!M31+MVTOCT25!M31+MVTNOV25!M31+MVTDEC25!M31</f>
        <v>12000</v>
      </c>
      <c r="N31" s="36">
        <f>MVTJANV25!N31+MVTFEV25!N31+MVTMARS25!N31+MVTAVRIL25!N31+MVTMAI25!N31+MVTJUIN25!N31+MVTJUIL25!N31+MVTAOUT25!N31+MVTSEPT25!N31+MVTOCT25!N31+MVTNOV25!N31+MVTDEC25!N31</f>
        <v>12000</v>
      </c>
      <c r="O31" s="36">
        <f>MVTJANV25!O31+MVTFEV25!O31+MVTMARS25!O31+MVTAVRIL25!O31+MVTMAI25!O31+MVTJUIN25!O31+MVTJUIL25!O31+MVTAOUT25!O31+MVTSEPT25!O31+MVTOCT25!O31+MVTNOV25!O31+MVTDEC25!O31</f>
        <v>48000</v>
      </c>
      <c r="P31" s="36">
        <f>MVTJANV25!P31+MVTFEV25!P31+MVTMARS25!P31+MVTAVRIL25!P31+MVTMAI25!P31+MVTJUIN25!P31+MVTJUIL25!P31+MVTAOUT25!P31+MVTSEPT25!P31+MVTOCT25!P31+MVTNOV25!P31+MVTDEC25!P31</f>
        <v>0</v>
      </c>
      <c r="Q31" s="36">
        <f>MVTJANV25!Q31+MVTFEV25!Q31+MVTMARS25!Q31+MVTAVRIL25!Q31+MVTMAI25!Q31+MVTJUIN25!Q31+MVTJUIL25!Q31+MVTAOUT25!Q31+MVTSEPT25!Q31+MVTOCT25!Q31+MVTNOV25!Q31+MVTDEC25!Q31</f>
        <v>0</v>
      </c>
      <c r="R31" s="36">
        <f>MVTJANV25!R31+MVTFEV25!R31+MVTMARS25!R31+MVTAVRIL25!R31+MVTMAI25!R31+MVTJUIN25!R31+MVTJUIL25!R31+MVTAOUT25!R31+MVTSEPT25!R31+MVTOCT25!R31+MVTNOV25!R31+MVTDEC25!R31</f>
        <v>0</v>
      </c>
      <c r="S31" s="36">
        <f>MVTDEC24!S31+MVTJANV25!S31+MVTFEV25!S31+MVTMARS25!S31+MVTAVRIL25!S31+MVTMAI25!S31+MVTJUIN25!S31+MVTJUIL25!S31+MVTAOUT25!S31+MVTSEPT25!S31+MVTOCT25!S31+MVTNOV25!S31</f>
        <v>1000000</v>
      </c>
      <c r="T31" s="36">
        <f>MVTDEC24!T31+MVTJANV25!T31+MVTFEV25!T31+MVTMARS25!T31+MVTAVRIL25!T31+MVTMAI25!T31+MVTJUIN25!T31+MVTJUIL25!T31+MVTAOUT25!T31+MVTSEPT25!T31+MVTOCT25!T31+MVTNOV25!T31</f>
        <v>120000</v>
      </c>
      <c r="U31" s="36">
        <f>MVTJANV25!U31+MVTFEV25!U31+MVTMARS25!U31+MVTAVRIL25!U31+MVTMAI25!U31+MVTJUIN25!U31+MVTJUIL25!U31+MVTAOUT25!U31+MVTSEPT25!U31+MVTOCT25!U31+MVTNOV25!U31+MVTDEC25!U31</f>
        <v>0</v>
      </c>
      <c r="V31" s="36">
        <f>MVTJANV25!V31+MVTFEV25!V31+MVTMARS25!V31+MVTAVRIL25!V31+MVTMAI25!V31+MVTJUIN25!V31+MVTJUIL25!V31+MVTAOUT25!V31+MVTSEPT25!V31+MVTOCT25!V31+MVTNOV25!V31+MVTDEC25!V31</f>
        <v>1000000</v>
      </c>
      <c r="W31" s="36">
        <f t="shared" si="1"/>
        <v>0</v>
      </c>
      <c r="X31" s="186">
        <v>46010</v>
      </c>
      <c r="Y31" s="36">
        <f>MVTJANV25!Y31+MVTFEV25!Y31+MVTMARS25!Y31+MVTAVRIL25!Y31+MVTMAI25!Y31+MVTJUIN25!Y31+MVTJUIL25!Y31+MVTAOUT25!Y31+MVTSEPT25!Y31+MVTOCT25!Y31+MVTNOV25!Y31+MVTDEC25!Y31</f>
        <v>0</v>
      </c>
      <c r="Z31" s="36">
        <f>MVTJANV25!Z31+MVTFEV25!Z31+MVTMARS25!Z31+MVTAVRIL25!Z31+MVTMAI25!Z31+MVTJUIN25!Z31+MVTJUIL25!Z31+MVTAOUT25!Z31+MVTSEPT25!Z31+MVTOCT25!Z31+MVTNOV25!Z31+MVTDEC25!Z31</f>
        <v>0</v>
      </c>
      <c r="AA31" s="36">
        <f>MVTJANV25!AA31+MVTFEV25!AA31+MVTMARS25!AA31+MVTAVRIL25!AA31+MVTMAI25!AA31+MVTJUIN25!AA31+MVTJUIL25!AA31+MVTAOUT25!AA31+MVTSEPT25!AA31+MVTOCT25!AA31+MVTNOV25!AA31+MVTDEC25!AA31</f>
        <v>0</v>
      </c>
      <c r="AB31" s="36">
        <f>MVTJANV25!AB31+MVTFEV25!AB31+MVTMARS25!AB31+MVTAVRIL25!AB31+MVTMAI25!AB31+MVTJUIN25!AB31+MVTJUIL25!AB31+MVTAOUT25!AB31+MVTSEPT25!AB31+MVTOCT25!AB31+MVTNOV25!AB31+MVTDEC25!AB31</f>
        <v>0</v>
      </c>
      <c r="AC31" s="36">
        <f>MVTJANV25!AC31+MVTFEV25!AC31+MVTMARS25!AC31+MVTAVRIL25!AC31+MVTMAI25!AC31+MVTJUIN25!AC31+MVTJUIL25!AC31+MVTAOUT25!AC31+MVTSEPT25!AC31+MVTOCT25!AC31+MVTNOV25!AC31+MVTDEC25!AC31</f>
        <v>0</v>
      </c>
      <c r="AD31" s="36">
        <f>MVTJANV25!AD31+MVTFEV25!AD31+MVTMARS25!AD31+MVTAVRIL25!AD31+MVTMAI25!AD31+MVTJUIN25!AD31+MVTJUIL25!AD31+MVTAOUT25!AD31+MVTSEPT25!AD31+MVTOCT25!AD31+MVTNOV25!AD31+MVTDEC25!AD31</f>
        <v>0</v>
      </c>
      <c r="AE31" s="36">
        <f>MVTJANV25!AE31+MVTFEV25!AE31+MVTMARS25!AE31+MVTAVRIL25!AE31+MVTMAI25!AE31+MVTJUIN25!AE31+MVTJUIL25!AE31+MVTAOUT25!AE31+MVTSEPT25!AE31+MVTOCT25!AE31+MVTNOV25!AE31+MVTDEC25!AE31</f>
        <v>0</v>
      </c>
      <c r="AF31" s="36">
        <f>MVTJANV25!AF31+MVTFEV25!AF31+MVTMARS25!AF31+MVTAVRIL25!AF31+MVTMAI25!AF31+MVTJUIN25!AF31+MVTJUIL25!AF31+MVTAOUT25!AF31+MVTSEPT25!AF31+MVTOCT25!AF31+MVTNOV25!AF31+MVTDEC25!AF31</f>
        <v>0</v>
      </c>
      <c r="AG31" s="36">
        <f>MVTJANV25!AG31+MVTFEV25!AG31+MVTMARS25!AG31+MVTAVRIL25!AG31+MVTMAI25!AG31+MVTJUIN25!AG31+MVTJUIL25!AG31+MVTAOUT25!AG31+MVTSEPT25!AG31+MVTOCT25!AG31+MVTNOV25!AG31+MVTDEC25!AG31</f>
        <v>0</v>
      </c>
      <c r="AH31" s="36">
        <f>MVTJANV25!AH31+MVTFEV25!AH31+MVTMARS25!AH31+MVTAVRIL25!AH31+MVTMAI25!AH31+MVTJUIN25!AH31+MVTJUIL25!AH31+MVTAOUT25!AH31+MVTSEPT25!AH31+MVTOCT25!AH31+MVTNOV25!AH31+MVTDEC25!AH31</f>
        <v>0</v>
      </c>
      <c r="AI31" s="36">
        <f>MVTJANV25!AI31+MVTFEV25!AI31+MVTMARS25!AI31+MVTAVRIL25!AI31+MVTMAI25!AI31+MVTJUIN25!AI31+MVTJUIL25!AI31+MVTAOUT25!AI31+MVTSEPT25!AI31+MVTOCT25!AI31+MVTNOV25!AI31+MVTDEC25!AI31</f>
        <v>0</v>
      </c>
      <c r="AJ31" s="36">
        <f>MVTJANV25!AJ31+MVTFEV25!AJ31+MVTMARS25!AJ31+MVTAVRIL25!AJ31+MVTMAI25!AJ31+MVTJUIN25!AJ31+MVTJUIL25!AJ31+MVTAOUT25!AJ31+MVTSEPT25!AJ31+MVTOCT25!AJ31+MVTNOV25!AJ31+MVTDEC25!AJ31</f>
        <v>0</v>
      </c>
      <c r="AK31" s="36">
        <f>MVTJANV25!AK31+MVTFEV25!AK31+MVTMARS25!AK31+MVTAVRIL25!AK31+MVTMAI25!AK31+MVTJUIN25!AK31+MVTJUIL25!AK31+MVTAOUT25!AK31+MVTSEPT25!AK31+MVTOCT25!AK31+MVTNOV25!AK31+MVTDEC25!AK31</f>
        <v>0</v>
      </c>
    </row>
    <row r="32" spans="1:39" ht="15.5" x14ac:dyDescent="0.35">
      <c r="A32" s="1" t="s">
        <v>81</v>
      </c>
      <c r="B32" s="1" t="str">
        <f>VLOOKUP(A32,[24]LISTADHERENT!A$5:H$60,3,0)</f>
        <v>SIME BRICE</v>
      </c>
      <c r="C32" s="36">
        <f>+MVTDEC24!C32</f>
        <v>800000</v>
      </c>
      <c r="D32" s="36">
        <f>+MVTDEC24!D32</f>
        <v>79106</v>
      </c>
      <c r="E32" s="36">
        <f>MVTJANV25!E32+MVTFEV25!E32+MVTMARS25!E32+MVTAVRIL25!E32+MVTMAI25!E32+MVTJUIN25!E32+MVTJUIL25!E32+MVTAOUT25!E32+MVTSEPT25!E32+MVTOCT25!E32+MVTNOV25!E32+MVTDEC25!E32</f>
        <v>0</v>
      </c>
      <c r="F32" s="36">
        <f>MVTJANV25!F32+MVTFEV25!F32+MVTMARS25!F32+MVTAVRIL25!F32+MVTMAI25!F32+MVTJUIN25!F32+MVTJUIL25!F32+MVTAOUT25!F32+MVTSEPT25!F32+MVTOCT25!F32+MVTNOV25!F32+MVTDEC25!F32</f>
        <v>12792064.209542353</v>
      </c>
      <c r="G32" s="5">
        <f>MVTJANV25!G32+MVTFEV25!G32+MVTMARS25!G32+MVTAVRIL25!G32+MVTMAI25!G32+MVTJUIN25!G32+MVTJUIL25!G32+MVTAOUT25!G32+MVTSEPT25!G32+MVTOCT25!G32+MVTNOV25!G32+MVTDEC25!G32</f>
        <v>12344889.431787452</v>
      </c>
      <c r="H32" s="36">
        <f>MVTDEC24!H32+MVTJANV25!H32+MVTFEV25!H32+MVTMARS25!H32+MVTAVRIL25!H32+MVTMAI25!H32+MVTJUIN25!H32+MVTJUIL25!H32+MVTAOUT25!H32+MVTSEPT25!H32+MVTOCT25!H32+MVTNOV25!H32</f>
        <v>73912.983857861342</v>
      </c>
      <c r="I32" s="184">
        <f t="shared" si="0"/>
        <v>12865977.193400213</v>
      </c>
      <c r="J32" s="36">
        <f>MVTJANV25!J32+MVTFEV25!J32+MVTMARS25!J32+MVTAVRIL25!J32+MVTMAI25!J32+MVTJUIN25!J32+MVTJUIL25!J32+MVTAOUT25!J32+MVTSEPT25!J32+MVTOCT25!J32+MVTNOV25!J32+MVTDEC25!J32</f>
        <v>0</v>
      </c>
      <c r="K32" s="36">
        <f>MVTJANV25!K32+MVTFEV25!K32+MVTMARS25!K32+MVTAVRIL25!K32+MVTMAI25!K32+MVTJUIN25!K32+MVTJUIL25!K32+MVTAOUT25!K32+MVTSEPT25!K32+MVTOCT25!K32+MVTNOV25!K32+MVTDEC25!K32</f>
        <v>300000</v>
      </c>
      <c r="L32" s="36">
        <f>MVTJANV25!L32+MVTFEV25!L32+MVTMARS25!L32+MVTAVRIL25!L32+MVTMAI25!L32+MVTJUIN25!L32+MVTJUIL25!L32+MVTAOUT25!L32+MVTSEPT25!L32+MVTOCT25!L32+MVTNOV25!L32+MVTDEC25!L32</f>
        <v>228000</v>
      </c>
      <c r="M32" s="36">
        <f>MVTJANV25!M32+MVTFEV25!M32+MVTMARS25!M32+MVTAVRIL25!M32+MVTMAI25!M32+MVTJUIN25!M32+MVTJUIL25!M32+MVTAOUT25!M32+MVTSEPT25!M32+MVTOCT25!M32+MVTNOV25!M32+MVTDEC25!M32</f>
        <v>12000</v>
      </c>
      <c r="N32" s="36">
        <f>MVTJANV25!N32+MVTFEV25!N32+MVTMARS25!N32+MVTAVRIL25!N32+MVTMAI25!N32+MVTJUIN25!N32+MVTJUIL25!N32+MVTAOUT25!N32+MVTSEPT25!N32+MVTOCT25!N32+MVTNOV25!N32+MVTDEC25!N32</f>
        <v>12000</v>
      </c>
      <c r="O32" s="36">
        <f>MVTJANV25!O32+MVTFEV25!O32+MVTMARS25!O32+MVTAVRIL25!O32+MVTMAI25!O32+MVTJUIN25!O32+MVTJUIL25!O32+MVTAOUT25!O32+MVTSEPT25!O32+MVTOCT25!O32+MVTNOV25!O32+MVTDEC25!O32</f>
        <v>48000</v>
      </c>
      <c r="P32" s="36">
        <f>MVTJANV25!P32+MVTFEV25!P32+MVTMARS25!P32+MVTAVRIL25!P32+MVTMAI25!P32+MVTJUIN25!P32+MVTJUIL25!P32+MVTAOUT25!P32+MVTSEPT25!P32+MVTOCT25!P32+MVTNOV25!P32+MVTDEC25!P32</f>
        <v>6000</v>
      </c>
      <c r="Q32" s="36">
        <f>MVTJANV25!Q32+MVTFEV25!Q32+MVTMARS25!Q32+MVTAVRIL25!Q32+MVTMAI25!Q32+MVTJUIN25!Q32+MVTJUIL25!Q32+MVTAOUT25!Q32+MVTSEPT25!Q32+MVTOCT25!Q32+MVTNOV25!Q32+MVTDEC25!Q32</f>
        <v>0</v>
      </c>
      <c r="R32" s="36">
        <f>MVTJANV25!R32+MVTFEV25!R32+MVTMARS25!R32+MVTAVRIL25!R32+MVTMAI25!R32+MVTJUIN25!R32+MVTJUIL25!R32+MVTAOUT25!R32+MVTSEPT25!R32+MVTOCT25!R32+MVTNOV25!R32+MVTDEC25!R32</f>
        <v>0</v>
      </c>
      <c r="S32" s="36">
        <f>MVTDEC24!S32+MVTJANV25!S32+MVTFEV25!S32+MVTMARS25!S32+MVTAVRIL25!S32+MVTMAI25!S32+MVTJUIN25!S32+MVTJUIL25!S32+MVTAOUT25!S32+MVTSEPT25!S32+MVTOCT25!S32+MVTNOV25!S32</f>
        <v>4000000</v>
      </c>
      <c r="T32" s="36">
        <f>MVTDEC24!T32+MVTJANV25!T32+MVTFEV25!T32+MVTMARS25!T32+MVTAVRIL25!T32+MVTMAI25!T32+MVTJUIN25!T32+MVTJUIL25!T32+MVTAOUT25!T32+MVTSEPT25!T32+MVTOCT25!T32+MVTNOV25!T32</f>
        <v>120000</v>
      </c>
      <c r="U32" s="36">
        <f>MVTJANV25!U32+MVTFEV25!U32+MVTMARS25!U32+MVTAVRIL25!U32+MVTMAI25!U32+MVTJUIN25!U32+MVTJUIL25!U32+MVTAOUT25!U32+MVTSEPT25!U32+MVTOCT25!U32+MVTNOV25!U32+MVTDEC25!U32</f>
        <v>0</v>
      </c>
      <c r="V32" s="36">
        <f>MVTJANV25!V32+MVTFEV25!V32+MVTMARS25!V32+MVTAVRIL25!V32+MVTMAI25!V32+MVTJUIN25!V32+MVTJUIL25!V32+MVTAOUT25!V32+MVTSEPT25!V32+MVTOCT25!V32+MVTNOV25!V32+MVTDEC25!V32</f>
        <v>4000000</v>
      </c>
      <c r="W32" s="36">
        <f t="shared" si="1"/>
        <v>0</v>
      </c>
      <c r="X32" s="186">
        <v>46010</v>
      </c>
      <c r="Y32" s="36">
        <f>MVTJANV25!Y32+MVTFEV25!Y32+MVTMARS25!Y32+MVTAVRIL25!Y32+MVTMAI25!Y32+MVTJUIN25!Y32+MVTJUIL25!Y32+MVTAOUT25!Y32+MVTSEPT25!Y32+MVTOCT25!Y32+MVTNOV25!Y32+MVTDEC25!Y32</f>
        <v>0</v>
      </c>
      <c r="Z32" s="36">
        <f>MVTJANV25!Z32+MVTFEV25!Z32+MVTMARS25!Z32+MVTAVRIL25!Z32+MVTMAI25!Z32+MVTJUIN25!Z32+MVTJUIL25!Z32+MVTAOUT25!Z32+MVTSEPT25!Z32+MVTOCT25!Z32+MVTNOV25!Z32+MVTDEC25!Z32</f>
        <v>0</v>
      </c>
      <c r="AA32" s="36">
        <f>MVTJANV25!AA32+MVTFEV25!AA32+MVTMARS25!AA32+MVTAVRIL25!AA32+MVTMAI25!AA32+MVTJUIN25!AA32+MVTJUIL25!AA32+MVTAOUT25!AA32+MVTSEPT25!AA32+MVTOCT25!AA32+MVTNOV25!AA32+MVTDEC25!AA32</f>
        <v>0</v>
      </c>
      <c r="AB32" s="36">
        <f>MVTJANV25!AB32+MVTFEV25!AB32+MVTMARS25!AB32+MVTAVRIL25!AB32+MVTMAI25!AB32+MVTJUIN25!AB32+MVTJUIL25!AB32+MVTAOUT25!AB32+MVTSEPT25!AB32+MVTOCT25!AB32+MVTNOV25!AB32+MVTDEC25!AB32</f>
        <v>0</v>
      </c>
      <c r="AC32" s="36">
        <f>MVTJANV25!AC32+MVTFEV25!AC32+MVTMARS25!AC32+MVTAVRIL25!AC32+MVTMAI25!AC32+MVTJUIN25!AC32+MVTJUIL25!AC32+MVTAOUT25!AC32+MVTSEPT25!AC32+MVTOCT25!AC32+MVTNOV25!AC32+MVTDEC25!AC32</f>
        <v>0</v>
      </c>
      <c r="AD32" s="36">
        <f>MVTJANV25!AD32+MVTFEV25!AD32+MVTMARS25!AD32+MVTAVRIL25!AD32+MVTMAI25!AD32+MVTJUIN25!AD32+MVTJUIL25!AD32+MVTAOUT25!AD32+MVTSEPT25!AD32+MVTOCT25!AD32+MVTNOV25!AD32+MVTDEC25!AD32</f>
        <v>0</v>
      </c>
      <c r="AE32" s="36">
        <f>MVTJANV25!AE32+MVTFEV25!AE32+MVTMARS25!AE32+MVTAVRIL25!AE32+MVTMAI25!AE32+MVTJUIN25!AE32+MVTJUIL25!AE32+MVTAOUT25!AE32+MVTSEPT25!AE32+MVTOCT25!AE32+MVTNOV25!AE32+MVTDEC25!AE32</f>
        <v>0</v>
      </c>
      <c r="AF32" s="36">
        <f>MVTJANV25!AF32+MVTFEV25!AF32+MVTMARS25!AF32+MVTAVRIL25!AF32+MVTMAI25!AF32+MVTJUIN25!AF32+MVTJUIL25!AF32+MVTAOUT25!AF32+MVTSEPT25!AF32+MVTOCT25!AF32+MVTNOV25!AF32+MVTDEC25!AF32</f>
        <v>0</v>
      </c>
      <c r="AG32" s="36">
        <f>MVTJANV25!AG32+MVTFEV25!AG32+MVTMARS25!AG32+MVTAVRIL25!AG32+MVTMAI25!AG32+MVTJUIN25!AG32+MVTJUIL25!AG32+MVTAOUT25!AG32+MVTSEPT25!AG32+MVTOCT25!AG32+MVTNOV25!AG32+MVTDEC25!AG32</f>
        <v>0</v>
      </c>
      <c r="AH32" s="36">
        <f>MVTJANV25!AH32+MVTFEV25!AH32+MVTMARS25!AH32+MVTAVRIL25!AH32+MVTMAI25!AH32+MVTJUIN25!AH32+MVTJUIL25!AH32+MVTAOUT25!AH32+MVTSEPT25!AH32+MVTOCT25!AH32+MVTNOV25!AH32+MVTDEC25!AH32</f>
        <v>0</v>
      </c>
      <c r="AI32" s="36">
        <f>MVTJANV25!AI32+MVTFEV25!AI32+MVTMARS25!AI32+MVTAVRIL25!AI32+MVTMAI25!AI32+MVTJUIN25!AI32+MVTJUIL25!AI32+MVTAOUT25!AI32+MVTSEPT25!AI32+MVTOCT25!AI32+MVTNOV25!AI32+MVTDEC25!AI32</f>
        <v>100000</v>
      </c>
      <c r="AJ32" s="36">
        <f>MVTJANV25!AJ32+MVTFEV25!AJ32+MVTMARS25!AJ32+MVTAVRIL25!AJ32+MVTMAI25!AJ32+MVTJUIN25!AJ32+MVTJUIL25!AJ32+MVTAOUT25!AJ32+MVTSEPT25!AJ32+MVTOCT25!AJ32+MVTNOV25!AJ32+MVTDEC25!AJ32</f>
        <v>0</v>
      </c>
      <c r="AK32" s="36">
        <f>MVTJANV25!AK32+MVTFEV25!AK32+MVTMARS25!AK32+MVTAVRIL25!AK32+MVTMAI25!AK32+MVTJUIN25!AK32+MVTJUIL25!AK32+MVTAOUT25!AK32+MVTSEPT25!AK32+MVTOCT25!AK32+MVTNOV25!AK32+MVTDEC25!AK32</f>
        <v>0</v>
      </c>
    </row>
    <row r="33" spans="1:38" x14ac:dyDescent="0.35">
      <c r="A33" s="42" t="s">
        <v>44</v>
      </c>
      <c r="B33" s="1" t="str">
        <f>VLOOKUP(A33,[24]LISTADHERENT!A$5:H$60,3,0)</f>
        <v>SIMO FONGANG ERIC</v>
      </c>
      <c r="C33" s="36">
        <f>+MVTDEC24!C33</f>
        <v>0</v>
      </c>
      <c r="D33" s="36">
        <f>+MVTDEC24!D33+153468</f>
        <v>153468</v>
      </c>
      <c r="E33" s="36">
        <f>MVTJANV25!E33+MVTFEV25!E33+MVTMARS25!E33+MVTAVRIL25!E33+MVTMAI25!E33+MVTJUIN25!E33+MVTJUIL25!E33+MVTAOUT25!E33+MVTSEPT25!E33+MVTOCT25!E33+MVTNOV25!E33+MVTDEC25!E33</f>
        <v>0</v>
      </c>
      <c r="F33" s="36">
        <f>MVTJANV25!F33+MVTFEV25!F33+MVTMARS25!F33+MVTAVRIL25!F33+MVTMAI25!F33+MVTJUIN25!F33+MVTJUIL25!F33+MVTAOUT25!F33+MVTSEPT25!F33+MVTOCT25!F33+MVTNOV25!F33+MVTDEC25!F33</f>
        <v>1702500</v>
      </c>
      <c r="G33" s="5">
        <f>MVTJANV25!G33+MVTFEV25!G33+MVTMARS25!G33+MVTAVRIL25!G33+MVTMAI25!G33+MVTJUIN25!G33+MVTJUIL25!G33+MVTAOUT25!G33+MVTSEPT25!G33+MVTOCT25!G33+MVTNOV25!G33+MVTDEC25!G33</f>
        <v>0</v>
      </c>
      <c r="H33" s="36">
        <f>MVTDEC24!H33+MVTJANV25!H33+MVTFEV25!H33+MVTMARS25!H33+MVTAVRIL25!H33+MVTMAI25!H33+MVTJUIN25!H33+MVTJUIL25!H33+MVTAOUT25!H33+MVTSEPT25!H33+MVTOCT25!H33+MVTNOV25!H33</f>
        <v>0</v>
      </c>
      <c r="I33" s="184">
        <f t="shared" si="0"/>
        <v>1702500</v>
      </c>
      <c r="J33" s="36">
        <f>MVTJANV25!J33+MVTFEV25!J33+MVTMARS25!J33+MVTAVRIL25!J33+MVTMAI25!J33+MVTJUIN25!J33+MVTJUIL25!J33+MVTAOUT25!J33+MVTSEPT25!J33+MVTOCT25!J33+MVTNOV25!J33+MVTDEC25!J33</f>
        <v>0</v>
      </c>
      <c r="K33" s="36">
        <f>MVTJANV25!K33+MVTFEV25!K33+MVTMARS25!K33+MVTAVRIL25!K33+MVTMAI25!K33+MVTJUIN25!K33+MVTJUIL25!K33+MVTAOUT25!K33+MVTSEPT25!K33+MVTOCT25!K33+MVTNOV25!K33+MVTDEC25!K33</f>
        <v>592500</v>
      </c>
      <c r="L33" s="36">
        <f>MVTJANV25!L33+MVTFEV25!L33+MVTMARS25!L33+MVTAVRIL25!L33+MVTMAI25!L33+MVTJUIN25!L33+MVTJUIL25!L33+MVTAOUT25!L33+MVTSEPT25!L33+MVTOCT25!L33+MVTNOV25!L33+MVTDEC25!L33</f>
        <v>520500</v>
      </c>
      <c r="M33" s="36">
        <f>MVTJANV25!M33+MVTFEV25!M33+MVTMARS25!M33+MVTAVRIL25!M33+MVTMAI25!M33+MVTJUIN25!M33+MVTJUIL25!M33+MVTAOUT25!M33+MVTSEPT25!M33+MVTOCT25!M33+MVTNOV25!M33+MVTDEC25!M33</f>
        <v>12000</v>
      </c>
      <c r="N33" s="36">
        <f>MVTJANV25!N33+MVTFEV25!N33+MVTMARS25!N33+MVTAVRIL25!N33+MVTMAI25!N33+MVTJUIN25!N33+MVTJUIL25!N33+MVTAOUT25!N33+MVTSEPT25!N33+MVTOCT25!N33+MVTNOV25!N33+MVTDEC25!N33</f>
        <v>12000</v>
      </c>
      <c r="O33" s="36">
        <f>MVTJANV25!O33+MVTFEV25!O33+MVTMARS25!O33+MVTAVRIL25!O33+MVTMAI25!O33+MVTJUIN25!O33+MVTJUIL25!O33+MVTAOUT25!O33+MVTSEPT25!O33+MVTOCT25!O33+MVTNOV25!O33+MVTDEC25!O33</f>
        <v>48000</v>
      </c>
      <c r="P33" s="36">
        <f>MVTJANV25!P33+MVTFEV25!P33+MVTMARS25!P33+MVTAVRIL25!P33+MVTMAI25!P33+MVTJUIN25!P33+MVTJUIL25!P33+MVTAOUT25!P33+MVTSEPT25!P33+MVTOCT25!P33+MVTNOV25!P33+MVTDEC25!P33</f>
        <v>15000</v>
      </c>
      <c r="Q33" s="36">
        <f>MVTJANV25!Q33+MVTFEV25!Q33+MVTMARS25!Q33+MVTAVRIL25!Q33+MVTMAI25!Q33+MVTJUIN25!Q33+MVTJUIL25!Q33+MVTAOUT25!Q33+MVTSEPT25!Q33+MVTOCT25!Q33+MVTNOV25!Q33+MVTDEC25!Q33</f>
        <v>0</v>
      </c>
      <c r="R33" s="36">
        <f>MVTJANV25!R33+MVTFEV25!R33+MVTMARS25!R33+MVTAVRIL25!R33+MVTMAI25!R33+MVTJUIN25!R33+MVTJUIL25!R33+MVTAOUT25!R33+MVTSEPT25!R33+MVTOCT25!R33+MVTNOV25!R33+MVTDEC25!R33</f>
        <v>0</v>
      </c>
      <c r="S33" s="36">
        <f>MVTDEC24!S33+MVTJANV25!S33+MVTFEV25!S33+MVTMARS25!S33+MVTAVRIL25!S33+MVTMAI25!S33+MVTJUIN25!S33+MVTJUIL25!S33+MVTAOUT25!S33+MVTSEPT25!S33+MVTOCT25!S33+MVTNOV25!S33</f>
        <v>0</v>
      </c>
      <c r="T33" s="36">
        <f>MVTDEC24!T33+MVTJANV25!T33+MVTFEV25!T33+MVTMARS25!T33+MVTAVRIL25!T33+MVTMAI25!T33+MVTJUIN25!T33+MVTJUIL25!T33+MVTAOUT25!T33+MVTSEPT25!T33+MVTOCT25!T33+MVTNOV25!T33</f>
        <v>0</v>
      </c>
      <c r="U33" s="36">
        <f>MVTJANV25!U33+MVTFEV25!U33+MVTMARS25!U33+MVTAVRIL25!U33+MVTMAI25!U33+MVTJUIN25!U33+MVTJUIL25!U33+MVTAOUT25!U33+MVTSEPT25!U33+MVTOCT25!U33+MVTNOV25!U33+MVTDEC25!U33</f>
        <v>0</v>
      </c>
      <c r="V33" s="36">
        <f>MVTJANV25!V33+MVTFEV25!V33+MVTMARS25!V33+MVTAVRIL25!V33+MVTMAI25!V33+MVTJUIN25!V33+MVTJUIL25!V33+MVTAOUT25!V33+MVTSEPT25!V33+MVTOCT25!V33+MVTNOV25!V33+MVTDEC25!V33</f>
        <v>0</v>
      </c>
      <c r="W33" s="36">
        <f t="shared" si="1"/>
        <v>0</v>
      </c>
      <c r="X33" s="36"/>
      <c r="Y33" s="36">
        <f>MVTJANV25!Y33+MVTFEV25!Y33+MVTMARS25!Y33+MVTAVRIL25!Y33+MVTMAI25!Y33+MVTJUIN25!Y33+MVTJUIL25!Y33+MVTAOUT25!Y33+MVTSEPT25!Y33+MVTOCT25!Y33+MVTNOV25!Y33+MVTDEC25!Y33</f>
        <v>0</v>
      </c>
      <c r="Z33" s="36">
        <f>MVTJANV25!Z33+MVTFEV25!Z33+MVTMARS25!Z33+MVTAVRIL25!Z33+MVTMAI25!Z33+MVTJUIN25!Z33+MVTJUIL25!Z33+MVTAOUT25!Z33+MVTSEPT25!Z33+MVTOCT25!Z33+MVTNOV25!Z33+MVTDEC25!Z33</f>
        <v>0</v>
      </c>
      <c r="AA33" s="36">
        <f>MVTJANV25!AA33+MVTFEV25!AA33+MVTMARS25!AA33+MVTAVRIL25!AA33+MVTMAI25!AA33+MVTJUIN25!AA33+MVTJUIL25!AA33+MVTAOUT25!AA33+MVTSEPT25!AA33+MVTOCT25!AA33+MVTNOV25!AA33+MVTDEC25!AA33</f>
        <v>0</v>
      </c>
      <c r="AB33" s="36">
        <f>MVTJANV25!AB33+MVTFEV25!AB33+MVTMARS25!AB33+MVTAVRIL25!AB33+MVTMAI25!AB33+MVTJUIN25!AB33+MVTJUIL25!AB33+MVTAOUT25!AB33+MVTSEPT25!AB33+MVTOCT25!AB33+MVTNOV25!AB33+MVTDEC25!AB33</f>
        <v>0</v>
      </c>
      <c r="AC33" s="36">
        <f>MVTJANV25!AC33+MVTFEV25!AC33+MVTMARS25!AC33+MVTAVRIL25!AC33+MVTMAI25!AC33+MVTJUIN25!AC33+MVTJUIL25!AC33+MVTAOUT25!AC33+MVTSEPT25!AC33+MVTOCT25!AC33+MVTNOV25!AC33+MVTDEC25!AC33</f>
        <v>0</v>
      </c>
      <c r="AD33" s="36">
        <f>MVTJANV25!AD33+MVTFEV25!AD33+MVTMARS25!AD33+MVTAVRIL25!AD33+MVTMAI25!AD33+MVTJUIN25!AD33+MVTJUIL25!AD33+MVTAOUT25!AD33+MVTSEPT25!AD33+MVTOCT25!AD33+MVTNOV25!AD33+MVTDEC25!AD33</f>
        <v>0</v>
      </c>
      <c r="AE33" s="36">
        <f>MVTJANV25!AE33+MVTFEV25!AE33+MVTMARS25!AE33+MVTAVRIL25!AE33+MVTMAI25!AE33+MVTJUIN25!AE33+MVTJUIL25!AE33+MVTAOUT25!AE33+MVTSEPT25!AE33+MVTOCT25!AE33+MVTNOV25!AE33+MVTDEC25!AE33</f>
        <v>300000</v>
      </c>
      <c r="AF33" s="36">
        <f>MVTJANV25!AF33+MVTFEV25!AF33+MVTMARS25!AF33+MVTAVRIL25!AF33+MVTMAI25!AF33+MVTJUIN25!AF33+MVTJUIL25!AF33+MVTAOUT25!AF33+MVTSEPT25!AF33+MVTOCT25!AF33+MVTNOV25!AF33+MVTDEC25!AF33</f>
        <v>0</v>
      </c>
      <c r="AG33" s="36">
        <f>MVTJANV25!AG33+MVTFEV25!AG33+MVTMARS25!AG33+MVTAVRIL25!AG33+MVTMAI25!AG33+MVTJUIN25!AG33+MVTJUIL25!AG33+MVTAOUT25!AG33+MVTSEPT25!AG33+MVTOCT25!AG33+MVTNOV25!AG33+MVTDEC25!AG33</f>
        <v>0</v>
      </c>
      <c r="AH33" s="36">
        <f>MVTJANV25!AH33+MVTFEV25!AH33+MVTMARS25!AH33+MVTAVRIL25!AH33+MVTMAI25!AH33+MVTJUIN25!AH33+MVTJUIL25!AH33+MVTAOUT25!AH33+MVTSEPT25!AH33+MVTOCT25!AH33+MVTNOV25!AH33+MVTDEC25!AH33</f>
        <v>0</v>
      </c>
      <c r="AI33" s="36">
        <f>MVTJANV25!AI33+MVTFEV25!AI33+MVTMARS25!AI33+MVTAVRIL25!AI33+MVTMAI25!AI33+MVTJUIN25!AI33+MVTJUIL25!AI33+MVTAOUT25!AI33+MVTSEPT25!AI33+MVTOCT25!AI33+MVTNOV25!AI33+MVTDEC25!AI33</f>
        <v>0</v>
      </c>
      <c r="AJ33" s="36">
        <f>MVTJANV25!AJ33+MVTFEV25!AJ33+MVTMARS25!AJ33+MVTAVRIL25!AJ33+MVTMAI25!AJ33+MVTJUIN25!AJ33+MVTJUIL25!AJ33+MVTAOUT25!AJ33+MVTSEPT25!AJ33+MVTOCT25!AJ33+MVTNOV25!AJ33+MVTDEC25!AJ33</f>
        <v>0</v>
      </c>
      <c r="AK33" s="36">
        <f>MVTJANV25!AK33+MVTFEV25!AK33+MVTMARS25!AK33+MVTAVRIL25!AK33+MVTMAI25!AK33+MVTJUIN25!AK33+MVTJUIL25!AK33+MVTAOUT25!AK33+MVTSEPT25!AK33+MVTOCT25!AK33+MVTNOV25!AK33+MVTDEC25!AK33</f>
        <v>0</v>
      </c>
    </row>
    <row r="34" spans="1:38" ht="15.5" x14ac:dyDescent="0.35">
      <c r="A34" s="1" t="s">
        <v>49</v>
      </c>
      <c r="B34" s="1" t="str">
        <f>VLOOKUP(A34,[24]LISTADHERENT!A$5:H$60,3,0)</f>
        <v>SIMO PIERRE</v>
      </c>
      <c r="C34" s="36">
        <f>+MVTDEC24!C34</f>
        <v>800000</v>
      </c>
      <c r="D34" s="36">
        <f>+MVTDEC24!D34</f>
        <v>46691</v>
      </c>
      <c r="E34" s="36">
        <f>MVTJANV25!E34+MVTFEV25!E34+MVTMARS25!E34+MVTAVRIL25!E34+MVTMAI25!E34+MVTJUIN25!E34+MVTJUIL25!E34+MVTAOUT25!E34+MVTSEPT25!E34+MVTOCT25!E34+MVTNOV25!E34+MVTDEC25!E34</f>
        <v>0</v>
      </c>
      <c r="F34" s="36">
        <f>MVTJANV25!F34+MVTFEV25!F34+MVTMARS25!F34+MVTAVRIL25!F34+MVTMAI25!F34+MVTJUIN25!F34+MVTJUIL25!F34+MVTAOUT25!F34+MVTSEPT25!F34+MVTOCT25!F34+MVTNOV25!F34+MVTDEC25!F34</f>
        <v>12269375.547992162</v>
      </c>
      <c r="G34" s="5">
        <f>MVTJANV25!G34+MVTFEV25!G34+MVTMARS25!G34+MVTAVRIL25!G34+MVTMAI25!G34+MVTJUIN25!G34+MVTJUIL25!G34+MVTAOUT25!G34+MVTSEPT25!G34+MVTOCT25!G34+MVTNOV25!G34+MVTDEC25!G34</f>
        <v>11917321.14383596</v>
      </c>
      <c r="H34" s="36">
        <f>MVTDEC24!H34+MVTJANV25!H34+MVTFEV25!H34+MVTMARS25!H34+MVTAVRIL25!H34+MVTMAI25!H34+MVTJUIN25!H34+MVTJUIL25!H34+MVTAOUT25!H34+MVTSEPT25!H34+MVTOCT25!H34+MVTNOV25!H34</f>
        <v>71169.78950010569</v>
      </c>
      <c r="I34" s="184">
        <f t="shared" si="0"/>
        <v>12340545.337492269</v>
      </c>
      <c r="J34" s="36">
        <f>MVTJANV25!J34+MVTFEV25!J34+MVTMARS25!J34+MVTAVRIL25!J34+MVTMAI25!J34+MVTJUIN25!J34+MVTJUIL25!J34+MVTAOUT25!J34+MVTSEPT25!J34+MVTOCT25!J34+MVTNOV25!J34+MVTDEC25!J34</f>
        <v>0</v>
      </c>
      <c r="K34" s="36">
        <f>MVTJANV25!K34+MVTFEV25!K34+MVTMARS25!K34+MVTAVRIL25!K34+MVTMAI25!K34+MVTJUIN25!K34+MVTJUIL25!K34+MVTAOUT25!K34+MVTSEPT25!K34+MVTOCT25!K34+MVTNOV25!K34+MVTDEC25!K34</f>
        <v>205000</v>
      </c>
      <c r="L34" s="36">
        <f>MVTJANV25!L34+MVTFEV25!L34+MVTMARS25!L34+MVTAVRIL25!L34+MVTMAI25!L34+MVTJUIN25!L34+MVTJUIL25!L34+MVTAOUT25!L34+MVTSEPT25!L34+MVTOCT25!L34+MVTNOV25!L34+MVTDEC25!L34</f>
        <v>215000</v>
      </c>
      <c r="M34" s="36">
        <f>MVTJANV25!M34+MVTFEV25!M34+MVTMARS25!M34+MVTAVRIL25!M34+MVTMAI25!M34+MVTJUIN25!M34+MVTJUIL25!M34+MVTAOUT25!M34+MVTSEPT25!M34+MVTOCT25!M34+MVTNOV25!M34+MVTDEC25!M34</f>
        <v>8000</v>
      </c>
      <c r="N34" s="36">
        <f>MVTJANV25!N34+MVTFEV25!N34+MVTMARS25!N34+MVTAVRIL25!N34+MVTMAI25!N34+MVTJUIN25!N34+MVTJUIL25!N34+MVTAOUT25!N34+MVTSEPT25!N34+MVTOCT25!N34+MVTNOV25!N34+MVTDEC25!N34</f>
        <v>8000</v>
      </c>
      <c r="O34" s="36">
        <f>MVTJANV25!O34+MVTFEV25!O34+MVTMARS25!O34+MVTAVRIL25!O34+MVTMAI25!O34+MVTJUIN25!O34+MVTJUIL25!O34+MVTAOUT25!O34+MVTSEPT25!O34+MVTOCT25!O34+MVTNOV25!O34+MVTDEC25!O34</f>
        <v>32000</v>
      </c>
      <c r="P34" s="36">
        <f>MVTJANV25!P34+MVTFEV25!P34+MVTMARS25!P34+MVTAVRIL25!P34+MVTMAI25!P34+MVTJUIN25!P34+MVTJUIL25!P34+MVTAOUT25!P34+MVTSEPT25!P34+MVTOCT25!P34+MVTNOV25!P34+MVTDEC25!P34</f>
        <v>0</v>
      </c>
      <c r="Q34" s="36">
        <f>MVTJANV25!Q34+MVTFEV25!Q34+MVTMARS25!Q34+MVTAVRIL25!Q34+MVTMAI25!Q34+MVTJUIN25!Q34+MVTJUIL25!Q34+MVTAOUT25!Q34+MVTSEPT25!Q34+MVTOCT25!Q34+MVTNOV25!Q34+MVTDEC25!Q34</f>
        <v>0</v>
      </c>
      <c r="R34" s="36">
        <f>MVTJANV25!R34+MVTFEV25!R34+MVTMARS25!R34+MVTAVRIL25!R34+MVTMAI25!R34+MVTJUIN25!R34+MVTJUIL25!R34+MVTAOUT25!R34+MVTSEPT25!R34+MVTOCT25!R34+MVTNOV25!R34+MVTDEC25!R34</f>
        <v>0</v>
      </c>
      <c r="S34" s="36">
        <f>MVTDEC24!S34+MVTJANV25!S34+MVTFEV25!S34+MVTMARS25!S34+MVTAVRIL25!S34+MVTMAI25!S34+MVTJUIN25!S34+MVTJUIL25!S34+MVTAOUT25!S34+MVTSEPT25!S34+MVTOCT25!S34+MVTNOV25!S34</f>
        <v>1000000</v>
      </c>
      <c r="T34" s="36">
        <f>MVTDEC24!T34+MVTJANV25!T34+MVTFEV25!T34+MVTMARS25!T34+MVTAVRIL25!T34+MVTMAI25!T34+MVTJUIN25!T34+MVTJUIL25!T34+MVTAOUT25!T34+MVTSEPT25!T34+MVTOCT25!T34+MVTNOV25!T34</f>
        <v>120000</v>
      </c>
      <c r="U34" s="36">
        <f>MVTJANV25!U34+MVTFEV25!U34+MVTMARS25!U34+MVTAVRIL25!U34+MVTMAI25!U34+MVTJUIN25!U34+MVTJUIL25!U34+MVTAOUT25!U34+MVTSEPT25!U34+MVTOCT25!U34+MVTNOV25!U34+MVTDEC25!U34</f>
        <v>0</v>
      </c>
      <c r="V34" s="36">
        <f>MVTJANV25!V34+MVTFEV25!V34+MVTMARS25!V34+MVTAVRIL25!V34+MVTMAI25!V34+MVTJUIN25!V34+MVTJUIL25!V34+MVTAOUT25!V34+MVTSEPT25!V34+MVTOCT25!V34+MVTNOV25!V34+MVTDEC25!V34</f>
        <v>1000000</v>
      </c>
      <c r="W34" s="36">
        <f t="shared" si="1"/>
        <v>0</v>
      </c>
      <c r="X34" s="186">
        <v>46010</v>
      </c>
      <c r="Y34" s="36">
        <f>MVTJANV25!Y34+MVTFEV25!Y34+MVTMARS25!Y34+MVTAVRIL25!Y34+MVTMAI25!Y34+MVTJUIN25!Y34+MVTJUIL25!Y34+MVTAOUT25!Y34+MVTSEPT25!Y34+MVTOCT25!Y34+MVTNOV25!Y34+MVTDEC25!Y34</f>
        <v>0</v>
      </c>
      <c r="Z34" s="36">
        <f>MVTJANV25!Z34+MVTFEV25!Z34+MVTMARS25!Z34+MVTAVRIL25!Z34+MVTMAI25!Z34+MVTJUIN25!Z34+MVTJUIL25!Z34+MVTAOUT25!Z34+MVTSEPT25!Z34+MVTOCT25!Z34+MVTNOV25!Z34+MVTDEC25!Z34</f>
        <v>0</v>
      </c>
      <c r="AA34" s="36">
        <f>MVTJANV25!AA34+MVTFEV25!AA34+MVTMARS25!AA34+MVTAVRIL25!AA34+MVTMAI25!AA34+MVTJUIN25!AA34+MVTJUIL25!AA34+MVTAOUT25!AA34+MVTSEPT25!AA34+MVTOCT25!AA34+MVTNOV25!AA34+MVTDEC25!AA34</f>
        <v>0</v>
      </c>
      <c r="AB34" s="36">
        <f>MVTJANV25!AB34+MVTFEV25!AB34+MVTMARS25!AB34+MVTAVRIL25!AB34+MVTMAI25!AB34+MVTJUIN25!AB34+MVTJUIL25!AB34+MVTAOUT25!AB34+MVTSEPT25!AB34+MVTOCT25!AB34+MVTNOV25!AB34+MVTDEC25!AB34</f>
        <v>0</v>
      </c>
      <c r="AC34" s="36">
        <f>MVTJANV25!AC34+MVTFEV25!AC34+MVTMARS25!AC34+MVTAVRIL25!AC34+MVTMAI25!AC34+MVTJUIN25!AC34+MVTJUIL25!AC34+MVTAOUT25!AC34+MVTSEPT25!AC34+MVTOCT25!AC34+MVTNOV25!AC34+MVTDEC25!AC34</f>
        <v>0</v>
      </c>
      <c r="AD34" s="36">
        <f>MVTJANV25!AD34+MVTFEV25!AD34+MVTMARS25!AD34+MVTAVRIL25!AD34+MVTMAI25!AD34+MVTJUIN25!AD34+MVTJUIL25!AD34+MVTAOUT25!AD34+MVTSEPT25!AD34+MVTOCT25!AD34+MVTNOV25!AD34+MVTDEC25!AD34</f>
        <v>0</v>
      </c>
      <c r="AE34" s="36">
        <f>MVTJANV25!AE34+MVTFEV25!AE34+MVTMARS25!AE34+MVTAVRIL25!AE34+MVTMAI25!AE34+MVTJUIN25!AE34+MVTJUIL25!AE34+MVTAOUT25!AE34+MVTSEPT25!AE34+MVTOCT25!AE34+MVTNOV25!AE34+MVTDEC25!AE34</f>
        <v>0</v>
      </c>
      <c r="AF34" s="36">
        <f>MVTJANV25!AF34+MVTFEV25!AF34+MVTMARS25!AF34+MVTAVRIL25!AF34+MVTMAI25!AF34+MVTJUIN25!AF34+MVTJUIL25!AF34+MVTAOUT25!AF34+MVTSEPT25!AF34+MVTOCT25!AF34+MVTNOV25!AF34+MVTDEC25!AF34</f>
        <v>0</v>
      </c>
      <c r="AG34" s="36">
        <f>MVTJANV25!AG34+MVTFEV25!AG34+MVTMARS25!AG34+MVTAVRIL25!AG34+MVTMAI25!AG34+MVTJUIN25!AG34+MVTJUIL25!AG34+MVTAOUT25!AG34+MVTSEPT25!AG34+MVTOCT25!AG34+MVTNOV25!AG34+MVTDEC25!AG34</f>
        <v>0</v>
      </c>
      <c r="AH34" s="36">
        <f>MVTJANV25!AH34+MVTFEV25!AH34+MVTMARS25!AH34+MVTAVRIL25!AH34+MVTMAI25!AH34+MVTJUIN25!AH34+MVTJUIL25!AH34+MVTAOUT25!AH34+MVTSEPT25!AH34+MVTOCT25!AH34+MVTNOV25!AH34+MVTDEC25!AH34</f>
        <v>0</v>
      </c>
      <c r="AI34" s="36">
        <f>MVTJANV25!AI34+MVTFEV25!AI34+MVTMARS25!AI34+MVTAVRIL25!AI34+MVTMAI25!AI34+MVTJUIN25!AI34+MVTJUIL25!AI34+MVTAOUT25!AI34+MVTSEPT25!AI34+MVTOCT25!AI34+MVTNOV25!AI34+MVTDEC25!AI34</f>
        <v>0</v>
      </c>
      <c r="AJ34" s="36">
        <f>MVTJANV25!AJ34+MVTFEV25!AJ34+MVTMARS25!AJ34+MVTAVRIL25!AJ34+MVTMAI25!AJ34+MVTJUIN25!AJ34+MVTJUIL25!AJ34+MVTAOUT25!AJ34+MVTSEPT25!AJ34+MVTOCT25!AJ34+MVTNOV25!AJ34+MVTDEC25!AJ34</f>
        <v>0</v>
      </c>
      <c r="AK34" s="36">
        <f>MVTJANV25!AK34+MVTFEV25!AK34+MVTMARS25!AK34+MVTAVRIL25!AK34+MVTMAI25!AK34+MVTJUIN25!AK34+MVTJUIL25!AK34+MVTAOUT25!AK34+MVTSEPT25!AK34+MVTOCT25!AK34+MVTNOV25!AK34+MVTDEC25!AK34</f>
        <v>0</v>
      </c>
    </row>
    <row r="35" spans="1:38" s="2" customFormat="1" ht="15.5" x14ac:dyDescent="0.35">
      <c r="A35" s="1" t="s">
        <v>51</v>
      </c>
      <c r="B35" s="1" t="str">
        <f>VLOOKUP(A35,[24]LISTADHERENT!A$5:H$60,3,0)</f>
        <v>TCHOUAMOU MATHIEU</v>
      </c>
      <c r="C35" s="36">
        <f>+MVTDEC24!C35</f>
        <v>800000</v>
      </c>
      <c r="D35" s="36">
        <f>+MVTDEC24!D35</f>
        <v>6050</v>
      </c>
      <c r="E35" s="36">
        <f>MVTJANV25!E35+MVTFEV25!E35+MVTMARS25!E35+MVTAVRIL25!E35+MVTMAI25!E35+MVTJUIN25!E35+MVTJUIL25!E35+MVTAOUT25!E35+MVTSEPT25!E35+MVTOCT25!E35+MVTNOV25!E35+MVTDEC25!E35</f>
        <v>0</v>
      </c>
      <c r="F35" s="36">
        <f>MVTJANV25!F35+MVTFEV25!F35+MVTMARS25!F35+MVTAVRIL25!F35+MVTMAI25!F35+MVTJUIN25!F35+MVTJUIL25!F35+MVTAOUT25!F35+MVTSEPT25!F35+MVTOCT25!F35+MVTNOV25!F35+MVTDEC25!F35</f>
        <v>11853351.91573786</v>
      </c>
      <c r="G35" s="5">
        <f>MVTJANV25!G35+MVTFEV25!G35+MVTMARS25!G35+MVTAVRIL25!G35+MVTMAI25!G35+MVTJUIN25!G35+MVTJUIL25!G35+MVTAOUT25!G35+MVTSEPT25!G35+MVTOCT25!G35+MVTNOV25!G35+MVTDEC25!G35</f>
        <v>11408285.343311749</v>
      </c>
      <c r="H35" s="36">
        <f>MVTDEC24!H35+MVTJANV25!H35+MVTFEV25!H35+MVTMARS25!H35+MVTAVRIL25!H35+MVTMAI25!H35+MVTJUIN25!H35+MVTJUIL25!H35+MVTAOUT25!H35+MVTSEPT25!H35+MVTOCT25!H35+MVTNOV25!H35</f>
        <v>67961.72819728285</v>
      </c>
      <c r="I35" s="184">
        <f t="shared" si="0"/>
        <v>11921313.643935142</v>
      </c>
      <c r="J35" s="36">
        <f>MVTJANV25!J35+MVTFEV25!J35+MVTMARS25!J35+MVTAVRIL25!J35+MVTMAI25!J35+MVTJUIN25!J35+MVTJUIL25!J35+MVTAOUT25!J35+MVTSEPT25!J35+MVTOCT25!J35+MVTNOV25!J35+MVTDEC25!J35</f>
        <v>0</v>
      </c>
      <c r="K35" s="36">
        <f>MVTJANV25!K35+MVTFEV25!K35+MVTMARS25!K35+MVTAVRIL25!K35+MVTMAI25!K35+MVTJUIN25!K35+MVTJUIL25!K35+MVTAOUT25!K35+MVTSEPT25!K35+MVTOCT25!K35+MVTNOV25!K35+MVTDEC25!K35</f>
        <v>300000</v>
      </c>
      <c r="L35" s="36">
        <f>MVTJANV25!L35+MVTFEV25!L35+MVTMARS25!L35+MVTAVRIL25!L35+MVTMAI25!L35+MVTJUIN25!L35+MVTJUIL25!L35+MVTAOUT25!L35+MVTSEPT25!L35+MVTOCT25!L35+MVTNOV25!L35+MVTDEC25!L35</f>
        <v>228000</v>
      </c>
      <c r="M35" s="36">
        <f>MVTJANV25!M35+MVTFEV25!M35+MVTMARS25!M35+MVTAVRIL25!M35+MVTMAI25!M35+MVTJUIN25!M35+MVTJUIL25!M35+MVTAOUT25!M35+MVTSEPT25!M35+MVTOCT25!M35+MVTNOV25!M35+MVTDEC25!M35</f>
        <v>12000</v>
      </c>
      <c r="N35" s="36">
        <f>MVTJANV25!N35+MVTFEV25!N35+MVTMARS25!N35+MVTAVRIL25!N35+MVTMAI25!N35+MVTJUIN25!N35+MVTJUIL25!N35+MVTAOUT25!N35+MVTSEPT25!N35+MVTOCT25!N35+MVTNOV25!N35+MVTDEC25!N35</f>
        <v>12000</v>
      </c>
      <c r="O35" s="36">
        <f>MVTJANV25!O35+MVTFEV25!O35+MVTMARS25!O35+MVTAVRIL25!O35+MVTMAI25!O35+MVTJUIN25!O35+MVTJUIL25!O35+MVTAOUT25!O35+MVTSEPT25!O35+MVTOCT25!O35+MVTNOV25!O35+MVTDEC25!O35</f>
        <v>48000</v>
      </c>
      <c r="P35" s="36">
        <f>MVTJANV25!P35+MVTFEV25!P35+MVTMARS25!P35+MVTAVRIL25!P35+MVTMAI25!P35+MVTJUIN25!P35+MVTJUIL25!P35+MVTAOUT25!P35+MVTSEPT25!P35+MVTOCT25!P35+MVTNOV25!P35+MVTDEC25!P35</f>
        <v>0</v>
      </c>
      <c r="Q35" s="36">
        <f>MVTJANV25!Q35+MVTFEV25!Q35+MVTMARS25!Q35+MVTAVRIL25!Q35+MVTMAI25!Q35+MVTJUIN25!Q35+MVTJUIL25!Q35+MVTAOUT25!Q35+MVTSEPT25!Q35+MVTOCT25!Q35+MVTNOV25!Q35+MVTDEC25!Q35</f>
        <v>0</v>
      </c>
      <c r="R35" s="36">
        <f>MVTJANV25!R35+MVTFEV25!R35+MVTMARS25!R35+MVTAVRIL25!R35+MVTMAI25!R35+MVTJUIN25!R35+MVTJUIL25!R35+MVTAOUT25!R35+MVTSEPT25!R35+MVTOCT25!R35+MVTNOV25!R35+MVTDEC25!R35</f>
        <v>0</v>
      </c>
      <c r="S35" s="36">
        <f>MVTDEC24!S35+MVTJANV25!S35+MVTFEV25!S35+MVTMARS25!S35+MVTAVRIL25!S35+MVTMAI25!S35+MVTJUIN25!S35+MVTJUIL25!S35+MVTAOUT25!S35+MVTSEPT25!S35+MVTOCT25!S35+MVTNOV25!S35</f>
        <v>1000000</v>
      </c>
      <c r="T35" s="36">
        <f>MVTDEC24!T35+MVTJANV25!T35+MVTFEV25!T35+MVTMARS25!T35+MVTAVRIL25!T35+MVTMAI25!T35+MVTJUIN25!T35+MVTJUIL25!T35+MVTAOUT25!T35+MVTSEPT25!T35+MVTOCT25!T35+MVTNOV25!T35</f>
        <v>120000</v>
      </c>
      <c r="U35" s="36">
        <f>MVTJANV25!U35+MVTFEV25!U35+MVTMARS25!U35+MVTAVRIL25!U35+MVTMAI25!U35+MVTJUIN25!U35+MVTJUIL25!U35+MVTAOUT25!U35+MVTSEPT25!U35+MVTOCT25!U35+MVTNOV25!U35+MVTDEC25!U35</f>
        <v>0</v>
      </c>
      <c r="V35" s="36">
        <f>MVTJANV25!V35+MVTFEV25!V35+MVTMARS25!V35+MVTAVRIL25!V35+MVTMAI25!V35+MVTJUIN25!V35+MVTJUIL25!V35+MVTAOUT25!V35+MVTSEPT25!V35+MVTOCT25!V35+MVTNOV25!V35+MVTDEC25!V35</f>
        <v>1000000</v>
      </c>
      <c r="W35" s="36">
        <f t="shared" si="1"/>
        <v>0</v>
      </c>
      <c r="X35" s="186">
        <v>46010</v>
      </c>
      <c r="Y35" s="36">
        <f>MVTJANV25!Y35+MVTFEV25!Y35+MVTMARS25!Y35+MVTAVRIL25!Y35+MVTMAI25!Y35+MVTJUIN25!Y35+MVTJUIL25!Y35+MVTAOUT25!Y35+MVTSEPT25!Y35+MVTOCT25!Y35+MVTNOV25!Y35+MVTDEC25!Y35</f>
        <v>0</v>
      </c>
      <c r="Z35" s="36">
        <f>MVTJANV25!Z35+MVTFEV25!Z35+MVTMARS25!Z35+MVTAVRIL25!Z35+MVTMAI25!Z35+MVTJUIN25!Z35+MVTJUIL25!Z35+MVTAOUT25!Z35+MVTSEPT25!Z35+MVTOCT25!Z35+MVTNOV25!Z35+MVTDEC25!Z35</f>
        <v>0</v>
      </c>
      <c r="AA35" s="36">
        <f>MVTJANV25!AA35+MVTFEV25!AA35+MVTMARS25!AA35+MVTAVRIL25!AA35+MVTMAI25!AA35+MVTJUIN25!AA35+MVTJUIL25!AA35+MVTAOUT25!AA35+MVTSEPT25!AA35+MVTOCT25!AA35+MVTNOV25!AA35+MVTDEC25!AA35</f>
        <v>0</v>
      </c>
      <c r="AB35" s="36">
        <f>MVTJANV25!AB35+MVTFEV25!AB35+MVTMARS25!AB35+MVTAVRIL25!AB35+MVTMAI25!AB35+MVTJUIN25!AB35+MVTJUIL25!AB35+MVTAOUT25!AB35+MVTSEPT25!AB35+MVTOCT25!AB35+MVTNOV25!AB35+MVTDEC25!AB35</f>
        <v>0</v>
      </c>
      <c r="AC35" s="36">
        <f>MVTJANV25!AC35+MVTFEV25!AC35+MVTMARS25!AC35+MVTAVRIL25!AC35+MVTMAI25!AC35+MVTJUIN25!AC35+MVTJUIL25!AC35+MVTAOUT25!AC35+MVTSEPT25!AC35+MVTOCT25!AC35+MVTNOV25!AC35+MVTDEC25!AC35</f>
        <v>0</v>
      </c>
      <c r="AD35" s="36">
        <f>MVTJANV25!AD35+MVTFEV25!AD35+MVTMARS25!AD35+MVTAVRIL25!AD35+MVTMAI25!AD35+MVTJUIN25!AD35+MVTJUIL25!AD35+MVTAOUT25!AD35+MVTSEPT25!AD35+MVTOCT25!AD35+MVTNOV25!AD35+MVTDEC25!AD35</f>
        <v>0</v>
      </c>
      <c r="AE35" s="36">
        <f>MVTJANV25!AE35+MVTFEV25!AE35+MVTMARS25!AE35+MVTAVRIL25!AE35+MVTMAI25!AE35+MVTJUIN25!AE35+MVTJUIL25!AE35+MVTAOUT25!AE35+MVTSEPT25!AE35+MVTOCT25!AE35+MVTNOV25!AE35+MVTDEC25!AE35</f>
        <v>0</v>
      </c>
      <c r="AF35" s="36">
        <f>MVTJANV25!AF35+MVTFEV25!AF35+MVTMARS25!AF35+MVTAVRIL25!AF35+MVTMAI25!AF35+MVTJUIN25!AF35+MVTJUIL25!AF35+MVTAOUT25!AF35+MVTSEPT25!AF35+MVTOCT25!AF35+MVTNOV25!AF35+MVTDEC25!AF35</f>
        <v>0</v>
      </c>
      <c r="AG35" s="36">
        <f>MVTJANV25!AG35+MVTFEV25!AG35+MVTMARS25!AG35+MVTAVRIL25!AG35+MVTMAI25!AG35+MVTJUIN25!AG35+MVTJUIL25!AG35+MVTAOUT25!AG35+MVTSEPT25!AG35+MVTOCT25!AG35+MVTNOV25!AG35+MVTDEC25!AG35</f>
        <v>0</v>
      </c>
      <c r="AH35" s="36">
        <f>MVTJANV25!AH35+MVTFEV25!AH35+MVTMARS25!AH35+MVTAVRIL25!AH35+MVTMAI25!AH35+MVTJUIN25!AH35+MVTJUIL25!AH35+MVTAOUT25!AH35+MVTSEPT25!AH35+MVTOCT25!AH35+MVTNOV25!AH35+MVTDEC25!AH35</f>
        <v>0</v>
      </c>
      <c r="AI35" s="36">
        <f>MVTJANV25!AI35+MVTFEV25!AI35+MVTMARS25!AI35+MVTAVRIL25!AI35+MVTMAI25!AI35+MVTJUIN25!AI35+MVTJUIL25!AI35+MVTAOUT25!AI35+MVTSEPT25!AI35+MVTOCT25!AI35+MVTNOV25!AI35+MVTDEC25!AI35</f>
        <v>0</v>
      </c>
      <c r="AJ35" s="36">
        <f>MVTJANV25!AJ35+MVTFEV25!AJ35+MVTMARS25!AJ35+MVTAVRIL25!AJ35+MVTMAI25!AJ35+MVTJUIN25!AJ35+MVTJUIL25!AJ35+MVTAOUT25!AJ35+MVTSEPT25!AJ35+MVTOCT25!AJ35+MVTNOV25!AJ35+MVTDEC25!AJ35</f>
        <v>0</v>
      </c>
      <c r="AK35" s="36">
        <f>MVTJANV25!AK35+MVTFEV25!AK35+MVTMARS25!AK35+MVTAVRIL25!AK35+MVTMAI25!AK35+MVTJUIN25!AK35+MVTJUIL25!AK35+MVTAOUT25!AK35+MVTSEPT25!AK35+MVTOCT25!AK35+MVTNOV25!AK35+MVTDEC25!AK35</f>
        <v>0</v>
      </c>
      <c r="AL35"/>
    </row>
    <row r="36" spans="1:38" s="2" customFormat="1" ht="15.5" x14ac:dyDescent="0.35">
      <c r="A36" s="1" t="s">
        <v>327</v>
      </c>
      <c r="B36" s="1" t="str">
        <f>VLOOKUP(A36,[24]LISTADHERENT!A$5:H$60,3,0)</f>
        <v>TCHOUATEU AUGUSTIN</v>
      </c>
      <c r="C36" s="36">
        <f>+MVTDEC24!C36</f>
        <v>800000</v>
      </c>
      <c r="D36" s="36">
        <f>+MVTDEC24!D36</f>
        <v>-3392</v>
      </c>
      <c r="E36" s="36">
        <f>MVTJANV25!E36+MVTFEV25!E36+MVTMARS25!E36+MVTAVRIL25!E36+MVTMAI25!E36+MVTJUIN25!E36+MVTJUIL25!E36+MVTAOUT25!E36+MVTSEPT25!E36+MVTOCT25!E36+MVTNOV25!E36+MVTDEC25!E36</f>
        <v>0</v>
      </c>
      <c r="F36" s="36">
        <f>MVTJANV25!F36+MVTFEV25!F36+MVTMARS25!F36+MVTAVRIL25!F36+MVTMAI25!F36+MVTJUIN25!F36+MVTJUIL25!F36+MVTAOUT25!F36+MVTSEPT25!F36+MVTOCT25!F36+MVTNOV25!F36+MVTDEC25!F36</f>
        <v>11732029.622180838</v>
      </c>
      <c r="G36" s="5">
        <f>MVTJANV25!G36+MVTFEV25!G36+MVTMARS25!G36+MVTAVRIL25!G36+MVTMAI25!G36+MVTJUIN25!G36+MVTJUIL25!G36+MVTAOUT25!G36+MVTSEPT25!G36+MVTOCT25!G36+MVTNOV25!G36+MVTDEC25!G36</f>
        <v>11287235.521211065</v>
      </c>
      <c r="H36" s="36">
        <f>MVTDEC24!H36+MVTJANV25!H36+MVTFEV25!H36+MVTMARS25!H36+MVTAVRIL25!H36+MVTMAI25!H36+MVTJUIN25!H36+MVTJUIL25!H36+MVTAOUT25!H36+MVTSEPT25!H36+MVTOCT25!H36+MVTNOV25!H36</f>
        <v>67192.568156393914</v>
      </c>
      <c r="I36" s="184">
        <f t="shared" si="0"/>
        <v>11799222.190337231</v>
      </c>
      <c r="J36" s="36">
        <f>MVTJANV25!J36+MVTFEV25!J36+MVTMARS25!J36+MVTAVRIL25!J36+MVTMAI25!J36+MVTJUIN25!J36+MVTJUIL25!J36+MVTAOUT25!J36+MVTSEPT25!J36+MVTOCT25!J36+MVTNOV25!J36+MVTDEC25!J36</f>
        <v>0</v>
      </c>
      <c r="K36" s="36">
        <f>MVTJANV25!K36+MVTFEV25!K36+MVTMARS25!K36+MVTAVRIL25!K36+MVTMAI25!K36+MVTJUIN25!K36+MVTJUIL25!K36+MVTAOUT25!K36+MVTSEPT25!K36+MVTOCT25!K36+MVTNOV25!K36+MVTDEC25!K36</f>
        <v>300000</v>
      </c>
      <c r="L36" s="36">
        <f>MVTJANV25!L36+MVTFEV25!L36+MVTMARS25!L36+MVTAVRIL25!L36+MVTMAI25!L36+MVTJUIN25!L36+MVTJUIL25!L36+MVTAOUT25!L36+MVTSEPT25!L36+MVTOCT25!L36+MVTNOV25!L36+MVTDEC25!L36</f>
        <v>228000</v>
      </c>
      <c r="M36" s="36">
        <f>MVTJANV25!M36+MVTFEV25!M36+MVTMARS25!M36+MVTAVRIL25!M36+MVTMAI25!M36+MVTJUIN25!M36+MVTJUIL25!M36+MVTAOUT25!M36+MVTSEPT25!M36+MVTOCT25!M36+MVTNOV25!M36+MVTDEC25!M36</f>
        <v>12000</v>
      </c>
      <c r="N36" s="36">
        <f>MVTJANV25!N36+MVTFEV25!N36+MVTMARS25!N36+MVTAVRIL25!N36+MVTMAI25!N36+MVTJUIN25!N36+MVTJUIL25!N36+MVTAOUT25!N36+MVTSEPT25!N36+MVTOCT25!N36+MVTNOV25!N36+MVTDEC25!N36</f>
        <v>12000</v>
      </c>
      <c r="O36" s="36">
        <f>MVTJANV25!O36+MVTFEV25!O36+MVTMARS25!O36+MVTAVRIL25!O36+MVTMAI25!O36+MVTJUIN25!O36+MVTJUIL25!O36+MVTAOUT25!O36+MVTSEPT25!O36+MVTOCT25!O36+MVTNOV25!O36+MVTDEC25!O36</f>
        <v>48000</v>
      </c>
      <c r="P36" s="36">
        <f>MVTJANV25!P36+MVTFEV25!P36+MVTMARS25!P36+MVTAVRIL25!P36+MVTMAI25!P36+MVTJUIN25!P36+MVTJUIL25!P36+MVTAOUT25!P36+MVTSEPT25!P36+MVTOCT25!P36+MVTNOV25!P36+MVTDEC25!P36</f>
        <v>0</v>
      </c>
      <c r="Q36" s="36">
        <f>MVTJANV25!Q36+MVTFEV25!Q36+MVTMARS25!Q36+MVTAVRIL25!Q36+MVTMAI25!Q36+MVTJUIN25!Q36+MVTJUIL25!Q36+MVTAOUT25!Q36+MVTSEPT25!Q36+MVTOCT25!Q36+MVTNOV25!Q36+MVTDEC25!Q36</f>
        <v>0</v>
      </c>
      <c r="R36" s="36">
        <f>MVTJANV25!R36+MVTFEV25!R36+MVTMARS25!R36+MVTAVRIL25!R36+MVTMAI25!R36+MVTJUIN25!R36+MVTJUIL25!R36+MVTAOUT25!R36+MVTSEPT25!R36+MVTOCT25!R36+MVTNOV25!R36+MVTDEC25!R36</f>
        <v>0</v>
      </c>
      <c r="S36" s="36">
        <f>MVTDEC24!S36+MVTJANV25!S36+MVTFEV25!S36+MVTMARS25!S36+MVTAVRIL25!S36+MVTMAI25!S36+MVTJUIN25!S36+MVTJUIL25!S36+MVTAOUT25!S36+MVTSEPT25!S36+MVTOCT25!S36+MVTNOV25!S36</f>
        <v>1000000</v>
      </c>
      <c r="T36" s="36">
        <f>MVTDEC24!T36+MVTJANV25!T36+MVTFEV25!T36+MVTMARS25!T36+MVTAVRIL25!T36+MVTMAI25!T36+MVTJUIN25!T36+MVTJUIL25!T36+MVTAOUT25!T36+MVTSEPT25!T36+MVTOCT25!T36+MVTNOV25!T36</f>
        <v>120000</v>
      </c>
      <c r="U36" s="36">
        <f>MVTJANV25!U36+MVTFEV25!U36+MVTMARS25!U36+MVTAVRIL25!U36+MVTMAI25!U36+MVTJUIN25!U36+MVTJUIL25!U36+MVTAOUT25!U36+MVTSEPT25!U36+MVTOCT25!U36+MVTNOV25!U36+MVTDEC25!U36</f>
        <v>0</v>
      </c>
      <c r="V36" s="36">
        <f>MVTJANV25!V36+MVTFEV25!V36+MVTMARS25!V36+MVTAVRIL25!V36+MVTMAI25!V36+MVTJUIN25!V36+MVTJUIL25!V36+MVTAOUT25!V36+MVTSEPT25!V36+MVTOCT25!V36+MVTNOV25!V36+MVTDEC25!V36</f>
        <v>1000000</v>
      </c>
      <c r="W36" s="36">
        <f t="shared" si="1"/>
        <v>0</v>
      </c>
      <c r="X36" s="186">
        <v>46010</v>
      </c>
      <c r="Y36" s="36">
        <f>MVTJANV25!Y36+MVTFEV25!Y36+MVTMARS25!Y36+MVTAVRIL25!Y36+MVTMAI25!Y36+MVTJUIN25!Y36+MVTJUIL25!Y36+MVTAOUT25!Y36+MVTSEPT25!Y36+MVTOCT25!Y36+MVTNOV25!Y36+MVTDEC25!Y36</f>
        <v>0</v>
      </c>
      <c r="Z36" s="36">
        <f>MVTJANV25!Z36+MVTFEV25!Z36+MVTMARS25!Z36+MVTAVRIL25!Z36+MVTMAI25!Z36+MVTJUIN25!Z36+MVTJUIL25!Z36+MVTAOUT25!Z36+MVTSEPT25!Z36+MVTOCT25!Z36+MVTNOV25!Z36+MVTDEC25!Z36</f>
        <v>0</v>
      </c>
      <c r="AA36" s="36">
        <f>MVTJANV25!AA36+MVTFEV25!AA36+MVTMARS25!AA36+MVTAVRIL25!AA36+MVTMAI25!AA36+MVTJUIN25!AA36+MVTJUIL25!AA36+MVTAOUT25!AA36+MVTSEPT25!AA36+MVTOCT25!AA36+MVTNOV25!AA36+MVTDEC25!AA36</f>
        <v>0</v>
      </c>
      <c r="AB36" s="36">
        <f>MVTJANV25!AB36+MVTFEV25!AB36+MVTMARS25!AB36+MVTAVRIL25!AB36+MVTMAI25!AB36+MVTJUIN25!AB36+MVTJUIL25!AB36+MVTAOUT25!AB36+MVTSEPT25!AB36+MVTOCT25!AB36+MVTNOV25!AB36+MVTDEC25!AB36</f>
        <v>0</v>
      </c>
      <c r="AC36" s="36">
        <f>MVTJANV25!AC36+MVTFEV25!AC36+MVTMARS25!AC36+MVTAVRIL25!AC36+MVTMAI25!AC36+MVTJUIN25!AC36+MVTJUIL25!AC36+MVTAOUT25!AC36+MVTSEPT25!AC36+MVTOCT25!AC36+MVTNOV25!AC36+MVTDEC25!AC36</f>
        <v>0</v>
      </c>
      <c r="AD36" s="36">
        <f>MVTJANV25!AD36+MVTFEV25!AD36+MVTMARS25!AD36+MVTAVRIL25!AD36+MVTMAI25!AD36+MVTJUIN25!AD36+MVTJUIL25!AD36+MVTAOUT25!AD36+MVTSEPT25!AD36+MVTOCT25!AD36+MVTNOV25!AD36+MVTDEC25!AD36</f>
        <v>0</v>
      </c>
      <c r="AE36" s="36">
        <f>MVTJANV25!AE36+MVTFEV25!AE36+MVTMARS25!AE36+MVTAVRIL25!AE36+MVTMAI25!AE36+MVTJUIN25!AE36+MVTJUIL25!AE36+MVTAOUT25!AE36+MVTSEPT25!AE36+MVTOCT25!AE36+MVTNOV25!AE36+MVTDEC25!AE36</f>
        <v>0</v>
      </c>
      <c r="AF36" s="36">
        <f>MVTJANV25!AF36+MVTFEV25!AF36+MVTMARS25!AF36+MVTAVRIL25!AF36+MVTMAI25!AF36+MVTJUIN25!AF36+MVTJUIL25!AF36+MVTAOUT25!AF36+MVTSEPT25!AF36+MVTOCT25!AF36+MVTNOV25!AF36+MVTDEC25!AF36</f>
        <v>0</v>
      </c>
      <c r="AG36" s="36">
        <f>MVTJANV25!AG36+MVTFEV25!AG36+MVTMARS25!AG36+MVTAVRIL25!AG36+MVTMAI25!AG36+MVTJUIN25!AG36+MVTJUIL25!AG36+MVTAOUT25!AG36+MVTSEPT25!AG36+MVTOCT25!AG36+MVTNOV25!AG36+MVTDEC25!AG36</f>
        <v>0</v>
      </c>
      <c r="AH36" s="36">
        <f>MVTJANV25!AH36+MVTFEV25!AH36+MVTMARS25!AH36+MVTAVRIL25!AH36+MVTMAI25!AH36+MVTJUIN25!AH36+MVTJUIL25!AH36+MVTAOUT25!AH36+MVTSEPT25!AH36+MVTOCT25!AH36+MVTNOV25!AH36+MVTDEC25!AH36</f>
        <v>0</v>
      </c>
      <c r="AI36" s="36">
        <f>MVTJANV25!AI36+MVTFEV25!AI36+MVTMARS25!AI36+MVTAVRIL25!AI36+MVTMAI25!AI36+MVTJUIN25!AI36+MVTJUIL25!AI36+MVTAOUT25!AI36+MVTSEPT25!AI36+MVTOCT25!AI36+MVTNOV25!AI36+MVTDEC25!AI36</f>
        <v>100000</v>
      </c>
      <c r="AJ36" s="36">
        <f>MVTJANV25!AJ36+MVTFEV25!AJ36+MVTMARS25!AJ36+MVTAVRIL25!AJ36+MVTMAI25!AJ36+MVTJUIN25!AJ36+MVTJUIL25!AJ36+MVTAOUT25!AJ36+MVTSEPT25!AJ36+MVTOCT25!AJ36+MVTNOV25!AJ36+MVTDEC25!AJ36</f>
        <v>0</v>
      </c>
      <c r="AK36" s="36">
        <f>MVTJANV25!AK36+MVTFEV25!AK36+MVTMARS25!AK36+MVTAVRIL25!AK36+MVTMAI25!AK36+MVTJUIN25!AK36+MVTJUIL25!AK36+MVTAOUT25!AK36+MVTSEPT25!AK36+MVTOCT25!AK36+MVTNOV25!AK36+MVTDEC25!AK36</f>
        <v>0</v>
      </c>
      <c r="AL36"/>
    </row>
    <row r="37" spans="1:38" s="2" customFormat="1" x14ac:dyDescent="0.35">
      <c r="A37" s="1" t="s">
        <v>53</v>
      </c>
      <c r="B37" s="1" t="str">
        <f>VLOOKUP(A37,[24]LISTADHERENT!A$5:H$60,3,0)</f>
        <v>TCHOUTOU NANA CLAUDE</v>
      </c>
      <c r="C37" s="36">
        <f>+MVTDEC24!C37</f>
        <v>0</v>
      </c>
      <c r="D37" s="36">
        <f>+MVTDEC24!D37</f>
        <v>487750</v>
      </c>
      <c r="E37" s="36">
        <f>MVTJANV25!E37+MVTFEV25!E37+MVTMARS25!E37+MVTAVRIL25!E37+MVTMAI25!E37+MVTJUIN25!E37+MVTJUIL25!E37+MVTAOUT25!E37+MVTSEPT25!E37+MVTOCT25!E37+MVTNOV25!E37+MVTDEC25!E37</f>
        <v>0</v>
      </c>
      <c r="F37" s="36">
        <f>MVTJANV25!F37+MVTFEV25!F37+MVTMARS25!F37+MVTAVRIL25!F37+MVTMAI25!F37+MVTJUIN25!F37+MVTJUIL25!F37+MVTAOUT25!F37+MVTSEPT25!F37+MVTOCT25!F37+MVTNOV25!F37+MVTDEC25!F37</f>
        <v>7743000</v>
      </c>
      <c r="G37" s="5">
        <f>MVTJANV25!G37+MVTFEV25!G37+MVTMARS25!G37+MVTAVRIL25!G37+MVTMAI25!G37+MVTJUIN25!G37+MVTJUIL25!G37+MVTAOUT25!G37+MVTSEPT25!G37+MVTOCT25!G37+MVTNOV25!G37+MVTDEC25!G37</f>
        <v>1377000</v>
      </c>
      <c r="H37" s="36">
        <f>MVTDEC24!H37+MVTJANV25!H37+MVTFEV25!H37+MVTMARS25!H37+MVTAVRIL25!H37+MVTMAI25!H37+MVTJUIN25!H37+MVTJUIL25!H37+MVTAOUT25!H37+MVTSEPT25!H37+MVTOCT25!H37+MVTNOV25!H37</f>
        <v>0</v>
      </c>
      <c r="I37" s="184">
        <f t="shared" si="0"/>
        <v>7743000</v>
      </c>
      <c r="J37" s="36">
        <f>MVTJANV25!J37+MVTFEV25!J37+MVTMARS25!J37+MVTAVRIL25!J37+MVTMAI25!J37+MVTJUIN25!J37+MVTJUIL25!J37+MVTAOUT25!J37+MVTSEPT25!J37+MVTOCT25!J37+MVTNOV25!J37+MVTDEC25!J37</f>
        <v>0</v>
      </c>
      <c r="K37" s="36">
        <f>MVTJANV25!K37+MVTFEV25!K37+MVTMARS25!K37+MVTAVRIL25!K37+MVTMAI25!K37+MVTJUIN25!K37+MVTJUIL25!K37+MVTAOUT25!K37+MVTSEPT25!K37+MVTOCT25!K37+MVTNOV25!K37+MVTDEC25!K37</f>
        <v>514500</v>
      </c>
      <c r="L37" s="36">
        <f>MVTJANV25!L37+MVTFEV25!L37+MVTMARS25!L37+MVTAVRIL25!L37+MVTMAI25!L37+MVTJUIN25!L37+MVTJUIL25!L37+MVTAOUT25!L37+MVTSEPT25!L37+MVTOCT25!L37+MVTNOV25!L37+MVTDEC25!L37</f>
        <v>442500</v>
      </c>
      <c r="M37" s="36">
        <f>MVTJANV25!M37+MVTFEV25!M37+MVTMARS25!M37+MVTAVRIL25!M37+MVTMAI25!M37+MVTJUIN25!M37+MVTJUIL25!M37+MVTAOUT25!M37+MVTSEPT25!M37+MVTOCT25!M37+MVTNOV25!M37+MVTDEC25!M37</f>
        <v>12000</v>
      </c>
      <c r="N37" s="36">
        <f>MVTJANV25!N37+MVTFEV25!N37+MVTMARS25!N37+MVTAVRIL25!N37+MVTMAI25!N37+MVTJUIN25!N37+MVTJUIL25!N37+MVTAOUT25!N37+MVTSEPT25!N37+MVTOCT25!N37+MVTNOV25!N37+MVTDEC25!N37</f>
        <v>12000</v>
      </c>
      <c r="O37" s="36">
        <f>MVTJANV25!O37+MVTFEV25!O37+MVTMARS25!O37+MVTAVRIL25!O37+MVTMAI25!O37+MVTJUIN25!O37+MVTJUIL25!O37+MVTAOUT25!O37+MVTSEPT25!O37+MVTOCT25!O37+MVTNOV25!O37+MVTDEC25!O37</f>
        <v>48000</v>
      </c>
      <c r="P37" s="36">
        <f>MVTJANV25!P37+MVTFEV25!P37+MVTMARS25!P37+MVTAVRIL25!P37+MVTMAI25!P37+MVTJUIN25!P37+MVTJUIL25!P37+MVTAOUT25!P37+MVTSEPT25!P37+MVTOCT25!P37+MVTNOV25!P37+MVTDEC25!P37</f>
        <v>0</v>
      </c>
      <c r="Q37" s="36">
        <f>MVTJANV25!Q37+MVTFEV25!Q37+MVTMARS25!Q37+MVTAVRIL25!Q37+MVTMAI25!Q37+MVTJUIN25!Q37+MVTJUIL25!Q37+MVTAOUT25!Q37+MVTSEPT25!Q37+MVTOCT25!Q37+MVTNOV25!Q37+MVTDEC25!Q37</f>
        <v>0</v>
      </c>
      <c r="R37" s="36">
        <f>MVTJANV25!R37+MVTFEV25!R37+MVTMARS25!R37+MVTAVRIL25!R37+MVTMAI25!R37+MVTJUIN25!R37+MVTJUIL25!R37+MVTAOUT25!R37+MVTSEPT25!R37+MVTOCT25!R37+MVTNOV25!R37+MVTDEC25!R37</f>
        <v>0</v>
      </c>
      <c r="S37" s="36">
        <f>MVTDEC24!S37+MVTJANV25!S37+MVTFEV25!S37+MVTMARS25!S37+MVTAVRIL25!S37+MVTMAI25!S37+MVTJUIN25!S37+MVTJUIL25!S37+MVTAOUT25!S37+MVTSEPT25!S37+MVTOCT25!S37+MVTNOV25!S37</f>
        <v>0</v>
      </c>
      <c r="T37" s="36">
        <f>MVTDEC24!T37+MVTJANV25!T37+MVTFEV25!T37+MVTMARS25!T37+MVTAVRIL25!T37+MVTMAI25!T37+MVTJUIN25!T37+MVTJUIL25!T37+MVTAOUT25!T37+MVTSEPT25!T37+MVTOCT25!T37+MVTNOV25!T37</f>
        <v>0</v>
      </c>
      <c r="U37" s="36">
        <f>MVTJANV25!U37+MVTFEV25!U37+MVTMARS25!U37+MVTAVRIL25!U37+MVTMAI25!U37+MVTJUIN25!U37+MVTJUIL25!U37+MVTAOUT25!U37+MVTSEPT25!U37+MVTOCT25!U37+MVTNOV25!U37+MVTDEC25!U37</f>
        <v>0</v>
      </c>
      <c r="V37" s="36">
        <f>MVTJANV25!V37+MVTFEV25!V37+MVTMARS25!V37+MVTAVRIL25!V37+MVTMAI25!V37+MVTJUIN25!V37+MVTJUIL25!V37+MVTAOUT25!V37+MVTSEPT25!V37+MVTOCT25!V37+MVTNOV25!V37+MVTDEC25!V37</f>
        <v>0</v>
      </c>
      <c r="W37" s="36">
        <f t="shared" si="1"/>
        <v>0</v>
      </c>
      <c r="X37" s="36"/>
      <c r="Y37" s="36">
        <f>MVTJANV25!Y37+MVTFEV25!Y37+MVTMARS25!Y37+MVTAVRIL25!Y37+MVTMAI25!Y37+MVTJUIN25!Y37+MVTJUIL25!Y37+MVTAOUT25!Y37+MVTSEPT25!Y37+MVTOCT25!Y37+MVTNOV25!Y37+MVTDEC25!Y37</f>
        <v>0</v>
      </c>
      <c r="Z37" s="36">
        <f>MVTJANV25!Z37+MVTFEV25!Z37+MVTMARS25!Z37+MVTAVRIL25!Z37+MVTMAI25!Z37+MVTJUIN25!Z37+MVTJUIL25!Z37+MVTAOUT25!Z37+MVTSEPT25!Z37+MVTOCT25!Z37+MVTNOV25!Z37+MVTDEC25!Z37</f>
        <v>0</v>
      </c>
      <c r="AA37" s="36">
        <f>MVTJANV25!AA37+MVTFEV25!AA37+MVTMARS25!AA37+MVTAVRIL25!AA37+MVTMAI25!AA37+MVTJUIN25!AA37+MVTJUIL25!AA37+MVTAOUT25!AA37+MVTSEPT25!AA37+MVTOCT25!AA37+MVTNOV25!AA37+MVTDEC25!AA37</f>
        <v>0</v>
      </c>
      <c r="AB37" s="36">
        <f>MVTJANV25!AB37+MVTFEV25!AB37+MVTMARS25!AB37+MVTAVRIL25!AB37+MVTMAI25!AB37+MVTJUIN25!AB37+MVTJUIL25!AB37+MVTAOUT25!AB37+MVTSEPT25!AB37+MVTOCT25!AB37+MVTNOV25!AB37+MVTDEC25!AB37</f>
        <v>0</v>
      </c>
      <c r="AC37" s="36">
        <f>MVTJANV25!AC37+MVTFEV25!AC37+MVTMARS25!AC37+MVTAVRIL25!AC37+MVTMAI25!AC37+MVTJUIN25!AC37+MVTJUIL25!AC37+MVTAOUT25!AC37+MVTSEPT25!AC37+MVTOCT25!AC37+MVTNOV25!AC37+MVTDEC25!AC37</f>
        <v>0</v>
      </c>
      <c r="AD37" s="36">
        <f>MVTJANV25!AD37+MVTFEV25!AD37+MVTMARS25!AD37+MVTAVRIL25!AD37+MVTMAI25!AD37+MVTJUIN25!AD37+MVTJUIL25!AD37+MVTAOUT25!AD37+MVTSEPT25!AD37+MVTOCT25!AD37+MVTNOV25!AD37+MVTDEC25!AD37</f>
        <v>0</v>
      </c>
      <c r="AE37" s="36">
        <f>MVTJANV25!AE37+MVTFEV25!AE37+MVTMARS25!AE37+MVTAVRIL25!AE37+MVTMAI25!AE37+MVTJUIN25!AE37+MVTJUIL25!AE37+MVTAOUT25!AE37+MVTSEPT25!AE37+MVTOCT25!AE37+MVTNOV25!AE37+MVTDEC25!AE37</f>
        <v>0</v>
      </c>
      <c r="AF37" s="36">
        <f>MVTJANV25!AF37+MVTFEV25!AF37+MVTMARS25!AF37+MVTAVRIL25!AF37+MVTMAI25!AF37+MVTJUIN25!AF37+MVTJUIL25!AF37+MVTAOUT25!AF37+MVTSEPT25!AF37+MVTOCT25!AF37+MVTNOV25!AF37+MVTDEC25!AF37</f>
        <v>0</v>
      </c>
      <c r="AG37" s="36">
        <f>MVTJANV25!AG37+MVTFEV25!AG37+MVTMARS25!AG37+MVTAVRIL25!AG37+MVTMAI25!AG37+MVTJUIN25!AG37+MVTJUIL25!AG37+MVTAOUT25!AG37+MVTSEPT25!AG37+MVTOCT25!AG37+MVTNOV25!AG37+MVTDEC25!AG37</f>
        <v>0</v>
      </c>
      <c r="AH37" s="36">
        <f>MVTJANV25!AH37+MVTFEV25!AH37+MVTMARS25!AH37+MVTAVRIL25!AH37+MVTMAI25!AH37+MVTJUIN25!AH37+MVTJUIL25!AH37+MVTAOUT25!AH37+MVTSEPT25!AH37+MVTOCT25!AH37+MVTNOV25!AH37+MVTDEC25!AH37</f>
        <v>0</v>
      </c>
      <c r="AI37" s="36">
        <f>MVTJANV25!AI37+MVTFEV25!AI37+MVTMARS25!AI37+MVTAVRIL25!AI37+MVTMAI25!AI37+MVTJUIN25!AI37+MVTJUIL25!AI37+MVTAOUT25!AI37+MVTSEPT25!AI37+MVTOCT25!AI37+MVTNOV25!AI37+MVTDEC25!AI37</f>
        <v>100000</v>
      </c>
      <c r="AJ37" s="36">
        <f>MVTJANV25!AJ37+MVTFEV25!AJ37+MVTMARS25!AJ37+MVTAVRIL25!AJ37+MVTMAI25!AJ37+MVTJUIN25!AJ37+MVTJUIL25!AJ37+MVTAOUT25!AJ37+MVTSEPT25!AJ37+MVTOCT25!AJ37+MVTNOV25!AJ37+MVTDEC25!AJ37</f>
        <v>0</v>
      </c>
      <c r="AK37" s="36">
        <f>MVTJANV25!AK37+MVTFEV25!AK37+MVTMARS25!AK37+MVTAVRIL25!AK37+MVTMAI25!AK37+MVTJUIN25!AK37+MVTJUIL25!AK37+MVTAOUT25!AK37+MVTSEPT25!AK37+MVTOCT25!AK37+MVTNOV25!AK37+MVTDEC25!AK37</f>
        <v>0</v>
      </c>
      <c r="AL37"/>
    </row>
    <row r="38" spans="1:38" s="2" customFormat="1" x14ac:dyDescent="0.35">
      <c r="A38" s="1" t="s">
        <v>338</v>
      </c>
      <c r="B38" s="1" t="str">
        <f>VLOOKUP(A38,[24]LISTADHERENT!A$5:H$60,3,0)</f>
        <v>TIEYAM ERNEST</v>
      </c>
      <c r="C38" s="36">
        <f>+MVTDEC24!C38</f>
        <v>0</v>
      </c>
      <c r="D38" s="36">
        <f>+MVTDEC24!D38</f>
        <v>0</v>
      </c>
      <c r="E38" s="36">
        <f>MVTJANV25!E38+MVTFEV25!E38+MVTMARS25!E38+MVTAVRIL25!E38+MVTMAI25!E38+MVTJUIN25!E38+MVTJUIL25!E38+MVTAOUT25!E38+MVTSEPT25!E38+MVTOCT25!E38+MVTNOV25!E38+MVTDEC25!E38</f>
        <v>0</v>
      </c>
      <c r="F38" s="36">
        <f>MVTJANV25!F38+MVTFEV25!F38+MVTMARS25!F38+MVTAVRIL25!F38+MVTMAI25!F38+MVTJUIN25!F38+MVTJUIL25!F38+MVTAOUT25!F38+MVTSEPT25!F38+MVTOCT25!F38+MVTNOV25!F38+MVTDEC25!F38</f>
        <v>1662500</v>
      </c>
      <c r="G38" s="5">
        <f>MVTJANV25!G38+MVTFEV25!G38+MVTMARS25!G38+MVTAVRIL25!G38+MVTMAI25!G38+MVTJUIN25!G38+MVTJUIL25!G38+MVTAOUT25!G38+MVTSEPT25!G38+MVTOCT25!G38+MVTNOV25!G38+MVTDEC25!G38</f>
        <v>0</v>
      </c>
      <c r="H38" s="36">
        <f>MVTDEC24!H38+MVTJANV25!H38+MVTFEV25!H38+MVTMARS25!H38+MVTAVRIL25!H38+MVTMAI25!H38+MVTJUIN25!H38+MVTJUIL25!H38+MVTAOUT25!H38+MVTSEPT25!H38+MVTOCT25!H38+MVTNOV25!H38</f>
        <v>0</v>
      </c>
      <c r="I38" s="184">
        <f t="shared" si="0"/>
        <v>1662500</v>
      </c>
      <c r="J38" s="36">
        <f>MVTJANV25!J38+MVTFEV25!J38+MVTMARS25!J38+MVTAVRIL25!J38+MVTMAI25!J38+MVTJUIN25!J38+MVTJUIL25!J38+MVTAOUT25!J38+MVTSEPT25!J38+MVTOCT25!J38+MVTNOV25!J38+MVTDEC25!J38</f>
        <v>0</v>
      </c>
      <c r="K38" s="36">
        <f>MVTJANV25!K38+MVTFEV25!K38+MVTMARS25!K38+MVTAVRIL25!K38+MVTMAI25!K38+MVTJUIN25!K38+MVTJUIL25!K38+MVTAOUT25!K38+MVTSEPT25!K38+MVTOCT25!K38+MVTNOV25!K38+MVTDEC25!K38</f>
        <v>579500</v>
      </c>
      <c r="L38" s="36">
        <f>MVTJANV25!L38+MVTFEV25!L38+MVTMARS25!L38+MVTAVRIL25!L38+MVTMAI25!L38+MVTJUIN25!L38+MVTJUIL25!L38+MVTAOUT25!L38+MVTSEPT25!L38+MVTOCT25!L38+MVTNOV25!L38+MVTDEC25!L38</f>
        <v>507500</v>
      </c>
      <c r="M38" s="36">
        <f>MVTJANV25!M38+MVTFEV25!M38+MVTMARS25!M38+MVTAVRIL25!M38+MVTMAI25!M38+MVTJUIN25!M38+MVTJUIL25!M38+MVTAOUT25!M38+MVTSEPT25!M38+MVTOCT25!M38+MVTNOV25!M38+MVTDEC25!M38</f>
        <v>12000</v>
      </c>
      <c r="N38" s="36">
        <f>MVTJANV25!N38+MVTFEV25!N38+MVTMARS25!N38+MVTAVRIL25!N38+MVTMAI25!N38+MVTJUIN25!N38+MVTJUIL25!N38+MVTAOUT25!N38+MVTSEPT25!N38+MVTOCT25!N38+MVTNOV25!N38+MVTDEC25!N38</f>
        <v>12000</v>
      </c>
      <c r="O38" s="36">
        <f>MVTJANV25!O38+MVTFEV25!O38+MVTMARS25!O38+MVTAVRIL25!O38+MVTMAI25!O38+MVTJUIN25!O38+MVTJUIL25!O38+MVTAOUT25!O38+MVTSEPT25!O38+MVTOCT25!O38+MVTNOV25!O38+MVTDEC25!O38</f>
        <v>48000</v>
      </c>
      <c r="P38" s="36">
        <f>MVTJANV25!P38+MVTFEV25!P38+MVTMARS25!P38+MVTAVRIL25!P38+MVTMAI25!P38+MVTJUIN25!P38+MVTJUIL25!P38+MVTAOUT25!P38+MVTSEPT25!P38+MVTOCT25!P38+MVTNOV25!P38+MVTDEC25!P38</f>
        <v>21000</v>
      </c>
      <c r="Q38" s="36">
        <f>MVTJANV25!Q38+MVTFEV25!Q38+MVTMARS25!Q38+MVTAVRIL25!Q38+MVTMAI25!Q38+MVTJUIN25!Q38+MVTJUIL25!Q38+MVTAOUT25!Q38+MVTSEPT25!Q38+MVTOCT25!Q38+MVTNOV25!Q38+MVTDEC25!Q38</f>
        <v>0</v>
      </c>
      <c r="R38" s="36">
        <f>MVTJANV25!R38+MVTFEV25!R38+MVTMARS25!R38+MVTAVRIL25!R38+MVTMAI25!R38+MVTJUIN25!R38+MVTJUIL25!R38+MVTAOUT25!R38+MVTSEPT25!R38+MVTOCT25!R38+MVTNOV25!R38+MVTDEC25!R38</f>
        <v>0</v>
      </c>
      <c r="S38" s="36">
        <f>MVTDEC24!S38+MVTJANV25!S38+MVTFEV25!S38+MVTMARS25!S38+MVTAVRIL25!S38+MVTMAI25!S38+MVTJUIN25!S38+MVTJUIL25!S38+MVTAOUT25!S38+MVTSEPT25!S38+MVTOCT25!S38+MVTNOV25!S38</f>
        <v>0</v>
      </c>
      <c r="T38" s="36">
        <f>MVTDEC24!T38+MVTJANV25!T38+MVTFEV25!T38+MVTMARS25!T38+MVTAVRIL25!T38+MVTMAI25!T38+MVTJUIN25!T38+MVTJUIL25!T38+MVTAOUT25!T38+MVTSEPT25!T38+MVTOCT25!T38+MVTNOV25!T38</f>
        <v>0</v>
      </c>
      <c r="U38" s="36">
        <f>MVTJANV25!U38+MVTFEV25!U38+MVTMARS25!U38+MVTAVRIL25!U38+MVTMAI25!U38+MVTJUIN25!U38+MVTJUIL25!U38+MVTAOUT25!U38+MVTSEPT25!U38+MVTOCT25!U38+MVTNOV25!U38+MVTDEC25!U38</f>
        <v>0</v>
      </c>
      <c r="V38" s="36">
        <f>MVTJANV25!V38+MVTFEV25!V38+MVTMARS25!V38+MVTAVRIL25!V38+MVTMAI25!V38+MVTJUIN25!V38+MVTJUIL25!V38+MVTAOUT25!V38+MVTSEPT25!V38+MVTOCT25!V38+MVTNOV25!V38+MVTDEC25!V38</f>
        <v>0</v>
      </c>
      <c r="W38" s="36">
        <f t="shared" si="1"/>
        <v>0</v>
      </c>
      <c r="X38" s="36"/>
      <c r="Y38" s="36">
        <f>MVTJANV25!Y38+MVTFEV25!Y38+MVTMARS25!Y38+MVTAVRIL25!Y38+MVTMAI25!Y38+MVTJUIN25!Y38+MVTJUIL25!Y38+MVTAOUT25!Y38+MVTSEPT25!Y38+MVTOCT25!Y38+MVTNOV25!Y38+MVTDEC25!Y38</f>
        <v>0</v>
      </c>
      <c r="Z38" s="36">
        <f>MVTJANV25!Z38+MVTFEV25!Z38+MVTMARS25!Z38+MVTAVRIL25!Z38+MVTMAI25!Z38+MVTJUIN25!Z38+MVTJUIL25!Z38+MVTAOUT25!Z38+MVTSEPT25!Z38+MVTOCT25!Z38+MVTNOV25!Z38+MVTDEC25!Z38</f>
        <v>0</v>
      </c>
      <c r="AA38" s="36">
        <f>MVTJANV25!AA38+MVTFEV25!AA38+MVTMARS25!AA38+MVTAVRIL25!AA38+MVTMAI25!AA38+MVTJUIN25!AA38+MVTJUIL25!AA38+MVTAOUT25!AA38+MVTSEPT25!AA38+MVTOCT25!AA38+MVTNOV25!AA38+MVTDEC25!AA38</f>
        <v>0</v>
      </c>
      <c r="AB38" s="36">
        <f>MVTJANV25!AB38+MVTFEV25!AB38+MVTMARS25!AB38+MVTAVRIL25!AB38+MVTMAI25!AB38+MVTJUIN25!AB38+MVTJUIL25!AB38+MVTAOUT25!AB38+MVTSEPT25!AB38+MVTOCT25!AB38+MVTNOV25!AB38+MVTDEC25!AB38</f>
        <v>0</v>
      </c>
      <c r="AC38" s="36">
        <f>MVTJANV25!AC38+MVTFEV25!AC38+MVTMARS25!AC38+MVTAVRIL25!AC38+MVTMAI25!AC38+MVTJUIN25!AC38+MVTJUIL25!AC38+MVTAOUT25!AC38+MVTSEPT25!AC38+MVTOCT25!AC38+MVTNOV25!AC38+MVTDEC25!AC38</f>
        <v>0</v>
      </c>
      <c r="AD38" s="36">
        <f>MVTJANV25!AD38+MVTFEV25!AD38+MVTMARS25!AD38+MVTAVRIL25!AD38+MVTMAI25!AD38+MVTJUIN25!AD38+MVTJUIL25!AD38+MVTAOUT25!AD38+MVTSEPT25!AD38+MVTOCT25!AD38+MVTNOV25!AD38+MVTDEC25!AD38</f>
        <v>0</v>
      </c>
      <c r="AE38" s="36">
        <f>MVTJANV25!AE38+MVTFEV25!AE38+MVTMARS25!AE38+MVTAVRIL25!AE38+MVTMAI25!AE38+MVTJUIN25!AE38+MVTJUIL25!AE38+MVTAOUT25!AE38+MVTSEPT25!AE38+MVTOCT25!AE38+MVTNOV25!AE38+MVTDEC25!AE38</f>
        <v>0</v>
      </c>
      <c r="AF38" s="36">
        <f>MVTJANV25!AF38+MVTFEV25!AF38+MVTMARS25!AF38+MVTAVRIL25!AF38+MVTMAI25!AF38+MVTJUIN25!AF38+MVTJUIL25!AF38+MVTAOUT25!AF38+MVTSEPT25!AF38+MVTOCT25!AF38+MVTNOV25!AF38+MVTDEC25!AF38</f>
        <v>0</v>
      </c>
      <c r="AG38" s="36">
        <f>MVTJANV25!AG38+MVTFEV25!AG38+MVTMARS25!AG38+MVTAVRIL25!AG38+MVTMAI25!AG38+MVTJUIN25!AG38+MVTJUIL25!AG38+MVTAOUT25!AG38+MVTSEPT25!AG38+MVTOCT25!AG38+MVTNOV25!AG38+MVTDEC25!AG38</f>
        <v>0</v>
      </c>
      <c r="AH38" s="36">
        <f>MVTJANV25!AH38+MVTFEV25!AH38+MVTMARS25!AH38+MVTAVRIL25!AH38+MVTMAI25!AH38+MVTJUIN25!AH38+MVTJUIL25!AH38+MVTAOUT25!AH38+MVTSEPT25!AH38+MVTOCT25!AH38+MVTNOV25!AH38+MVTDEC25!AH38</f>
        <v>0</v>
      </c>
      <c r="AI38" s="36">
        <f>MVTJANV25!AI38+MVTFEV25!AI38+MVTMARS25!AI38+MVTAVRIL25!AI38+MVTMAI25!AI38+MVTJUIN25!AI38+MVTJUIL25!AI38+MVTAOUT25!AI38+MVTSEPT25!AI38+MVTOCT25!AI38+MVTNOV25!AI38+MVTDEC25!AI38</f>
        <v>0</v>
      </c>
      <c r="AJ38" s="36">
        <f>MVTJANV25!AJ38+MVTFEV25!AJ38+MVTMARS25!AJ38+MVTAVRIL25!AJ38+MVTMAI25!AJ38+MVTJUIN25!AJ38+MVTJUIL25!AJ38+MVTAOUT25!AJ38+MVTSEPT25!AJ38+MVTOCT25!AJ38+MVTNOV25!AJ38+MVTDEC25!AJ38</f>
        <v>0</v>
      </c>
      <c r="AK38" s="36">
        <f>MVTJANV25!AK38+MVTFEV25!AK38+MVTMARS25!AK38+MVTAVRIL25!AK38+MVTMAI25!AK38+MVTJUIN25!AK38+MVTJUIL25!AK38+MVTAOUT25!AK38+MVTSEPT25!AK38+MVTOCT25!AK38+MVTNOV25!AK38+MVTDEC25!AK38</f>
        <v>0</v>
      </c>
      <c r="AL38"/>
    </row>
    <row r="39" spans="1:38" s="11" customFormat="1" ht="15.5" x14ac:dyDescent="0.35">
      <c r="A39" s="12" t="s">
        <v>313</v>
      </c>
      <c r="B39" s="12" t="str">
        <f>VLOOKUP(A39,[24]LISTADHERENT!A$5:H$60,3,0)</f>
        <v>YANTCHOU GERVAIS</v>
      </c>
      <c r="C39" s="13">
        <f>+MVTDEC24!C39</f>
        <v>800000</v>
      </c>
      <c r="D39" s="13">
        <f>+MVTDEC24!D39</f>
        <v>-32497</v>
      </c>
      <c r="E39" s="13">
        <f>MVTJANV25!E39+MVTFEV25!E39+MVTMARS25!E39+MVTAVRIL25!E39+MVTMAI25!E39+MVTJUIN25!E39+MVTJUIL25!E39+MVTAOUT25!E39+MVTSEPT25!E39+MVTOCT25!E39+MVTNOV25!E39+MVTDEC25!E39</f>
        <v>0</v>
      </c>
      <c r="F39" s="36">
        <f>MVTJANV25!F39+MVTFEV25!F39+MVTMARS25!F39+MVTAVRIL25!F39+MVTMAI25!F39+MVTJUIN25!F39+MVTJUIL25!F39+MVTAOUT25!F39+MVTSEPT25!F39+MVTOCT25!F39+MVTNOV25!F39+MVTDEC25!F39</f>
        <v>11428927.759506896</v>
      </c>
      <c r="G39" s="5">
        <f>MVTJANV25!G39+MVTFEV25!G39+MVTMARS25!G39+MVTAVRIL25!G39+MVTMAI25!G39+MVTJUIN25!G39+MVTJUIL25!G39+MVTAOUT25!G39+MVTSEPT25!G39+MVTOCT25!G39+MVTNOV25!G39+MVTDEC25!G39</f>
        <v>10969805.718442941</v>
      </c>
      <c r="H39" s="36">
        <f>MVTDEC24!H39+MVTJANV25!H39+MVTFEV25!H39+MVTMARS25!H39+MVTAVRIL25!H39+MVTMAI25!H39+MVTJUIN25!H39+MVTJUIL25!H39+MVTAOUT25!H39+MVTSEPT25!H39+MVTOCT25!H39+MVTNOV25!H39</f>
        <v>64954.757324037535</v>
      </c>
      <c r="I39" s="187">
        <f t="shared" si="0"/>
        <v>11493882.516830934</v>
      </c>
      <c r="J39" s="13">
        <f>MVTJANV25!J39+MVTFEV25!J39+MVTMARS25!J39+MVTAVRIL25!J39+MVTMAI25!J39+MVTJUIN25!J39+MVTJUIL25!J39+MVTAOUT25!J39+MVTSEPT25!J39+MVTOCT25!J39+MVTNOV25!J39+MVTDEC25!J39</f>
        <v>0</v>
      </c>
      <c r="K39" s="13">
        <f>MVTJANV25!K39+MVTFEV25!K39+MVTMARS25!K39+MVTAVRIL25!K39+MVTMAI25!K39+MVTJUIN25!K39+MVTJUIL25!K39+MVTAOUT25!K39+MVTSEPT25!K39+MVTOCT25!K39+MVTNOV25!K39+MVTDEC25!K39</f>
        <v>310000</v>
      </c>
      <c r="L39" s="36">
        <f>MVTJANV25!L39+MVTFEV25!L39+MVTMARS25!L39+MVTAVRIL25!L39+MVTMAI25!L39+MVTJUIN25!L39+MVTJUIL25!L39+MVTAOUT25!L39+MVTSEPT25!L39+MVTOCT25!L39+MVTNOV25!L39+MVTDEC25!L39</f>
        <v>238000</v>
      </c>
      <c r="M39" s="13">
        <f>MVTJANV25!M39+MVTFEV25!M39+MVTMARS25!M39+MVTAVRIL25!M39+MVTMAI25!M39+MVTJUIN25!M39+MVTJUIL25!M39+MVTAOUT25!M39+MVTSEPT25!M39+MVTOCT25!M39+MVTNOV25!M39+MVTDEC25!M39</f>
        <v>12000</v>
      </c>
      <c r="N39" s="13">
        <f>MVTJANV25!N39+MVTFEV25!N39+MVTMARS25!N39+MVTAVRIL25!N39+MVTMAI25!N39+MVTJUIN25!N39+MVTJUIL25!N39+MVTAOUT25!N39+MVTSEPT25!N39+MVTOCT25!N39+MVTNOV25!N39+MVTDEC25!N39</f>
        <v>12000</v>
      </c>
      <c r="O39" s="13">
        <f>MVTJANV25!O39+MVTFEV25!O39+MVTMARS25!O39+MVTAVRIL25!O39+MVTMAI25!O39+MVTJUIN25!O39+MVTJUIL25!O39+MVTAOUT25!O39+MVTSEPT25!O39+MVTOCT25!O39+MVTNOV25!O39+MVTDEC25!O39</f>
        <v>48000</v>
      </c>
      <c r="P39" s="13">
        <f>MVTJANV25!P39+MVTFEV25!P39+MVTMARS25!P39+MVTAVRIL25!P39+MVTMAI25!P39+MVTJUIN25!P39+MVTJUIL25!P39+MVTAOUT25!P39+MVTSEPT25!P39+MVTOCT25!P39+MVTNOV25!P39+MVTDEC25!P39</f>
        <v>0</v>
      </c>
      <c r="Q39" s="13">
        <f>MVTJANV25!Q39+MVTFEV25!Q39+MVTMARS25!Q39+MVTAVRIL25!Q39+MVTMAI25!Q39+MVTJUIN25!Q39+MVTJUIL25!Q39+MVTAOUT25!Q39+MVTSEPT25!Q39+MVTOCT25!Q39+MVTNOV25!Q39+MVTDEC25!Q39</f>
        <v>0</v>
      </c>
      <c r="R39" s="13">
        <f>MVTJANV25!R39+MVTFEV25!R39+MVTMARS25!R39+MVTAVRIL25!R39+MVTMAI25!R39+MVTJUIN25!R39+MVTJUIL25!R39+MVTAOUT25!R39+MVTSEPT25!R39+MVTOCT25!R39+MVTNOV25!R39+MVTDEC25!R39</f>
        <v>0</v>
      </c>
      <c r="S39" s="36">
        <f>MVTDEC24!S39+MVTJANV25!S39+MVTFEV25!S39+MVTMARS25!S39+MVTAVRIL25!S39+MVTMAI25!S39+MVTJUIN25!S39+MVTJUIL25!S39+MVTAOUT25!S39+MVTSEPT25!S39+MVTOCT25!S39+MVTNOV25!S39</f>
        <v>1000000</v>
      </c>
      <c r="T39" s="36">
        <f>MVTDEC24!T39+MVTJANV25!T39+MVTFEV25!T39+MVTMARS25!T39+MVTAVRIL25!T39+MVTMAI25!T39+MVTJUIN25!T39+MVTJUIL25!T39+MVTAOUT25!T39+MVTSEPT25!T39+MVTOCT25!T39+MVTNOV25!T39</f>
        <v>120000</v>
      </c>
      <c r="U39" s="13">
        <f>MVTJANV25!U39+MVTFEV25!U39+MVTMARS25!U39+MVTAVRIL25!U39+MVTMAI25!U39+MVTJUIN25!U39+MVTJUIL25!U39+MVTAOUT25!U39+MVTSEPT25!U39+MVTOCT25!U39+MVTNOV25!U39+MVTDEC25!U39</f>
        <v>0</v>
      </c>
      <c r="V39" s="13">
        <f>MVTJANV25!V39+MVTFEV25!V39+MVTMARS25!V39+MVTAVRIL25!V39+MVTMAI25!V39+MVTJUIN25!V39+MVTJUIL25!V39+MVTAOUT25!V39+MVTSEPT25!V39+MVTOCT25!V39+MVTNOV25!V39+MVTDEC25!V39</f>
        <v>1000000</v>
      </c>
      <c r="W39" s="13">
        <f t="shared" si="1"/>
        <v>0</v>
      </c>
      <c r="X39" s="186">
        <v>46010</v>
      </c>
      <c r="Y39" s="13">
        <f>MVTJANV25!Y39+MVTFEV25!Y39+MVTMARS25!Y39+MVTAVRIL25!Y39+MVTMAI25!Y39+MVTJUIN25!Y39+MVTJUIL25!Y39+MVTAOUT25!Y39+MVTSEPT25!Y39+MVTOCT25!Y39+MVTNOV25!Y39+MVTDEC25!Y39</f>
        <v>0</v>
      </c>
      <c r="Z39" s="13">
        <f>MVTJANV25!Z39+MVTFEV25!Z39+MVTMARS25!Z39+MVTAVRIL25!Z39+MVTMAI25!Z39+MVTJUIN25!Z39+MVTJUIL25!Z39+MVTAOUT25!Z39+MVTSEPT25!Z39+MVTOCT25!Z39+MVTNOV25!Z39+MVTDEC25!Z39</f>
        <v>0</v>
      </c>
      <c r="AA39" s="13">
        <f>MVTJANV25!AA39+MVTFEV25!AA39+MVTMARS25!AA39+MVTAVRIL25!AA39+MVTMAI25!AA39+MVTJUIN25!AA39+MVTJUIL25!AA39+MVTAOUT25!AA39+MVTSEPT25!AA39+MVTOCT25!AA39+MVTNOV25!AA39+MVTDEC25!AA39</f>
        <v>0</v>
      </c>
      <c r="AB39" s="13">
        <f>MVTJANV25!AB39+MVTFEV25!AB39+MVTMARS25!AB39+MVTAVRIL25!AB39+MVTMAI25!AB39+MVTJUIN25!AB39+MVTJUIL25!AB39+MVTAOUT25!AB39+MVTSEPT25!AB39+MVTOCT25!AB39+MVTNOV25!AB39+MVTDEC25!AB39</f>
        <v>0</v>
      </c>
      <c r="AC39" s="13">
        <f>MVTJANV25!AC39+MVTFEV25!AC39+MVTMARS25!AC39+MVTAVRIL25!AC39+MVTMAI25!AC39+MVTJUIN25!AC39+MVTJUIL25!AC39+MVTAOUT25!AC39+MVTSEPT25!AC39+MVTOCT25!AC39+MVTNOV25!AC39+MVTDEC25!AC39</f>
        <v>0</v>
      </c>
      <c r="AD39" s="13">
        <f>MVTJANV25!AD39+MVTFEV25!AD39+MVTMARS25!AD39+MVTAVRIL25!AD39+MVTMAI25!AD39+MVTJUIN25!AD39+MVTJUIL25!AD39+MVTAOUT25!AD39+MVTSEPT25!AD39+MVTOCT25!AD39+MVTNOV25!AD39+MVTDEC25!AD39</f>
        <v>0</v>
      </c>
      <c r="AE39" s="13">
        <f>MVTJANV25!AE39+MVTFEV25!AE39+MVTMARS25!AE39+MVTAVRIL25!AE39+MVTMAI25!AE39+MVTJUIN25!AE39+MVTJUIL25!AE39+MVTAOUT25!AE39+MVTSEPT25!AE39+MVTOCT25!AE39+MVTNOV25!AE39+MVTDEC25!AE39</f>
        <v>0</v>
      </c>
      <c r="AF39" s="13">
        <f>MVTJANV25!AF39+MVTFEV25!AF39+MVTMARS25!AF39+MVTAVRIL25!AF39+MVTMAI25!AF39+MVTJUIN25!AF39+MVTJUIL25!AF39+MVTAOUT25!AF39+MVTSEPT25!AF39+MVTOCT25!AF39+MVTNOV25!AF39+MVTDEC25!AF39</f>
        <v>0</v>
      </c>
      <c r="AG39" s="13">
        <f>MVTJANV25!AG39+MVTFEV25!AG39+MVTMARS25!AG39+MVTAVRIL25!AG39+MVTMAI25!AG39+MVTJUIN25!AG39+MVTJUIL25!AG39+MVTAOUT25!AG39+MVTSEPT25!AG39+MVTOCT25!AG39+MVTNOV25!AG39+MVTDEC25!AG39</f>
        <v>0</v>
      </c>
      <c r="AH39" s="13">
        <f>MVTJANV25!AH39+MVTFEV25!AH39+MVTMARS25!AH39+MVTAVRIL25!AH39+MVTMAI25!AH39+MVTJUIN25!AH39+MVTJUIL25!AH39+MVTAOUT25!AH39+MVTSEPT25!AH39+MVTOCT25!AH39+MVTNOV25!AH39+MVTDEC25!AH39</f>
        <v>0</v>
      </c>
      <c r="AI39" s="13">
        <f>MVTJANV25!AI39+MVTFEV25!AI39+MVTMARS25!AI39+MVTAVRIL25!AI39+MVTMAI25!AI39+MVTJUIN25!AI39+MVTJUIL25!AI39+MVTAOUT25!AI39+MVTSEPT25!AI39+MVTOCT25!AI39+MVTNOV25!AI39+MVTDEC25!AI39</f>
        <v>0</v>
      </c>
      <c r="AJ39" s="13">
        <f>MVTJANV25!AJ39+MVTFEV25!AJ39+MVTMARS25!AJ39+MVTAVRIL25!AJ39+MVTMAI25!AJ39+MVTJUIN25!AJ39+MVTJUIL25!AJ39+MVTAOUT25!AJ39+MVTSEPT25!AJ39+MVTOCT25!AJ39+MVTNOV25!AJ39+MVTDEC25!AJ39</f>
        <v>0</v>
      </c>
      <c r="AK39" s="13">
        <f>MVTJANV25!AK39+MVTFEV25!AK39+MVTMARS25!AK39+MVTAVRIL25!AK39+MVTMAI25!AK39+MVTJUIN25!AK39+MVTJUIL25!AK39+MVTAOUT25!AK39+MVTSEPT25!AK39+MVTOCT25!AK39+MVTNOV25!AK39+MVTDEC25!AK39</f>
        <v>0</v>
      </c>
      <c r="AL39" s="14"/>
    </row>
    <row r="40" spans="1:38" s="2" customFormat="1" x14ac:dyDescent="0.35">
      <c r="A40" s="1" t="s">
        <v>55</v>
      </c>
      <c r="B40" s="1" t="str">
        <f>VLOOKUP(A40,[24]LISTADHERENT!A$5:H$60,3,0)</f>
        <v>YEPMOU JEAN JACQUES</v>
      </c>
      <c r="C40" s="36">
        <f>+MVTDEC24!C40</f>
        <v>800000</v>
      </c>
      <c r="D40" s="36">
        <f>+MVTDEC24!D40</f>
        <v>739643</v>
      </c>
      <c r="E40" s="36">
        <f>MVTJANV25!E40+MVTFEV25!E40+MVTMARS25!E40+MVTAVRIL25!E40+MVTMAI25!E40+MVTJUIN25!E40+MVTJUIL25!E40+MVTAOUT25!E40+MVTSEPT25!E40+MVTOCT25!E40+MVTNOV25!E40+MVTDEC25!E40</f>
        <v>0</v>
      </c>
      <c r="F40" s="36">
        <f>MVTJANV25!F40+MVTFEV25!F40+MVTMARS25!F40+MVTAVRIL25!F40+MVTMAI25!F40+MVTJUIN25!F40+MVTJUIL25!F40+MVTAOUT25!F40+MVTSEPT25!F40+MVTOCT25!F40+MVTNOV25!F40+MVTDEC25!F40</f>
        <v>21218810.656398453</v>
      </c>
      <c r="G40" s="5">
        <f>MVTJANV25!G40+MVTFEV25!G40+MVTMARS25!G40+MVTAVRIL25!G40+MVTMAI25!G40+MVTJUIN25!G40+MVTJUIL25!G40+MVTAOUT25!G40+MVTSEPT25!G40+MVTOCT25!G40+MVTNOV25!G40+MVTDEC25!G40</f>
        <v>20767737.689504005</v>
      </c>
      <c r="H40" s="36">
        <f>MVTDEC24!H40+MVTJANV25!H40+MVTFEV25!H40+MVTMARS25!H40+MVTAVRIL25!H40+MVTMAI25!H40+MVTJUIN25!H40+MVTJUIL25!H40+MVTAOUT25!H40+MVTSEPT25!H40+MVTOCT25!H40+MVTNOV25!H40</f>
        <v>127622.78960574789</v>
      </c>
      <c r="I40" s="184">
        <f t="shared" si="0"/>
        <v>21346433.446004201</v>
      </c>
      <c r="J40" s="36">
        <f>MVTJANV25!J40+MVTFEV25!J40+MVTMARS25!J40+MVTAVRIL25!J40+MVTMAI25!J40+MVTJUIN25!J40+MVTJUIL25!J40+MVTAOUT25!J40+MVTSEPT25!J40+MVTOCT25!J40+MVTNOV25!J40+MVTDEC25!J40</f>
        <v>0</v>
      </c>
      <c r="K40" s="36">
        <f>MVTJANV25!K40+MVTFEV25!K40+MVTMARS25!K40+MVTAVRIL25!K40+MVTMAI25!K40+MVTJUIN25!K40+MVTJUIL25!K40+MVTAOUT25!K40+MVTSEPT25!K40+MVTOCT25!K40+MVTNOV25!K40+MVTDEC25!K40</f>
        <v>291000</v>
      </c>
      <c r="L40" s="36">
        <f>MVTJANV25!L40+MVTFEV25!L40+MVTMARS25!L40+MVTAVRIL25!L40+MVTMAI25!L40+MVTJUIN25!L40+MVTJUIL25!L40+MVTAOUT25!L40+MVTSEPT25!L40+MVTOCT25!L40+MVTNOV25!L40+MVTDEC25!L40</f>
        <v>219000</v>
      </c>
      <c r="M40" s="36">
        <f>MVTJANV25!M40+MVTFEV25!M40+MVTMARS25!M40+MVTAVRIL25!M40+MVTMAI25!M40+MVTJUIN25!M40+MVTJUIL25!M40+MVTAOUT25!M40+MVTSEPT25!M40+MVTOCT25!M40+MVTNOV25!M40+MVTDEC25!M40</f>
        <v>12000</v>
      </c>
      <c r="N40" s="36">
        <f>MVTJANV25!N40+MVTFEV25!N40+MVTMARS25!N40+MVTAVRIL25!N40+MVTMAI25!N40+MVTJUIN25!N40+MVTJUIL25!N40+MVTAOUT25!N40+MVTSEPT25!N40+MVTOCT25!N40+MVTNOV25!N40+MVTDEC25!N40</f>
        <v>12000</v>
      </c>
      <c r="O40" s="36">
        <f>MVTJANV25!O40+MVTFEV25!O40+MVTMARS25!O40+MVTAVRIL25!O40+MVTMAI25!O40+MVTJUIN25!O40+MVTJUIL25!O40+MVTAOUT25!O40+MVTSEPT25!O40+MVTOCT25!O40+MVTNOV25!O40+MVTDEC25!O40</f>
        <v>48000</v>
      </c>
      <c r="P40" s="36">
        <f>MVTJANV25!P40+MVTFEV25!P40+MVTMARS25!P40+MVTAVRIL25!P40+MVTMAI25!P40+MVTJUIN25!P40+MVTJUIL25!P40+MVTAOUT25!P40+MVTSEPT25!P40+MVTOCT25!P40+MVTNOV25!P40+MVTDEC25!P40</f>
        <v>9000</v>
      </c>
      <c r="Q40" s="36">
        <f>MVTJANV25!Q40+MVTFEV25!Q40+MVTMARS25!Q40+MVTAVRIL25!Q40+MVTMAI25!Q40+MVTJUIN25!Q40+MVTJUIL25!Q40+MVTAOUT25!Q40+MVTSEPT25!Q40+MVTOCT25!Q40+MVTNOV25!Q40+MVTDEC25!Q40</f>
        <v>0</v>
      </c>
      <c r="R40" s="36">
        <f>MVTJANV25!R40+MVTFEV25!R40+MVTMARS25!R40+MVTAVRIL25!R40+MVTMAI25!R40+MVTJUIN25!R40+MVTJUIL25!R40+MVTAOUT25!R40+MVTSEPT25!R40+MVTOCT25!R40+MVTNOV25!R40+MVTDEC25!R40</f>
        <v>0</v>
      </c>
      <c r="S40" s="36">
        <f>MVTDEC24!S40+MVTJANV25!S40+MVTFEV25!S40+MVTMARS25!S40+MVTAVRIL25!S40+MVTMAI25!S40+MVTJUIN25!S40+MVTJUIL25!S40+MVTAOUT25!S40+MVTSEPT25!S40+MVTOCT25!S40+MVTNOV25!S40</f>
        <v>0</v>
      </c>
      <c r="T40" s="36">
        <f>MVTDEC24!T40+MVTJANV25!T40+MVTFEV25!T40+MVTMARS25!T40+MVTAVRIL25!T40+MVTMAI25!T40+MVTJUIN25!T40+MVTJUIL25!T40+MVTAOUT25!T40+MVTSEPT25!T40+MVTOCT25!T40+MVTNOV25!T40</f>
        <v>0</v>
      </c>
      <c r="U40" s="36">
        <f>MVTJANV25!U40+MVTFEV25!U40+MVTMARS25!U40+MVTAVRIL25!U40+MVTMAI25!U40+MVTJUIN25!U40+MVTJUIL25!U40+MVTAOUT25!U40+MVTSEPT25!U40+MVTOCT25!U40+MVTNOV25!U40+MVTDEC25!U40</f>
        <v>0</v>
      </c>
      <c r="V40" s="36">
        <f>MVTJANV25!V40+MVTFEV25!V40+MVTMARS25!V40+MVTAVRIL25!V40+MVTMAI25!V40+MVTJUIN25!V40+MVTJUIL25!V40+MVTAOUT25!V40+MVTSEPT25!V40+MVTOCT25!V40+MVTNOV25!V40+MVTDEC25!V40</f>
        <v>0</v>
      </c>
      <c r="W40" s="36">
        <f t="shared" si="1"/>
        <v>0</v>
      </c>
      <c r="X40" s="36"/>
      <c r="Y40" s="36">
        <f>MVTJANV25!Y40+MVTFEV25!Y40+MVTMARS25!Y40+MVTAVRIL25!Y40+MVTMAI25!Y40+MVTJUIN25!Y40+MVTJUIL25!Y40+MVTAOUT25!Y40+MVTSEPT25!Y40+MVTOCT25!Y40+MVTNOV25!Y40+MVTDEC25!Y40</f>
        <v>0</v>
      </c>
      <c r="Z40" s="36">
        <f>MVTJANV25!Z40+MVTFEV25!Z40+MVTMARS25!Z40+MVTAVRIL25!Z40+MVTMAI25!Z40+MVTJUIN25!Z40+MVTJUIL25!Z40+MVTAOUT25!Z40+MVTSEPT25!Z40+MVTOCT25!Z40+MVTNOV25!Z40+MVTDEC25!Z40</f>
        <v>0</v>
      </c>
      <c r="AA40" s="36">
        <f>MVTJANV25!AA40+MVTFEV25!AA40+MVTMARS25!AA40+MVTAVRIL25!AA40+MVTMAI25!AA40+MVTJUIN25!AA40+MVTJUIL25!AA40+MVTAOUT25!AA40+MVTSEPT25!AA40+MVTOCT25!AA40+MVTNOV25!AA40+MVTDEC25!AA40</f>
        <v>0</v>
      </c>
      <c r="AB40" s="36">
        <f>MVTJANV25!AB40+MVTFEV25!AB40+MVTMARS25!AB40+MVTAVRIL25!AB40+MVTMAI25!AB40+MVTJUIN25!AB40+MVTJUIL25!AB40+MVTAOUT25!AB40+MVTSEPT25!AB40+MVTOCT25!AB40+MVTNOV25!AB40+MVTDEC25!AB40</f>
        <v>0</v>
      </c>
      <c r="AC40" s="36">
        <f>MVTJANV25!AC40+MVTFEV25!AC40+MVTMARS25!AC40+MVTAVRIL25!AC40+MVTMAI25!AC40+MVTJUIN25!AC40+MVTJUIL25!AC40+MVTAOUT25!AC40+MVTSEPT25!AC40+MVTOCT25!AC40+MVTNOV25!AC40+MVTDEC25!AC40</f>
        <v>0</v>
      </c>
      <c r="AD40" s="36">
        <f>MVTJANV25!AD40+MVTFEV25!AD40+MVTMARS25!AD40+MVTAVRIL25!AD40+MVTMAI25!AD40+MVTJUIN25!AD40+MVTJUIL25!AD40+MVTAOUT25!AD40+MVTSEPT25!AD40+MVTOCT25!AD40+MVTNOV25!AD40+MVTDEC25!AD40</f>
        <v>0</v>
      </c>
      <c r="AE40" s="36">
        <f>MVTJANV25!AE40+MVTFEV25!AE40+MVTMARS25!AE40+MVTAVRIL25!AE40+MVTMAI25!AE40+MVTJUIN25!AE40+MVTJUIL25!AE40+MVTAOUT25!AE40+MVTSEPT25!AE40+MVTOCT25!AE40+MVTNOV25!AE40+MVTDEC25!AE40</f>
        <v>0</v>
      </c>
      <c r="AF40" s="36">
        <f>MVTJANV25!AF40+MVTFEV25!AF40+MVTMARS25!AF40+MVTAVRIL25!AF40+MVTMAI25!AF40+MVTJUIN25!AF40+MVTJUIL25!AF40+MVTAOUT25!AF40+MVTSEPT25!AF40+MVTOCT25!AF40+MVTNOV25!AF40+MVTDEC25!AF40</f>
        <v>0</v>
      </c>
      <c r="AG40" s="36">
        <f>MVTJANV25!AG40+MVTFEV25!AG40+MVTMARS25!AG40+MVTAVRIL25!AG40+MVTMAI25!AG40+MVTJUIN25!AG40+MVTJUIL25!AG40+MVTAOUT25!AG40+MVTSEPT25!AG40+MVTOCT25!AG40+MVTNOV25!AG40+MVTDEC25!AG40</f>
        <v>0</v>
      </c>
      <c r="AH40" s="36">
        <f>MVTJANV25!AH40+MVTFEV25!AH40+MVTMARS25!AH40+MVTAVRIL25!AH40+MVTMAI25!AH40+MVTJUIN25!AH40+MVTJUIL25!AH40+MVTAOUT25!AH40+MVTSEPT25!AH40+MVTOCT25!AH40+MVTNOV25!AH40+MVTDEC25!AH40</f>
        <v>0</v>
      </c>
      <c r="AI40" s="36">
        <f>MVTJANV25!AI40+MVTFEV25!AI40+MVTMARS25!AI40+MVTAVRIL25!AI40+MVTMAI25!AI40+MVTJUIN25!AI40+MVTJUIL25!AI40+MVTAOUT25!AI40+MVTSEPT25!AI40+MVTOCT25!AI40+MVTNOV25!AI40+MVTDEC25!AI40</f>
        <v>0</v>
      </c>
      <c r="AJ40" s="36">
        <f>MVTJANV25!AJ40+MVTFEV25!AJ40+MVTMARS25!AJ40+MVTAVRIL25!AJ40+MVTMAI25!AJ40+MVTJUIN25!AJ40+MVTJUIL25!AJ40+MVTAOUT25!AJ40+MVTSEPT25!AJ40+MVTOCT25!AJ40+MVTNOV25!AJ40+MVTDEC25!AJ40</f>
        <v>0</v>
      </c>
      <c r="AK40" s="36">
        <f>MVTJANV25!AK40+MVTFEV25!AK40+MVTMARS25!AK40+MVTAVRIL25!AK40+MVTMAI25!AK40+MVTJUIN25!AK40+MVTJUIL25!AK40+MVTAOUT25!AK40+MVTSEPT25!AK40+MVTOCT25!AK40+MVTNOV25!AK40+MVTDEC25!AK40</f>
        <v>0</v>
      </c>
      <c r="AL40"/>
    </row>
    <row r="41" spans="1:38" s="2" customFormat="1" x14ac:dyDescent="0.35">
      <c r="A41" s="1" t="s">
        <v>328</v>
      </c>
      <c r="B41" s="1" t="str">
        <f>VLOOKUP(A41,[24]LISTADHERENT!A$5:H$60,3,0)</f>
        <v>YIALA ALAIN OSCAR</v>
      </c>
      <c r="C41" s="36">
        <f>+MVTDEC24!C41</f>
        <v>800000</v>
      </c>
      <c r="D41" s="36">
        <f>+MVTDEC24!D41</f>
        <v>241</v>
      </c>
      <c r="E41" s="36">
        <f>MVTJANV25!E41+MVTFEV25!E41+MVTMARS25!E41+MVTAVRIL25!E41+MVTMAI25!E41+MVTJUIN25!E41+MVTJUIL25!E41+MVTAOUT25!E41+MVTSEPT25!E41+MVTOCT25!E41+MVTNOV25!E41+MVTDEC25!E41</f>
        <v>0</v>
      </c>
      <c r="F41" s="36">
        <f>MVTJANV25!F41+MVTFEV25!F41+MVTMARS25!F41+MVTAVRIL25!F41+MVTMAI25!F41+MVTJUIN25!F41+MVTJUIL25!F41+MVTAOUT25!F41+MVTSEPT25!F41+MVTOCT25!F41+MVTNOV25!F41+MVTDEC25!F41</f>
        <v>11778710.822402472</v>
      </c>
      <c r="G41" s="5">
        <f>MVTJANV25!G41+MVTFEV25!G41+MVTMARS25!G41+MVTAVRIL25!G41+MVTMAI25!G41+MVTJUIN25!G41+MVTJUIL25!G41+MVTAOUT25!G41+MVTSEPT25!G41+MVTOCT25!G41+MVTNOV25!G41+MVTDEC25!G41</f>
        <v>11333811.882542536</v>
      </c>
      <c r="H41" s="36">
        <f>MVTDEC24!H41+MVTJANV25!H41+MVTFEV25!H41+MVTMARS25!H41+MVTAVRIL25!H41+MVTMAI25!H41+MVTJUIN25!H41+MVTJUIL25!H41+MVTAOUT25!H41+MVTSEPT25!H41+MVTOCT25!H41+MVTNOV25!H41</f>
        <v>67488.51800055294</v>
      </c>
      <c r="I41" s="184">
        <f t="shared" si="0"/>
        <v>11846199.340403024</v>
      </c>
      <c r="J41" s="36">
        <f>MVTJANV25!J41+MVTFEV25!J41+MVTMARS25!J41+MVTAVRIL25!J41+MVTMAI25!J41+MVTJUIN25!J41+MVTJUIL25!J41+MVTAOUT25!J41+MVTSEPT25!J41+MVTOCT25!J41+MVTNOV25!J41+MVTDEC25!J41</f>
        <v>0</v>
      </c>
      <c r="K41" s="36">
        <f>MVTJANV25!K41+MVTFEV25!K41+MVTMARS25!K41+MVTAVRIL25!K41+MVTMAI25!K41+MVTJUIN25!K41+MVTJUIL25!K41+MVTAOUT25!K41+MVTSEPT25!K41+MVTOCT25!K41+MVTNOV25!K41+MVTDEC25!K41</f>
        <v>300000</v>
      </c>
      <c r="L41" s="36">
        <f>MVTJANV25!L41+MVTFEV25!L41+MVTMARS25!L41+MVTAVRIL25!L41+MVTMAI25!L41+MVTJUIN25!L41+MVTJUIL25!L41+MVTAOUT25!L41+MVTSEPT25!L41+MVTOCT25!L41+MVTNOV25!L41+MVTDEC25!L41</f>
        <v>228000</v>
      </c>
      <c r="M41" s="36">
        <f>MVTJANV25!M41+MVTFEV25!M41+MVTMARS25!M41+MVTAVRIL25!M41+MVTMAI25!M41+MVTJUIN25!M41+MVTJUIL25!M41+MVTAOUT25!M41+MVTSEPT25!M41+MVTOCT25!M41+MVTNOV25!M41+MVTDEC25!M41</f>
        <v>12000</v>
      </c>
      <c r="N41" s="36">
        <f>MVTJANV25!N41+MVTFEV25!N41+MVTMARS25!N41+MVTAVRIL25!N41+MVTMAI25!N41+MVTJUIN25!N41+MVTJUIL25!N41+MVTAOUT25!N41+MVTSEPT25!N41+MVTOCT25!N41+MVTNOV25!N41+MVTDEC25!N41</f>
        <v>12000</v>
      </c>
      <c r="O41" s="36">
        <f>MVTJANV25!O41+MVTFEV25!O41+MVTMARS25!O41+MVTAVRIL25!O41+MVTMAI25!O41+MVTJUIN25!O41+MVTJUIL25!O41+MVTAOUT25!O41+MVTSEPT25!O41+MVTOCT25!O41+MVTNOV25!O41+MVTDEC25!O41</f>
        <v>48000</v>
      </c>
      <c r="P41" s="36">
        <f>MVTJANV25!P41+MVTFEV25!P41+MVTMARS25!P41+MVTAVRIL25!P41+MVTMAI25!P41+MVTJUIN25!P41+MVTJUIL25!P41+MVTAOUT25!P41+MVTSEPT25!P41+MVTOCT25!P41+MVTNOV25!P41+MVTDEC25!P41</f>
        <v>18000</v>
      </c>
      <c r="Q41" s="36">
        <f>MVTJANV25!Q41+MVTFEV25!Q41+MVTMARS25!Q41+MVTAVRIL25!Q41+MVTMAI25!Q41+MVTJUIN25!Q41+MVTJUIL25!Q41+MVTAOUT25!Q41+MVTSEPT25!Q41+MVTOCT25!Q41+MVTNOV25!Q41+MVTDEC25!Q41</f>
        <v>0</v>
      </c>
      <c r="R41" s="36">
        <f>MVTJANV25!R41+MVTFEV25!R41+MVTMARS25!R41+MVTAVRIL25!R41+MVTMAI25!R41+MVTJUIN25!R41+MVTJUIL25!R41+MVTAOUT25!R41+MVTSEPT25!R41+MVTOCT25!R41+MVTNOV25!R41+MVTDEC25!R41</f>
        <v>0</v>
      </c>
      <c r="S41" s="36">
        <f>MVTDEC24!S41+MVTJANV25!S41+MVTFEV25!S41+MVTMARS25!S41+MVTAVRIL25!S41+MVTMAI25!S41+MVTJUIN25!S41+MVTJUIL25!S41+MVTAOUT25!S41+MVTSEPT25!S41+MVTOCT25!S41+MVTNOV25!S41</f>
        <v>0</v>
      </c>
      <c r="T41" s="36">
        <f>MVTDEC24!T41+MVTJANV25!T41+MVTFEV25!T41+MVTMARS25!T41+MVTAVRIL25!T41+MVTMAI25!T41+MVTJUIN25!T41+MVTJUIL25!T41+MVTAOUT25!T41+MVTSEPT25!T41+MVTOCT25!T41+MVTNOV25!T41</f>
        <v>0</v>
      </c>
      <c r="U41" s="36">
        <f>MVTJANV25!U41+MVTFEV25!U41+MVTMARS25!U41+MVTAVRIL25!U41+MVTMAI25!U41+MVTJUIN25!U41+MVTJUIL25!U41+MVTAOUT25!U41+MVTSEPT25!U41+MVTOCT25!U41+MVTNOV25!U41+MVTDEC25!U41</f>
        <v>0</v>
      </c>
      <c r="V41" s="36">
        <f>MVTJANV25!V41+MVTFEV25!V41+MVTMARS25!V41+MVTAVRIL25!V41+MVTMAI25!V41+MVTJUIN25!V41+MVTJUIL25!V41+MVTAOUT25!V41+MVTSEPT25!V41+MVTOCT25!V41+MVTNOV25!V41+MVTDEC25!V41</f>
        <v>0</v>
      </c>
      <c r="W41" s="36">
        <f t="shared" si="1"/>
        <v>0</v>
      </c>
      <c r="X41" s="36"/>
      <c r="Y41" s="36">
        <f>MVTJANV25!Y41+MVTFEV25!Y41+MVTMARS25!Y41+MVTAVRIL25!Y41+MVTMAI25!Y41+MVTJUIN25!Y41+MVTJUIL25!Y41+MVTAOUT25!Y41+MVTSEPT25!Y41+MVTOCT25!Y41+MVTNOV25!Y41+MVTDEC25!Y41</f>
        <v>0</v>
      </c>
      <c r="Z41" s="36">
        <f>MVTJANV25!Z41+MVTFEV25!Z41+MVTMARS25!Z41+MVTAVRIL25!Z41+MVTMAI25!Z41+MVTJUIN25!Z41+MVTJUIL25!Z41+MVTAOUT25!Z41+MVTSEPT25!Z41+MVTOCT25!Z41+MVTNOV25!Z41+MVTDEC25!Z41</f>
        <v>0</v>
      </c>
      <c r="AA41" s="36">
        <f>MVTJANV25!AA41+MVTFEV25!AA41+MVTMARS25!AA41+MVTAVRIL25!AA41+MVTMAI25!AA41+MVTJUIN25!AA41+MVTJUIL25!AA41+MVTAOUT25!AA41+MVTSEPT25!AA41+MVTOCT25!AA41+MVTNOV25!AA41+MVTDEC25!AA41</f>
        <v>0</v>
      </c>
      <c r="AB41" s="36">
        <f>MVTJANV25!AB41+MVTFEV25!AB41+MVTMARS25!AB41+MVTAVRIL25!AB41+MVTMAI25!AB41+MVTJUIN25!AB41+MVTJUIL25!AB41+MVTAOUT25!AB41+MVTSEPT25!AB41+MVTOCT25!AB41+MVTNOV25!AB41+MVTDEC25!AB41</f>
        <v>0</v>
      </c>
      <c r="AC41" s="36">
        <f>MVTJANV25!AC41+MVTFEV25!AC41+MVTMARS25!AC41+MVTAVRIL25!AC41+MVTMAI25!AC41+MVTJUIN25!AC41+MVTJUIL25!AC41+MVTAOUT25!AC41+MVTSEPT25!AC41+MVTOCT25!AC41+MVTNOV25!AC41+MVTDEC25!AC41</f>
        <v>0</v>
      </c>
      <c r="AD41" s="36">
        <f>MVTJANV25!AD41+MVTFEV25!AD41+MVTMARS25!AD41+MVTAVRIL25!AD41+MVTMAI25!AD41+MVTJUIN25!AD41+MVTJUIL25!AD41+MVTAOUT25!AD41+MVTSEPT25!AD41+MVTOCT25!AD41+MVTNOV25!AD41+MVTDEC25!AD41</f>
        <v>0</v>
      </c>
      <c r="AE41" s="36">
        <f>MVTJANV25!AE41+MVTFEV25!AE41+MVTMARS25!AE41+MVTAVRIL25!AE41+MVTMAI25!AE41+MVTJUIN25!AE41+MVTJUIL25!AE41+MVTAOUT25!AE41+MVTSEPT25!AE41+MVTOCT25!AE41+MVTNOV25!AE41+MVTDEC25!AE41</f>
        <v>0</v>
      </c>
      <c r="AF41" s="36">
        <f>MVTJANV25!AF41+MVTFEV25!AF41+MVTMARS25!AF41+MVTAVRIL25!AF41+MVTMAI25!AF41+MVTJUIN25!AF41+MVTJUIL25!AF41+MVTAOUT25!AF41+MVTSEPT25!AF41+MVTOCT25!AF41+MVTNOV25!AF41+MVTDEC25!AF41</f>
        <v>0</v>
      </c>
      <c r="AG41" s="36">
        <f>MVTJANV25!AG41+MVTFEV25!AG41+MVTMARS25!AG41+MVTAVRIL25!AG41+MVTMAI25!AG41+MVTJUIN25!AG41+MVTJUIL25!AG41+MVTAOUT25!AG41+MVTSEPT25!AG41+MVTOCT25!AG41+MVTNOV25!AG41+MVTDEC25!AG41</f>
        <v>0</v>
      </c>
      <c r="AH41" s="36">
        <f>MVTJANV25!AH41+MVTFEV25!AH41+MVTMARS25!AH41+MVTAVRIL25!AH41+MVTMAI25!AH41+MVTJUIN25!AH41+MVTJUIL25!AH41+MVTAOUT25!AH41+MVTSEPT25!AH41+MVTOCT25!AH41+MVTNOV25!AH41+MVTDEC25!AH41</f>
        <v>0</v>
      </c>
      <c r="AI41" s="36">
        <f>MVTJANV25!AI41+MVTFEV25!AI41+MVTMARS25!AI41+MVTAVRIL25!AI41+MVTMAI25!AI41+MVTJUIN25!AI41+MVTJUIL25!AI41+MVTAOUT25!AI41+MVTSEPT25!AI41+MVTOCT25!AI41+MVTNOV25!AI41+MVTDEC25!AI41</f>
        <v>100000</v>
      </c>
      <c r="AJ41" s="36">
        <f>MVTJANV25!AJ41+MVTFEV25!AJ41+MVTMARS25!AJ41+MVTAVRIL25!AJ41+MVTMAI25!AJ41+MVTJUIN25!AJ41+MVTJUIL25!AJ41+MVTAOUT25!AJ41+MVTSEPT25!AJ41+MVTOCT25!AJ41+MVTNOV25!AJ41+MVTDEC25!AJ41</f>
        <v>0</v>
      </c>
      <c r="AK41" s="36">
        <f>MVTJANV25!AK41+MVTFEV25!AK41+MVTMARS25!AK41+MVTAVRIL25!AK41+MVTMAI25!AK41+MVTJUIN25!AK41+MVTJUIL25!AK41+MVTAOUT25!AK41+MVTSEPT25!AK41+MVTOCT25!AK41+MVTNOV25!AK41+MVTDEC25!AK41</f>
        <v>0</v>
      </c>
      <c r="AL41"/>
    </row>
    <row r="42" spans="1:38" s="2" customFormat="1" x14ac:dyDescent="0.35">
      <c r="A42" s="1" t="s">
        <v>56</v>
      </c>
      <c r="B42" s="1" t="str">
        <f>VLOOKUP(A42,[24]LISTADHERENT!A$5:H$60,3,0)</f>
        <v>YOUMBI EMMANUEL</v>
      </c>
      <c r="C42" s="36">
        <f>+MVTDEC24!C42</f>
        <v>800000</v>
      </c>
      <c r="D42" s="36">
        <f>+MVTDEC24!D42</f>
        <v>1296586</v>
      </c>
      <c r="E42" s="36">
        <f>MVTJANV25!E42+MVTFEV25!E42+MVTMARS25!E42+MVTAVRIL25!E42+MVTMAI25!E42+MVTJUIN25!E42+MVTJUIL25!E42+MVTAOUT25!E42+MVTSEPT25!E42+MVTOCT25!E42+MVTNOV25!E42+MVTDEC25!E42</f>
        <v>100000</v>
      </c>
      <c r="F42" s="36">
        <f>MVTJANV25!F42+MVTFEV25!F42+MVTMARS25!F42+MVTAVRIL25!F42+MVTMAI25!F42+MVTJUIN25!F42+MVTJUIL25!F42+MVTAOUT25!F42+MVTSEPT25!F42+MVTOCT25!F42+MVTNOV25!F42+MVTDEC25!F42</f>
        <v>27317962.363029171</v>
      </c>
      <c r="G42" s="5">
        <f>MVTJANV25!G42+MVTFEV25!G42+MVTMARS25!G42+MVTAVRIL25!G42+MVTMAI25!G42+MVTJUIN25!G42+MVTJUIL25!G42+MVTAOUT25!G42+MVTSEPT25!G42+MVTOCT25!G42+MVTNOV25!G42+MVTDEC25!G42</f>
        <v>26838387.568158165</v>
      </c>
      <c r="H42" s="36">
        <f>MVTDEC24!H42+MVTJANV25!H42+MVTFEV25!H42+MVTMARS25!H42+MVTAVRIL25!H42+MVTMAI25!H42+MVTJUIN25!H42+MVTJUIL25!H42+MVTAOUT25!H42+MVTSEPT25!H42+MVTOCT25!H42+MVTNOV25!H42</f>
        <v>170658.37298084804</v>
      </c>
      <c r="I42" s="184">
        <f t="shared" si="0"/>
        <v>27488620.736010019</v>
      </c>
      <c r="J42" s="36">
        <f>MVTJANV25!J42+MVTFEV25!J42+MVTMARS25!J42+MVTAVRIL25!J42+MVTMAI25!J42+MVTJUIN25!J42+MVTJUIL25!J42+MVTAOUT25!J42+MVTSEPT25!J42+MVTOCT25!J42+MVTNOV25!J42+MVTDEC25!J42</f>
        <v>0</v>
      </c>
      <c r="K42" s="36">
        <f>MVTJANV25!K42+MVTFEV25!K42+MVTMARS25!K42+MVTAVRIL25!K42+MVTMAI25!K42+MVTJUIN25!K42+MVTJUIL25!K42+MVTAOUT25!K42+MVTSEPT25!K42+MVTOCT25!K42+MVTNOV25!K42+MVTDEC25!K42</f>
        <v>300000</v>
      </c>
      <c r="L42" s="36">
        <f>MVTJANV25!L42+MVTFEV25!L42+MVTMARS25!L42+MVTAVRIL25!L42+MVTMAI25!L42+MVTJUIN25!L42+MVTJUIL25!L42+MVTAOUT25!L42+MVTSEPT25!L42+MVTOCT25!L42+MVTNOV25!L42+MVTDEC25!L42</f>
        <v>228000</v>
      </c>
      <c r="M42" s="36">
        <f>MVTJANV25!M42+MVTFEV25!M42+MVTMARS25!M42+MVTAVRIL25!M42+MVTMAI25!M42+MVTJUIN25!M42+MVTJUIL25!M42+MVTAOUT25!M42+MVTSEPT25!M42+MVTOCT25!M42+MVTNOV25!M42+MVTDEC25!M42</f>
        <v>12000</v>
      </c>
      <c r="N42" s="36">
        <f>MVTJANV25!N42+MVTFEV25!N42+MVTMARS25!N42+MVTAVRIL25!N42+MVTMAI25!N42+MVTJUIN25!N42+MVTJUIL25!N42+MVTAOUT25!N42+MVTSEPT25!N42+MVTOCT25!N42+MVTNOV25!N42+MVTDEC25!N42</f>
        <v>12000</v>
      </c>
      <c r="O42" s="36">
        <f>MVTJANV25!O42+MVTFEV25!O42+MVTMARS25!O42+MVTAVRIL25!O42+MVTMAI25!O42+MVTJUIN25!O42+MVTJUIL25!O42+MVTAOUT25!O42+MVTSEPT25!O42+MVTOCT25!O42+MVTNOV25!O42+MVTDEC25!O42</f>
        <v>48000</v>
      </c>
      <c r="P42" s="36">
        <f>MVTJANV25!P42+MVTFEV25!P42+MVTMARS25!P42+MVTAVRIL25!P42+MVTMAI25!P42+MVTJUIN25!P42+MVTJUIL25!P42+MVTAOUT25!P42+MVTSEPT25!P42+MVTOCT25!P42+MVTNOV25!P42+MVTDEC25!P42</f>
        <v>0</v>
      </c>
      <c r="Q42" s="36">
        <f>MVTJANV25!Q42+MVTFEV25!Q42+MVTMARS25!Q42+MVTAVRIL25!Q42+MVTMAI25!Q42+MVTJUIN25!Q42+MVTJUIL25!Q42+MVTAOUT25!Q42+MVTSEPT25!Q42+MVTOCT25!Q42+MVTNOV25!Q42+MVTDEC25!Q42</f>
        <v>0</v>
      </c>
      <c r="R42" s="36">
        <f>MVTJANV25!R42+MVTFEV25!R42+MVTMARS25!R42+MVTAVRIL25!R42+MVTMAI25!R42+MVTJUIN25!R42+MVTJUIL25!R42+MVTAOUT25!R42+MVTSEPT25!R42+MVTOCT25!R42+MVTNOV25!R42+MVTDEC25!R42</f>
        <v>0</v>
      </c>
      <c r="S42" s="36">
        <f>MVTDEC24!S42+MVTJANV25!S42+MVTFEV25!S42+MVTMARS25!S42+MVTAVRIL25!S42+MVTMAI25!S42+MVTJUIN25!S42+MVTJUIL25!S42+MVTAOUT25!S42+MVTSEPT25!S42+MVTOCT25!S42+MVTNOV25!S42</f>
        <v>500000</v>
      </c>
      <c r="T42" s="36">
        <f>MVTDEC24!T42+MVTJANV25!T42+MVTFEV25!T42+MVTMARS25!T42+MVTAVRIL25!T42+MVTMAI25!T42+MVTJUIN25!T42+MVTJUIL25!T42+MVTAOUT25!T42+MVTSEPT25!T42+MVTOCT25!T42+MVTNOV25!T42</f>
        <v>15000</v>
      </c>
      <c r="U42" s="36">
        <f>MVTJANV25!U42+MVTFEV25!U42+MVTMARS25!U42+MVTAVRIL25!U42+MVTMAI25!U42+MVTJUIN25!U42+MVTJUIL25!U42+MVTAOUT25!U42+MVTSEPT25!U42+MVTOCT25!U42+MVTNOV25!U42+MVTDEC25!U42</f>
        <v>0</v>
      </c>
      <c r="V42" s="36">
        <f>MVTJANV25!V42+MVTFEV25!V42+MVTMARS25!V42+MVTAVRIL25!V42+MVTMAI25!V42+MVTJUIN25!V42+MVTJUIL25!V42+MVTAOUT25!V42+MVTSEPT25!V42+MVTOCT25!V42+MVTNOV25!V42+MVTDEC25!V42</f>
        <v>500000</v>
      </c>
      <c r="W42" s="36">
        <f t="shared" si="1"/>
        <v>0</v>
      </c>
      <c r="X42" s="36"/>
      <c r="Y42" s="36">
        <f>MVTJANV25!Y42+MVTFEV25!Y42+MVTMARS25!Y42+MVTAVRIL25!Y42+MVTMAI25!Y42+MVTJUIN25!Y42+MVTJUIL25!Y42+MVTAOUT25!Y42+MVTSEPT25!Y42+MVTOCT25!Y42+MVTNOV25!Y42+MVTDEC25!Y42</f>
        <v>0</v>
      </c>
      <c r="Z42" s="36">
        <f>MVTJANV25!Z42+MVTFEV25!Z42+MVTMARS25!Z42+MVTAVRIL25!Z42+MVTMAI25!Z42+MVTJUIN25!Z42+MVTJUIL25!Z42+MVTAOUT25!Z42+MVTSEPT25!Z42+MVTOCT25!Z42+MVTNOV25!Z42+MVTDEC25!Z42</f>
        <v>0</v>
      </c>
      <c r="AA42" s="36">
        <f>MVTJANV25!AA42+MVTFEV25!AA42+MVTMARS25!AA42+MVTAVRIL25!AA42+MVTMAI25!AA42+MVTJUIN25!AA42+MVTJUIL25!AA42+MVTAOUT25!AA42+MVTSEPT25!AA42+MVTOCT25!AA42+MVTNOV25!AA42+MVTDEC25!AA42</f>
        <v>0</v>
      </c>
      <c r="AB42" s="36">
        <f>MVTJANV25!AB42+MVTFEV25!AB42+MVTMARS25!AB42+MVTAVRIL25!AB42+MVTMAI25!AB42+MVTJUIN25!AB42+MVTJUIL25!AB42+MVTAOUT25!AB42+MVTSEPT25!AB42+MVTOCT25!AB42+MVTNOV25!AB42+MVTDEC25!AB42</f>
        <v>0</v>
      </c>
      <c r="AC42" s="36">
        <f>MVTJANV25!AC42+MVTFEV25!AC42+MVTMARS25!AC42+MVTAVRIL25!AC42+MVTMAI25!AC42+MVTJUIN25!AC42+MVTJUIL25!AC42+MVTAOUT25!AC42+MVTSEPT25!AC42+MVTOCT25!AC42+MVTNOV25!AC42+MVTDEC25!AC42</f>
        <v>0</v>
      </c>
      <c r="AD42" s="36">
        <f>MVTJANV25!AD42+MVTFEV25!AD42+MVTMARS25!AD42+MVTAVRIL25!AD42+MVTMAI25!AD42+MVTJUIN25!AD42+MVTJUIL25!AD42+MVTAOUT25!AD42+MVTSEPT25!AD42+MVTOCT25!AD42+MVTNOV25!AD42+MVTDEC25!AD42</f>
        <v>0</v>
      </c>
      <c r="AE42" s="36">
        <f>MVTJANV25!AE42+MVTFEV25!AE42+MVTMARS25!AE42+MVTAVRIL25!AE42+MVTMAI25!AE42+MVTJUIN25!AE42+MVTJUIL25!AE42+MVTAOUT25!AE42+MVTSEPT25!AE42+MVTOCT25!AE42+MVTNOV25!AE42+MVTDEC25!AE42</f>
        <v>0</v>
      </c>
      <c r="AF42" s="36">
        <f>MVTJANV25!AF42+MVTFEV25!AF42+MVTMARS25!AF42+MVTAVRIL25!AF42+MVTMAI25!AF42+MVTJUIN25!AF42+MVTJUIL25!AF42+MVTAOUT25!AF42+MVTSEPT25!AF42+MVTOCT25!AF42+MVTNOV25!AF42+MVTDEC25!AF42</f>
        <v>0</v>
      </c>
      <c r="AG42" s="36">
        <f>MVTJANV25!AG42+MVTFEV25!AG42+MVTMARS25!AG42+MVTAVRIL25!AG42+MVTMAI25!AG42+MVTJUIN25!AG42+MVTJUIL25!AG42+MVTAOUT25!AG42+MVTSEPT25!AG42+MVTOCT25!AG42+MVTNOV25!AG42+MVTDEC25!AG42</f>
        <v>0</v>
      </c>
      <c r="AH42" s="36">
        <f>MVTJANV25!AH42+MVTFEV25!AH42+MVTMARS25!AH42+MVTAVRIL25!AH42+MVTMAI25!AH42+MVTJUIN25!AH42+MVTJUIL25!AH42+MVTAOUT25!AH42+MVTSEPT25!AH42+MVTOCT25!AH42+MVTNOV25!AH42+MVTDEC25!AH42</f>
        <v>0</v>
      </c>
      <c r="AI42" s="36">
        <f>MVTJANV25!AI42+MVTFEV25!AI42+MVTMARS25!AI42+MVTAVRIL25!AI42+MVTMAI25!AI42+MVTJUIN25!AI42+MVTJUIL25!AI42+MVTAOUT25!AI42+MVTSEPT25!AI42+MVTOCT25!AI42+MVTNOV25!AI42+MVTDEC25!AI42</f>
        <v>0</v>
      </c>
      <c r="AJ42" s="36">
        <f>MVTJANV25!AJ42+MVTFEV25!AJ42+MVTMARS25!AJ42+MVTAVRIL25!AJ42+MVTMAI25!AJ42+MVTJUIN25!AJ42+MVTJUIL25!AJ42+MVTAOUT25!AJ42+MVTSEPT25!AJ42+MVTOCT25!AJ42+MVTNOV25!AJ42+MVTDEC25!AJ42</f>
        <v>0</v>
      </c>
      <c r="AK42" s="36">
        <f>MVTJANV25!AK42+MVTFEV25!AK42+MVTMARS25!AK42+MVTAVRIL25!AK42+MVTMAI25!AK42+MVTJUIN25!AK42+MVTJUIL25!AK42+MVTAOUT25!AK42+MVTSEPT25!AK42+MVTOCT25!AK42+MVTNOV25!AK42+MVTDEC25!AK42</f>
        <v>0</v>
      </c>
      <c r="AL42"/>
    </row>
    <row r="43" spans="1:38" s="2" customFormat="1" x14ac:dyDescent="0.35">
      <c r="A43" s="1"/>
      <c r="B43" s="1"/>
      <c r="C43" s="1"/>
      <c r="D43" s="1"/>
      <c r="E43" s="1"/>
      <c r="F43" s="1"/>
      <c r="G43" s="1"/>
      <c r="H43" s="36"/>
      <c r="I43" s="1"/>
      <c r="J43"/>
      <c r="K43" s="188"/>
      <c r="L43" s="188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s="2" customFormat="1" ht="17.5" x14ac:dyDescent="0.35">
      <c r="A44" s="1" t="s">
        <v>57</v>
      </c>
      <c r="B44" s="1"/>
      <c r="C44" s="9">
        <f t="shared" ref="C44:AL44" si="2">SUM(C6:C43)</f>
        <v>24000000</v>
      </c>
      <c r="D44" s="9">
        <f t="shared" si="2"/>
        <v>6596797</v>
      </c>
      <c r="E44" s="9">
        <f t="shared" si="2"/>
        <v>1300000</v>
      </c>
      <c r="F44" s="9">
        <f t="shared" si="2"/>
        <v>465821486</v>
      </c>
      <c r="G44" s="9">
        <f t="shared" si="2"/>
        <v>428902869</v>
      </c>
      <c r="H44" s="36">
        <f t="shared" si="2"/>
        <v>2493999.9999999995</v>
      </c>
      <c r="I44" s="9">
        <f t="shared" si="2"/>
        <v>468315485.99999994</v>
      </c>
      <c r="J44" s="9">
        <f t="shared" si="2"/>
        <v>5000</v>
      </c>
      <c r="K44" s="9">
        <f t="shared" si="2"/>
        <v>15395275</v>
      </c>
      <c r="L44" s="9">
        <f t="shared" si="2"/>
        <v>13327900</v>
      </c>
      <c r="M44" s="9">
        <f t="shared" si="2"/>
        <v>416000</v>
      </c>
      <c r="N44" s="9">
        <f t="shared" si="2"/>
        <v>416000</v>
      </c>
      <c r="O44" s="9">
        <f t="shared" si="2"/>
        <v>1664000</v>
      </c>
      <c r="P44" s="9">
        <f t="shared" si="2"/>
        <v>104000</v>
      </c>
      <c r="Q44" s="9">
        <f t="shared" si="2"/>
        <v>25000</v>
      </c>
      <c r="R44" s="9">
        <f t="shared" si="2"/>
        <v>120000</v>
      </c>
      <c r="S44" s="9">
        <f t="shared" si="2"/>
        <v>36081500</v>
      </c>
      <c r="T44" s="9">
        <f t="shared" si="2"/>
        <v>2494000</v>
      </c>
      <c r="U44" s="9">
        <f t="shared" si="2"/>
        <v>0</v>
      </c>
      <c r="V44" s="9">
        <f t="shared" si="2"/>
        <v>35081500</v>
      </c>
      <c r="W44" s="9">
        <f t="shared" si="2"/>
        <v>1000000</v>
      </c>
      <c r="X44" s="9"/>
      <c r="Y44" s="9">
        <f t="shared" si="2"/>
        <v>0</v>
      </c>
      <c r="Z44" s="9">
        <f t="shared" si="2"/>
        <v>150000</v>
      </c>
      <c r="AA44" s="9">
        <f t="shared" si="2"/>
        <v>0</v>
      </c>
      <c r="AB44" s="9">
        <f t="shared" si="2"/>
        <v>0</v>
      </c>
      <c r="AC44" s="9">
        <f t="shared" si="2"/>
        <v>0</v>
      </c>
      <c r="AD44" s="9">
        <f t="shared" si="2"/>
        <v>0</v>
      </c>
      <c r="AE44" s="9">
        <f t="shared" si="2"/>
        <v>475000</v>
      </c>
      <c r="AF44" s="9">
        <f t="shared" si="2"/>
        <v>266000</v>
      </c>
      <c r="AG44" s="9">
        <f t="shared" si="2"/>
        <v>200000</v>
      </c>
      <c r="AH44" s="9">
        <f t="shared" si="2"/>
        <v>1060000</v>
      </c>
      <c r="AI44" s="9">
        <f t="shared" si="2"/>
        <v>1270000</v>
      </c>
      <c r="AJ44" s="9">
        <f t="shared" si="2"/>
        <v>150000</v>
      </c>
      <c r="AK44" s="9">
        <f t="shared" si="2"/>
        <v>0</v>
      </c>
      <c r="AL44" s="9">
        <f t="shared" si="2"/>
        <v>801000</v>
      </c>
    </row>
  </sheetData>
  <autoFilter ref="A5:V42" xr:uid="{00000000-0009-0000-0000-000006000000}">
    <sortState ref="A5:L50">
      <sortCondition ref="B5:B50"/>
    </sortState>
  </autoFilter>
  <mergeCells count="1">
    <mergeCell ref="AL1:AM1"/>
  </mergeCell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61</vt:i4>
      </vt:variant>
      <vt:variant>
        <vt:lpstr>Plages nommées</vt:lpstr>
      </vt:variant>
      <vt:variant>
        <vt:i4>11</vt:i4>
      </vt:variant>
    </vt:vector>
  </HeadingPairs>
  <TitlesOfParts>
    <vt:vector size="72" baseType="lpstr">
      <vt:lpstr>TAF</vt:lpstr>
      <vt:lpstr>MODEVERSEMENT</vt:lpstr>
      <vt:lpstr>MODET25000</vt:lpstr>
      <vt:lpstr>MVTDEC21</vt:lpstr>
      <vt:lpstr>MVTDEC22</vt:lpstr>
      <vt:lpstr>MVTDEC23</vt:lpstr>
      <vt:lpstr>MVTDEC24</vt:lpstr>
      <vt:lpstr>MVTJANV25</vt:lpstr>
      <vt:lpstr>MVTFEV25</vt:lpstr>
      <vt:lpstr>MVTMARS25</vt:lpstr>
      <vt:lpstr>MVTAVRIL25</vt:lpstr>
      <vt:lpstr>MVTMAI25</vt:lpstr>
      <vt:lpstr>MVTJUIN25</vt:lpstr>
      <vt:lpstr>MVTJUIL25</vt:lpstr>
      <vt:lpstr>MVTAOUT25</vt:lpstr>
      <vt:lpstr>MVTSEPT25</vt:lpstr>
      <vt:lpstr>MVTOCT25</vt:lpstr>
      <vt:lpstr>MVTNOV25</vt:lpstr>
      <vt:lpstr>MVTDEC25</vt:lpstr>
      <vt:lpstr>MVTRESUME25</vt:lpstr>
      <vt:lpstr>MVTJANV24</vt:lpstr>
      <vt:lpstr>MVTFEV24</vt:lpstr>
      <vt:lpstr>MVTMARS24</vt:lpstr>
      <vt:lpstr>MVTAVRIL24</vt:lpstr>
      <vt:lpstr>MVTMAI24</vt:lpstr>
      <vt:lpstr>MVTJUIN24</vt:lpstr>
      <vt:lpstr>MVTJUIL24</vt:lpstr>
      <vt:lpstr>MVTAOUT24</vt:lpstr>
      <vt:lpstr>MVTSEPT24</vt:lpstr>
      <vt:lpstr>MVTOCT24</vt:lpstr>
      <vt:lpstr>MVTNOV24</vt:lpstr>
      <vt:lpstr>MVTDEC244</vt:lpstr>
      <vt:lpstr>MVTRESUME24</vt:lpstr>
      <vt:lpstr>MVTRESUME24EDIT</vt:lpstr>
      <vt:lpstr>MVTREPARTITION2022</vt:lpstr>
      <vt:lpstr>BILAN 2022</vt:lpstr>
      <vt:lpstr>MVTREPARTITIONEDIT (2)</vt:lpstr>
      <vt:lpstr>MVTREPARTITION2021 (2)</vt:lpstr>
      <vt:lpstr>MVTREPARTITION2021DEF</vt:lpstr>
      <vt:lpstr>PARTAGE INTERET T100</vt:lpstr>
      <vt:lpstr>CPTECHINGUE</vt:lpstr>
      <vt:lpstr>CPTEKEHEPDAVID)</vt:lpstr>
      <vt:lpstr>CPTEKOUAMOEMMANUEL</vt:lpstr>
      <vt:lpstr>CPTETCHOUANTE</vt:lpstr>
      <vt:lpstr>CPTENJEPDJIO</vt:lpstr>
      <vt:lpstr>CPTETCHOUTOU</vt:lpstr>
      <vt:lpstr>MVTRESUME2019</vt:lpstr>
      <vt:lpstr>CPTETYAMERNEST</vt:lpstr>
      <vt:lpstr>CPTEFOGANGERIC</vt:lpstr>
      <vt:lpstr>CPTEFOTSOTHOMAS</vt:lpstr>
      <vt:lpstr>VP KOUAMOPEGUY</vt:lpstr>
      <vt:lpstr>SITUATION KEPSEU</vt:lpstr>
      <vt:lpstr>BAKOPACHILLE</vt:lpstr>
      <vt:lpstr>Feuil1</vt:lpstr>
      <vt:lpstr>MVTRESUMEEDIT2019</vt:lpstr>
      <vt:lpstr>MVTRESUMETAB</vt:lpstr>
      <vt:lpstr>MVTRESUME20BACKUP</vt:lpstr>
      <vt:lpstr>GESTTRESORERIE</vt:lpstr>
      <vt:lpstr>MVTJANV212</vt:lpstr>
      <vt:lpstr>MVTREPARTITION2022 (2)</vt:lpstr>
      <vt:lpstr>MVTRESUME25 (2)</vt:lpstr>
      <vt:lpstr>'MVTREPARTITION2021 (2)'!Impression_des_titres</vt:lpstr>
      <vt:lpstr>MVTREPARTITION2021DEF!Impression_des_titres</vt:lpstr>
      <vt:lpstr>MVTREPARTITION2022!Impression_des_titres</vt:lpstr>
      <vt:lpstr>'MVTREPARTITION2022 (2)'!Impression_des_titres</vt:lpstr>
      <vt:lpstr>'MVTREPARTITIONEDIT (2)'!Impression_des_titres</vt:lpstr>
      <vt:lpstr>MVTRESUME24!Impression_des_titres</vt:lpstr>
      <vt:lpstr>MVTRESUME24EDIT!Impression_des_titres</vt:lpstr>
      <vt:lpstr>MVTRESUMEEDIT2019!Impression_des_titres</vt:lpstr>
      <vt:lpstr>MODEPAIDOK</vt:lpstr>
      <vt:lpstr>MODET25000!MODEVERSEMENTS</vt:lpstr>
      <vt:lpstr>MODEVERSEMENT!MODEVERSEMENTS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cp:lastPrinted>2020-12-03T08:08:57Z</cp:lastPrinted>
  <dcterms:created xsi:type="dcterms:W3CDTF">2017-07-22T11:02:10Z</dcterms:created>
  <dcterms:modified xsi:type="dcterms:W3CDTF">2026-02-14T16:31:42Z</dcterms:modified>
</cp:coreProperties>
</file>